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ml.chartshapes+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ml.chartshap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harts/chart5.xml" ContentType="application/vnd.openxmlformats-officedocument.drawingml.char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ml.chartshape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ml.chartshap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5" yWindow="-15" windowWidth="19320" windowHeight="11955" tabRatio="720"/>
  </bookViews>
  <sheets>
    <sheet name="Profile" sheetId="1" r:id="rId1"/>
    <sheet name="Agency Level" sheetId="69" r:id="rId2"/>
    <sheet name="HR Policy" sheetId="67" r:id="rId3"/>
    <sheet name="IT Support" sheetId="68" r:id="rId4"/>
    <sheet name="Board Type" sheetId="74" r:id="rId5"/>
    <sheet name="2011 Population" sheetId="84" r:id="rId6"/>
    <sheet name="Poverty_All ages" sheetId="86" r:id="rId7"/>
    <sheet name="Poverty_Child" sheetId="87" r:id="rId8"/>
    <sheet name="Unemployment" sheetId="24" r:id="rId9"/>
    <sheet name="SNAP Demographics 2012" sheetId="49" r:id="rId10"/>
    <sheet name="TANF DEMOGRAPHICS 2012" sheetId="47" r:id="rId11"/>
    <sheet name="Medicaid Demographics" sheetId="88" r:id="rId12"/>
    <sheet name="Hispanic Adjustment" sheetId="95" state="hidden" r:id="rId13"/>
    <sheet name="SNAP Clients by SFY" sheetId="31" r:id="rId14"/>
    <sheet name="TANF Clients by SFY" sheetId="32" r:id="rId15"/>
    <sheet name="Medicaid Clients by SFY" sheetId="89" r:id="rId16"/>
    <sheet name="Benefit Recipient" sheetId="94" r:id="rId17"/>
    <sheet name="Children in Foster Care" sheetId="6" r:id="rId18"/>
    <sheet name="Adoption Child by Race" sheetId="63" state="hidden" r:id="rId19"/>
    <sheet name="Adoption Services" sheetId="96" r:id="rId20"/>
    <sheet name="CPS Investigations" sheetId="92" r:id="rId21"/>
    <sheet name="Compare Recipients Census Med" sheetId="39" state="hidden" r:id="rId22"/>
    <sheet name="Compare Recipients Census SNAP" sheetId="40" state="hidden" r:id="rId23"/>
    <sheet name="Compare Recipients Census TANF" sheetId="41" state="hidden" r:id="rId24"/>
    <sheet name="Adoption Counts Summed SFY 2010" sheetId="38" state="hidden" r:id="rId25"/>
    <sheet name="CPS Ref Child Demo 2010 (2)" sheetId="36" state="hidden" r:id="rId26"/>
    <sheet name="Eligibililty Staff LASER-2012" sheetId="53" r:id="rId27"/>
    <sheet name="Services Staff LASER 2012" sheetId="54" r:id="rId28"/>
    <sheet name="Other Exp. LASER 2012" sheetId="55" r:id="rId29"/>
    <sheet name="Services for Clients LASER 2012" sheetId="56" r:id="rId30"/>
    <sheet name="Medicaid &amp; FAMIS - LASER 2012" sheetId="57" r:id="rId31"/>
    <sheet name="SNAP - LASER 2012" sheetId="58" r:id="rId32"/>
    <sheet name="LIHEAP LASER 2012" sheetId="59" r:id="rId33"/>
    <sheet name="FC &amp; Adoptions LASER 2012" sheetId="60" r:id="rId34"/>
    <sheet name="TANF LASER 2012" sheetId="61" r:id="rId35"/>
    <sheet name="Other Benefits LASER 2012" sheetId="62" r:id="rId36"/>
    <sheet name="Benefits Spending Summary" sheetId="79" r:id="rId37"/>
    <sheet name="Medicaid Clients" sheetId="46" state="hidden" r:id="rId38"/>
    <sheet name="Staffing" sheetId="85" r:id="rId39"/>
    <sheet name="Children in Single-Parent Homes" sheetId="72" state="hidden" r:id="rId40"/>
    <sheet name="Non-marital births" sheetId="73" state="hidden" r:id="rId41"/>
    <sheet name="Married Parent Households" sheetId="75" state="hidden" r:id="rId42"/>
    <sheet name="SNAP Participation Rate" sheetId="10" r:id="rId43"/>
    <sheet name="APS Reports" sheetId="91" r:id="rId44"/>
    <sheet name="AuxGrant" sheetId="90" r:id="rId45"/>
    <sheet name="Locality Name" sheetId="4" r:id="rId46"/>
    <sheet name="Password" sheetId="42" state="hidden" r:id="rId47"/>
  </sheets>
  <externalReferences>
    <externalReference r:id="rId48"/>
  </externalReferences>
  <definedNames>
    <definedName name="_xlnm._FilterDatabase" localSheetId="5" hidden="1">'2011 Population'!$A$4:$D$4</definedName>
    <definedName name="_xlnm._FilterDatabase" localSheetId="18" hidden="1">'Adoption Child by Race'!$A$3:$C$3</definedName>
    <definedName name="_xlnm._FilterDatabase" localSheetId="24" hidden="1">'Adoption Counts Summed SFY 2010'!$A$1:$F$125</definedName>
    <definedName name="_xlnm._FilterDatabase" localSheetId="19" hidden="1">'Adoption Services'!$A$3:$C$3</definedName>
    <definedName name="_xlnm._FilterDatabase" localSheetId="1" hidden="1">'Agency Level'!$A$3:$E$3</definedName>
    <definedName name="_xlnm._FilterDatabase" localSheetId="43" hidden="1">'APS Reports'!$A$4:$C$4</definedName>
    <definedName name="_xlnm._FilterDatabase" localSheetId="44" hidden="1">AuxGrant!$A$4:$C$4</definedName>
    <definedName name="_xlnm._FilterDatabase" localSheetId="16" hidden="1">'Benefit Recipient'!$A$3:$C$3</definedName>
    <definedName name="_xlnm._FilterDatabase" localSheetId="36" hidden="1">'Benefits Spending Summary'!$A$5:$C$5</definedName>
    <definedName name="_xlnm._FilterDatabase" localSheetId="4" hidden="1">'Board Type'!$A$3:$D$3</definedName>
    <definedName name="_xlnm._FilterDatabase" localSheetId="17" hidden="1">'Children in Foster Care'!$A$4:$C$4</definedName>
    <definedName name="_xlnm._FilterDatabase" localSheetId="21" hidden="1">'Compare Recipients Census Med'!$A$3:$Y$127</definedName>
    <definedName name="_xlnm._FilterDatabase" localSheetId="22" hidden="1">'Compare Recipients Census SNAP'!$A$3:$Y$127</definedName>
    <definedName name="_xlnm._FilterDatabase" localSheetId="23" hidden="1">'Compare Recipients Census TANF'!$A$3:$Y$127</definedName>
    <definedName name="_xlnm._FilterDatabase" localSheetId="20" hidden="1">'CPS Investigations'!$A$3:$C$3</definedName>
    <definedName name="_xlnm._FilterDatabase" localSheetId="25" hidden="1">'CPS Ref Child Demo 2010 (2)'!$B$4:$X$125</definedName>
    <definedName name="_xlnm._FilterDatabase" localSheetId="26" hidden="1">'Eligibililty Staff LASER-2012'!$A$3:$C$3</definedName>
    <definedName name="_xlnm._FilterDatabase" localSheetId="33" hidden="1">'FC &amp; Adoptions LASER 2012'!$A$3:$C$3</definedName>
    <definedName name="_xlnm._FilterDatabase" localSheetId="2" hidden="1">'HR Policy'!$A$3:$E$3</definedName>
    <definedName name="_xlnm._FilterDatabase" localSheetId="3" hidden="1">'IT Support'!$A$3:$D$3</definedName>
    <definedName name="_xlnm._FilterDatabase" localSheetId="32" hidden="1">'LIHEAP LASER 2012'!$A$3:$C$3</definedName>
    <definedName name="_xlnm._FilterDatabase" localSheetId="30" hidden="1">'Medicaid &amp; FAMIS - LASER 2012'!$A$3:$C$3</definedName>
    <definedName name="_xlnm._FilterDatabase" localSheetId="15" hidden="1">'Medicaid Clients by SFY'!$A$3:$C$3</definedName>
    <definedName name="_xlnm._FilterDatabase" localSheetId="11" hidden="1">'Medicaid Demographics'!$A$4:$C$4</definedName>
    <definedName name="_xlnm._FilterDatabase" localSheetId="35" hidden="1">'Other Benefits LASER 2012'!$A$4:$C$4</definedName>
    <definedName name="_xlnm._FilterDatabase" localSheetId="28" hidden="1">'Other Exp. LASER 2012'!$A$3:$C$3</definedName>
    <definedName name="_xlnm._FilterDatabase" localSheetId="6" hidden="1">'Poverty_All ages'!$A$3:$B$3</definedName>
    <definedName name="_xlnm._FilterDatabase" localSheetId="7" hidden="1">Poverty_Child!$A$4:$B$4</definedName>
    <definedName name="_xlnm._FilterDatabase" localSheetId="29" hidden="1">'Services for Clients LASER 2012'!$A$4:$B$4</definedName>
    <definedName name="_xlnm._FilterDatabase" localSheetId="27" hidden="1">'Services Staff LASER 2012'!$A$3:$C$3</definedName>
    <definedName name="_xlnm._FilterDatabase" localSheetId="31" hidden="1">'SNAP - LASER 2012'!$A$3:$C$3</definedName>
    <definedName name="_xlnm._FilterDatabase" localSheetId="13" hidden="1">'SNAP Clients by SFY'!$A$3:$C$3</definedName>
    <definedName name="_xlnm._FilterDatabase" localSheetId="9" hidden="1">'SNAP Demographics 2012'!$A$4:$C$4</definedName>
    <definedName name="_xlnm._FilterDatabase" localSheetId="42" hidden="1">'SNAP Participation Rate'!$A$3:$C$3</definedName>
    <definedName name="_xlnm._FilterDatabase" localSheetId="38" hidden="1">Staffing!$A$5:$C$5</definedName>
    <definedName name="_xlnm._FilterDatabase" localSheetId="14" hidden="1">'TANF Clients by SFY'!$A$3:$C$3</definedName>
    <definedName name="_xlnm._FilterDatabase" localSheetId="10" hidden="1">'TANF DEMOGRAPHICS 2012'!$A$4:$C$4</definedName>
    <definedName name="_xlnm._FilterDatabase" localSheetId="34" hidden="1">'TANF LASER 2012'!$A$3:$C$3</definedName>
    <definedName name="_xlnm._FilterDatabase" localSheetId="8" hidden="1">Unemployment!$A$4:$C$4</definedName>
    <definedName name="adj_span_amer_med">#REF!</definedName>
    <definedName name="ADOP_AVG" localSheetId="21">'Compare Recipients Census Med'!$A$4:$M$124</definedName>
    <definedName name="ADOP_AVG" localSheetId="22">'Compare Recipients Census SNAP'!$A$4:$M$124</definedName>
    <definedName name="ADOP_AVG" localSheetId="23">'Compare Recipients Census TANF'!$A$4:$M$124</definedName>
    <definedName name="ADOP_AVG">'Adoption Counts Summed SFY 2010'!$A$2:$F$122</definedName>
    <definedName name="Adoption_Child_Race_2011_12">'Adoption Child by Race'!$A$3:$G$124</definedName>
    <definedName name="adoption_race" comment="Number of Foster Children Adopted, by Race of Child, FFY 2012">'Adoption Child by Race'!$A$3:$G$124</definedName>
    <definedName name="AdoptionServices">'Adoption Services'!$A$3:$G$124</definedName>
    <definedName name="AG_CASES">#REF!</definedName>
    <definedName name="Agency_Level" comment="Agency Level or Size">'Agency Level'!$A$3:$E$123</definedName>
    <definedName name="APS_Reports" comment="Number of unduplicated APS reports, SFY 2012">'APS Reports'!$A$3:$J$125</definedName>
    <definedName name="AuxGrant" comment="Auxiliary Grant Recipients, SFY 2012">AuxGrant!$A$3:$J$125</definedName>
    <definedName name="BenefitRecip" comment="Counts of clients who receive TANF, SNAP and/or Medicaid benefits, by SFY">'Benefit Recipient'!$A$3:$G$124</definedName>
    <definedName name="BoardType" comment="Local Agency board type: administrative vs. advisory">'Board Type'!$A$4:$E$123</definedName>
    <definedName name="Children_CPS_Referrals">'CPS Ref Child Demo 2010 (2)'!$B$5:$X$125</definedName>
    <definedName name="Cl_Serv_LASER">#REF!</definedName>
    <definedName name="CL_SERV_LASER_2011">'Services for Clients LASER 2012'!$A$5:$F$125</definedName>
    <definedName name="CPS_REF_RACE_2011">#REF!</definedName>
    <definedName name="CPSInvestigations" comment="Number of children in CPS investigations (unduplicated counts) by race and locality, SFY 2012 (count as of 10/1/2012)">'CPS Investigations'!$A$4:$R$124</definedName>
    <definedName name="eLIGIBILITY">#REF!</definedName>
    <definedName name="Eligibility_2011">'Eligibililty Staff LASER-2012'!$A$4:$F$124</definedName>
    <definedName name="Employment" comment="Annual employment data for 2000 - 2012 (2012 is based on an 8-month average). Source: Virginia Employment Commission. Rates are not seasonally adjusted.">Unemployment!$A$5:$BE$132</definedName>
    <definedName name="FC_ADOP_LASER">#REF!</definedName>
    <definedName name="FC_Adop_LASER_2011">'FC &amp; Adoptions LASER 2012'!$A$3:$F$124</definedName>
    <definedName name="FC_CHILDREN">#REF!</definedName>
    <definedName name="FC_DEMO_2012">'Children in Foster Care'!$A$5:$J$125</definedName>
    <definedName name="FCMAP">'Children in Foster Care'!$A$6:$J$125</definedName>
    <definedName name="FIPS">'Locality Name'!$D$7:$E$128</definedName>
    <definedName name="FIPS_NUM">'Locality Name'!$C$8:$E$128</definedName>
    <definedName name="FIPSN">'Locality Name'!$C$9:$E$128</definedName>
    <definedName name="HR_Deviate" comment="HR Policy Deviation Classification">'HR Policy'!$A$3:$E$123</definedName>
    <definedName name="IT_Support" comment="Level of IT Support">'IT Support'!$A$3:$D$123</definedName>
    <definedName name="LIHEAP_LASER">#REF!</definedName>
    <definedName name="LIHEAP_LASER_2011">'LIHEAP LASER 2012'!$A$5:$E$124</definedName>
    <definedName name="Loc_Name">'Locality Name'!$D$9:$E$128</definedName>
    <definedName name="Locality">'Locality Name'!$D$9:$D$128</definedName>
    <definedName name="marriedcouples" comment="Percentage of households with couples with or without children who are married vs. cohabiting. Source: U.S. Census Bureau, 2010 Census, Summary File 1. Excludes same-sex couples.">'Married Parent Households'!$A$6:$Q$133</definedName>
    <definedName name="MarriedParentHouseholds" comment="Percentage of Couples who are Married vs. Cohabitating. Source: US Census Bureau, 2010 Census, Summary File 1. Excludes same-sex couple households.">'Married Parent Households'!$A$6:$Q$133</definedName>
    <definedName name="Medicaid_Demographics" comment="Number of Medicaid enrollees by age group, race, and locality for SFY 2012.  Excludes clients enrolled through state mental health facilities. Source: VDSS, MMIS, SFY MMIS Client Enrollee Analysis. Accessed through the Data Warehouse on 10/24/2012.">'Medicaid Demographics'!$A$3:$AM$125</definedName>
    <definedName name="Medicaid_LASER">#REF!</definedName>
    <definedName name="Medicaid_LASER_2011">'Medicaid &amp; FAMIS - LASER 2012'!$A$5:$F$124</definedName>
    <definedName name="MedicaidClientsSFY" comment="Number of Medicaid Clients by State Fiscal Year.">'Medicaid Clients by SFY'!$A$5:$I$127</definedName>
    <definedName name="MedicaidR">#REF!</definedName>
    <definedName name="NonMaritalBirths" comment="Non-marital births and percentage rate. Source: Virginia Department of Health, Vital Records data.">'Non-marital births'!$A$6:$O$133</definedName>
    <definedName name="OT_BENE_LASER">#REF!</definedName>
    <definedName name="OT_BENE_LASER_2011">'Other Benefits LASER 2012'!$A$6:$F$125</definedName>
    <definedName name="OT_EXP_LASER">#REF!</definedName>
    <definedName name="OT_EXP_LASER_2011">'Other Exp. LASER 2012'!$A$4:$F$124</definedName>
    <definedName name="Pop">#REF!</definedName>
    <definedName name="Pop_2010">#REF!</definedName>
    <definedName name="Pop_2011">'2011 Population'!$A$3:$AQ$132</definedName>
    <definedName name="PopByRace_2010">#REF!</definedName>
    <definedName name="Positions">Staffing!$A$6:$AJ$126</definedName>
    <definedName name="Pov_10">#REF!</definedName>
    <definedName name="Poverty_AllAges" comment="Poverty rate (%) among people of all ages. Source: U.S. Census Bureau.">'Poverty_All ages'!$A$4:$AA$130</definedName>
    <definedName name="Poverty_Child" comment="Poverty rate (%) among children (0-17 years). Source: U.S. Census Bureau.">Poverty_Child!$A$5:$AM$132</definedName>
    <definedName name="_xlnm.Print_Area" localSheetId="17">'Children in Foster Care'!$A$6:$J$130</definedName>
    <definedName name="_xlnm.Print_Area" localSheetId="45">'Locality Name'!$B$9:$E$132</definedName>
    <definedName name="_xlnm.Print_Area" localSheetId="0">Profile!$B$1:$N$132</definedName>
    <definedName name="_xlnm.Print_Area" localSheetId="42">'SNAP Participation Rate'!$A$5:$J$131</definedName>
    <definedName name="_xlnm.Print_Area" localSheetId="8">Unemployment!$A$6:$N$134</definedName>
    <definedName name="_xlnm.Print_Titles" localSheetId="17">'Children in Foster Care'!$1:$5</definedName>
    <definedName name="_xlnm.Print_Titles" localSheetId="0">Profile!$1:$4</definedName>
    <definedName name="_xlnm.Print_Titles" localSheetId="42">'SNAP Participation Rate'!$1:$4</definedName>
    <definedName name="_xlnm.Print_Titles" localSheetId="8">Unemployment!$4:$5</definedName>
    <definedName name="Serv_Staff_2011">'Services Staff LASER 2012'!$A$4:$F$124</definedName>
    <definedName name="SERV_STAFF_LASER">#REF!</definedName>
    <definedName name="SingleParentHomes">'Children in Single-Parent Homes'!$A$6:$S$133</definedName>
    <definedName name="SNAP_Demo" comment="SNAP client counts by age group, race, and locality, 2012">'SNAP Demographics 2012'!$A$6:$P$125</definedName>
    <definedName name="SNAP_DEMO_2011">'[1]SNAP Demographics 2011'!$A$6:$K$126</definedName>
    <definedName name="SNAP_LASER">#REF!</definedName>
    <definedName name="SNAP_LASER_2011">'SNAP - LASER 2012'!$A$3:$E$124</definedName>
    <definedName name="SNAP_RACE">'Locality Name'!$B$9:$E$129</definedName>
    <definedName name="snapcl">'SNAP Clients by SFY'!$A$5:$K$124</definedName>
    <definedName name="Staffing_2011_10">#REF!</definedName>
    <definedName name="TANF_Demo" comment="TANF recipient counts by age group, race, and DSS locality, SFY 2012">'TANF DEMOGRAPHICS 2012'!$A$6:$P$125</definedName>
    <definedName name="TANF_LASER">#REF!</definedName>
    <definedName name="TANF_LASER_2011">'TANF LASER 2012'!$A$4:$F$124</definedName>
    <definedName name="TANFCL" comment="TANF Client Caseload by SFY, 2005-2012. Source: ADAPT SFY Client Summary Analysis.">'TANF Clients by SFY'!$A$5:$M$124</definedName>
    <definedName name="YTD_EMP">Unemployment!#REF!</definedName>
  </definedNames>
  <calcPr calcId="125725"/>
</workbook>
</file>

<file path=xl/calcChain.xml><?xml version="1.0" encoding="utf-8"?>
<calcChain xmlns="http://schemas.openxmlformats.org/spreadsheetml/2006/main">
  <c r="D124" i="96"/>
  <c r="D123"/>
  <c r="D122"/>
  <c r="D121"/>
  <c r="D120"/>
  <c r="D119"/>
  <c r="D118"/>
  <c r="D117"/>
  <c r="D116"/>
  <c r="D115"/>
  <c r="D114"/>
  <c r="D113"/>
  <c r="D112"/>
  <c r="D111"/>
  <c r="D110"/>
  <c r="D109"/>
  <c r="D108"/>
  <c r="D107"/>
  <c r="D106"/>
  <c r="D105"/>
  <c r="D104"/>
  <c r="D103"/>
  <c r="D102"/>
  <c r="D101"/>
  <c r="D100"/>
  <c r="D99"/>
  <c r="D98"/>
  <c r="D97"/>
  <c r="D96"/>
  <c r="D95"/>
  <c r="D94"/>
  <c r="D93"/>
  <c r="D92"/>
  <c r="D91"/>
  <c r="D90"/>
  <c r="D89"/>
  <c r="D88"/>
  <c r="D87"/>
  <c r="D86"/>
  <c r="D85"/>
  <c r="D84"/>
  <c r="D83"/>
  <c r="D82"/>
  <c r="D81"/>
  <c r="D80"/>
  <c r="D79"/>
  <c r="D78"/>
  <c r="D77"/>
  <c r="D76"/>
  <c r="D75"/>
  <c r="D74"/>
  <c r="D73"/>
  <c r="D72"/>
  <c r="D71"/>
  <c r="D70"/>
  <c r="D69"/>
  <c r="D68"/>
  <c r="D67"/>
  <c r="D66"/>
  <c r="D65"/>
  <c r="D64"/>
  <c r="D63"/>
  <c r="D62"/>
  <c r="D61"/>
  <c r="D60"/>
  <c r="D59"/>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D11"/>
  <c r="D10"/>
  <c r="D9"/>
  <c r="D8"/>
  <c r="D7"/>
  <c r="D6"/>
  <c r="D5"/>
  <c r="G4"/>
  <c r="F4"/>
  <c r="E4"/>
  <c r="R48" i="92"/>
  <c r="Q48"/>
  <c r="P48"/>
  <c r="O48"/>
  <c r="I4" i="89"/>
  <c r="O132" i="88"/>
  <c r="N132"/>
  <c r="L132" s="1"/>
  <c r="M132"/>
  <c r="K132"/>
  <c r="J132"/>
  <c r="R132" s="1"/>
  <c r="I132"/>
  <c r="F132"/>
  <c r="E132"/>
  <c r="Q132" s="1"/>
  <c r="O131"/>
  <c r="N131"/>
  <c r="M131"/>
  <c r="K131"/>
  <c r="J131"/>
  <c r="I131"/>
  <c r="F131"/>
  <c r="R131" s="1"/>
  <c r="E131"/>
  <c r="Q131" s="1"/>
  <c r="O130"/>
  <c r="N130"/>
  <c r="M130"/>
  <c r="L130" s="1"/>
  <c r="K130"/>
  <c r="J130"/>
  <c r="I130"/>
  <c r="H130" s="1"/>
  <c r="F130"/>
  <c r="R130" s="1"/>
  <c r="E130"/>
  <c r="O129"/>
  <c r="N129"/>
  <c r="M129"/>
  <c r="K129"/>
  <c r="J129"/>
  <c r="I129"/>
  <c r="F129"/>
  <c r="R129" s="1"/>
  <c r="E129"/>
  <c r="Q129" s="1"/>
  <c r="O128"/>
  <c r="N128"/>
  <c r="M128"/>
  <c r="K128"/>
  <c r="J128"/>
  <c r="I128"/>
  <c r="F128"/>
  <c r="R128" s="1"/>
  <c r="E128"/>
  <c r="Q128" s="1"/>
  <c r="N82" i="95"/>
  <c r="X82" s="1"/>
  <c r="AC83" i="88" s="1"/>
  <c r="J82" i="95"/>
  <c r="F82"/>
  <c r="N12"/>
  <c r="X12" s="1"/>
  <c r="AC13" i="88" s="1"/>
  <c r="J12" i="95"/>
  <c r="F12"/>
  <c r="N81"/>
  <c r="J81"/>
  <c r="F81"/>
  <c r="N99"/>
  <c r="J99"/>
  <c r="F99"/>
  <c r="R99"/>
  <c r="W100" i="88" s="1"/>
  <c r="N83" i="95"/>
  <c r="J83"/>
  <c r="F83"/>
  <c r="N33"/>
  <c r="X33" s="1"/>
  <c r="AC34" i="88" s="1"/>
  <c r="J33" i="95"/>
  <c r="F33"/>
  <c r="N14"/>
  <c r="J14"/>
  <c r="U14" s="1"/>
  <c r="Z15" i="88" s="1"/>
  <c r="F14" i="95"/>
  <c r="N44"/>
  <c r="J44"/>
  <c r="F44"/>
  <c r="N25"/>
  <c r="J25"/>
  <c r="F25"/>
  <c r="N7"/>
  <c r="X7" s="1"/>
  <c r="AC8" i="88" s="1"/>
  <c r="J7" i="95"/>
  <c r="F7"/>
  <c r="W125"/>
  <c r="V125"/>
  <c r="W124"/>
  <c r="AB125" i="88" s="1"/>
  <c r="AL125" s="1"/>
  <c r="V124" i="95"/>
  <c r="AA125" i="88" s="1"/>
  <c r="AK125" s="1"/>
  <c r="W123" i="95"/>
  <c r="AB124" i="88" s="1"/>
  <c r="AL124" s="1"/>
  <c r="V123" i="95"/>
  <c r="AA124" i="88" s="1"/>
  <c r="AK124" s="1"/>
  <c r="W122" i="95"/>
  <c r="AB123" i="88" s="1"/>
  <c r="AL123" s="1"/>
  <c r="V122" i="95"/>
  <c r="AA123" i="88" s="1"/>
  <c r="AK123" s="1"/>
  <c r="W121" i="95"/>
  <c r="AB122" i="88" s="1"/>
  <c r="AL122" s="1"/>
  <c r="V121" i="95"/>
  <c r="AA122" i="88" s="1"/>
  <c r="AK122" s="1"/>
  <c r="W120" i="95"/>
  <c r="AB121" i="88" s="1"/>
  <c r="AL121" s="1"/>
  <c r="V120" i="95"/>
  <c r="AA121" i="88" s="1"/>
  <c r="AK121" s="1"/>
  <c r="W119" i="95"/>
  <c r="AB120" i="88" s="1"/>
  <c r="AL120" s="1"/>
  <c r="V119" i="95"/>
  <c r="AA120" i="88" s="1"/>
  <c r="AK120" s="1"/>
  <c r="W118" i="95"/>
  <c r="AB119" i="88" s="1"/>
  <c r="AL119" s="1"/>
  <c r="V118" i="95"/>
  <c r="AA119" i="88" s="1"/>
  <c r="AK119" s="1"/>
  <c r="W117" i="95"/>
  <c r="AB118" i="88" s="1"/>
  <c r="AL118" s="1"/>
  <c r="V117" i="95"/>
  <c r="AA118" i="88" s="1"/>
  <c r="AK118" s="1"/>
  <c r="W116" i="95"/>
  <c r="AB117" i="88" s="1"/>
  <c r="AL117" s="1"/>
  <c r="V116" i="95"/>
  <c r="AA117" i="88" s="1"/>
  <c r="AK117" s="1"/>
  <c r="W115" i="95"/>
  <c r="AB116" i="88" s="1"/>
  <c r="AL116" s="1"/>
  <c r="V115" i="95"/>
  <c r="AA116" i="88" s="1"/>
  <c r="AK116" s="1"/>
  <c r="W114" i="95"/>
  <c r="AB115" i="88" s="1"/>
  <c r="AL115" s="1"/>
  <c r="V114" i="95"/>
  <c r="AA115" i="88" s="1"/>
  <c r="AK115" s="1"/>
  <c r="W113" i="95"/>
  <c r="AB114" i="88" s="1"/>
  <c r="AL114" s="1"/>
  <c r="V113" i="95"/>
  <c r="AA114" i="88" s="1"/>
  <c r="AK114" s="1"/>
  <c r="W112" i="95"/>
  <c r="AB113" i="88" s="1"/>
  <c r="AL113" s="1"/>
  <c r="V112" i="95"/>
  <c r="AA113" i="88" s="1"/>
  <c r="AK113" s="1"/>
  <c r="W111" i="95"/>
  <c r="AB112" i="88" s="1"/>
  <c r="AL112" s="1"/>
  <c r="V111" i="95"/>
  <c r="AA112" i="88" s="1"/>
  <c r="AK112" s="1"/>
  <c r="W110" i="95"/>
  <c r="AB111" i="88" s="1"/>
  <c r="AL111" s="1"/>
  <c r="V110" i="95"/>
  <c r="AA111" i="88" s="1"/>
  <c r="AK111" s="1"/>
  <c r="W109" i="95"/>
  <c r="AB110" i="88" s="1"/>
  <c r="AL110" s="1"/>
  <c r="V109" i="95"/>
  <c r="AA110" i="88" s="1"/>
  <c r="AK110" s="1"/>
  <c r="W108" i="95"/>
  <c r="AB109" i="88" s="1"/>
  <c r="AL109" s="1"/>
  <c r="V108" i="95"/>
  <c r="AA109" i="88" s="1"/>
  <c r="AK109" s="1"/>
  <c r="W107" i="95"/>
  <c r="AB108" i="88" s="1"/>
  <c r="AL108" s="1"/>
  <c r="V107" i="95"/>
  <c r="AA108" i="88" s="1"/>
  <c r="AK108" s="1"/>
  <c r="W106" i="95"/>
  <c r="AB107" i="88" s="1"/>
  <c r="AL107" s="1"/>
  <c r="V106" i="95"/>
  <c r="AA107" i="88" s="1"/>
  <c r="AK107" s="1"/>
  <c r="W105" i="95"/>
  <c r="AB106" i="88" s="1"/>
  <c r="AL106" s="1"/>
  <c r="V105" i="95"/>
  <c r="AA106" i="88" s="1"/>
  <c r="AK106" s="1"/>
  <c r="W104" i="95"/>
  <c r="AB105" i="88" s="1"/>
  <c r="AL105" s="1"/>
  <c r="V104" i="95"/>
  <c r="AA105" i="88" s="1"/>
  <c r="AK105" s="1"/>
  <c r="W103" i="95"/>
  <c r="AB104" i="88" s="1"/>
  <c r="AL104" s="1"/>
  <c r="V103" i="95"/>
  <c r="AA104" i="88" s="1"/>
  <c r="AK104" s="1"/>
  <c r="W102" i="95"/>
  <c r="AB103" i="88" s="1"/>
  <c r="AL103" s="1"/>
  <c r="V102" i="95"/>
  <c r="AA103" i="88" s="1"/>
  <c r="AK103" s="1"/>
  <c r="W101" i="95"/>
  <c r="AB102" i="88" s="1"/>
  <c r="AL102" s="1"/>
  <c r="V101" i="95"/>
  <c r="AA102" i="88" s="1"/>
  <c r="AK102" s="1"/>
  <c r="W100" i="95"/>
  <c r="AB101" i="88" s="1"/>
  <c r="AL101" s="1"/>
  <c r="V100" i="95"/>
  <c r="AA101" i="88" s="1"/>
  <c r="AK101" s="1"/>
  <c r="W99" i="95"/>
  <c r="AB100" i="88" s="1"/>
  <c r="AL100" s="1"/>
  <c r="V99" i="95"/>
  <c r="AA100" i="88" s="1"/>
  <c r="AK100" s="1"/>
  <c r="W98" i="95"/>
  <c r="AB99" i="88" s="1"/>
  <c r="AL99" s="1"/>
  <c r="V98" i="95"/>
  <c r="AA99" i="88" s="1"/>
  <c r="AK99" s="1"/>
  <c r="W97" i="95"/>
  <c r="AB98" i="88" s="1"/>
  <c r="AL98" s="1"/>
  <c r="V97" i="95"/>
  <c r="AA98" i="88" s="1"/>
  <c r="AK98" s="1"/>
  <c r="W96" i="95"/>
  <c r="AB97" i="88" s="1"/>
  <c r="AL97" s="1"/>
  <c r="V96" i="95"/>
  <c r="AA97" i="88" s="1"/>
  <c r="AK97" s="1"/>
  <c r="W95" i="95"/>
  <c r="AB96" i="88" s="1"/>
  <c r="AL96" s="1"/>
  <c r="V95" i="95"/>
  <c r="AA96" i="88" s="1"/>
  <c r="AK96" s="1"/>
  <c r="W94" i="95"/>
  <c r="AB95" i="88" s="1"/>
  <c r="AL95" s="1"/>
  <c r="V94" i="95"/>
  <c r="AA95" i="88" s="1"/>
  <c r="AK95" s="1"/>
  <c r="W93" i="95"/>
  <c r="AB94" i="88" s="1"/>
  <c r="AL94" s="1"/>
  <c r="V93" i="95"/>
  <c r="AA94" i="88" s="1"/>
  <c r="AK94" s="1"/>
  <c r="W92" i="95"/>
  <c r="AB93" i="88" s="1"/>
  <c r="AL93" s="1"/>
  <c r="V92" i="95"/>
  <c r="AA93" i="88" s="1"/>
  <c r="AK93" s="1"/>
  <c r="W91" i="95"/>
  <c r="AB92" i="88" s="1"/>
  <c r="AL92" s="1"/>
  <c r="V91" i="95"/>
  <c r="AA92" i="88" s="1"/>
  <c r="AK92" s="1"/>
  <c r="W90" i="95"/>
  <c r="AB91" i="88" s="1"/>
  <c r="AL91" s="1"/>
  <c r="V90" i="95"/>
  <c r="AA91" i="88" s="1"/>
  <c r="AK91" s="1"/>
  <c r="W89" i="95"/>
  <c r="AB90" i="88" s="1"/>
  <c r="AL90" s="1"/>
  <c r="V89" i="95"/>
  <c r="AA90" i="88" s="1"/>
  <c r="AK90" s="1"/>
  <c r="W88" i="95"/>
  <c r="AB89" i="88" s="1"/>
  <c r="AL89" s="1"/>
  <c r="V88" i="95"/>
  <c r="AA89" i="88" s="1"/>
  <c r="AK89" s="1"/>
  <c r="W87" i="95"/>
  <c r="AB88" i="88" s="1"/>
  <c r="AL88" s="1"/>
  <c r="V87" i="95"/>
  <c r="AA88" i="88" s="1"/>
  <c r="AK88" s="1"/>
  <c r="W86" i="95"/>
  <c r="AB87" i="88" s="1"/>
  <c r="AL87" s="1"/>
  <c r="V86" i="95"/>
  <c r="AA87" i="88" s="1"/>
  <c r="AK87" s="1"/>
  <c r="W85" i="95"/>
  <c r="AB86" i="88" s="1"/>
  <c r="AL86" s="1"/>
  <c r="V85" i="95"/>
  <c r="AA86" i="88" s="1"/>
  <c r="AK86" s="1"/>
  <c r="W84" i="95"/>
  <c r="AB85" i="88" s="1"/>
  <c r="AL85" s="1"/>
  <c r="V84" i="95"/>
  <c r="AA85" i="88" s="1"/>
  <c r="AK85" s="1"/>
  <c r="W83" i="95"/>
  <c r="AB84" i="88" s="1"/>
  <c r="AL84" s="1"/>
  <c r="V83" i="95"/>
  <c r="AA84" i="88" s="1"/>
  <c r="AK84" s="1"/>
  <c r="W82" i="95"/>
  <c r="AB83" i="88" s="1"/>
  <c r="AL83" s="1"/>
  <c r="V82" i="95"/>
  <c r="AA83" i="88" s="1"/>
  <c r="AK83" s="1"/>
  <c r="W81" i="95"/>
  <c r="AB82" i="88" s="1"/>
  <c r="AL82" s="1"/>
  <c r="V81" i="95"/>
  <c r="AA82" i="88" s="1"/>
  <c r="AK82" s="1"/>
  <c r="W80" i="95"/>
  <c r="AB81" i="88" s="1"/>
  <c r="AL81" s="1"/>
  <c r="V80" i="95"/>
  <c r="AA81" i="88" s="1"/>
  <c r="AK81" s="1"/>
  <c r="W79" i="95"/>
  <c r="AB80" i="88" s="1"/>
  <c r="AL80" s="1"/>
  <c r="V79" i="95"/>
  <c r="AA80" i="88" s="1"/>
  <c r="AK80" s="1"/>
  <c r="W78" i="95"/>
  <c r="AB79" i="88" s="1"/>
  <c r="AL79" s="1"/>
  <c r="V78" i="95"/>
  <c r="AA79" i="88" s="1"/>
  <c r="AK79" s="1"/>
  <c r="W77" i="95"/>
  <c r="AB78" i="88" s="1"/>
  <c r="AL78" s="1"/>
  <c r="V77" i="95"/>
  <c r="AA78" i="88" s="1"/>
  <c r="AK78" s="1"/>
  <c r="W76" i="95"/>
  <c r="AB77" i="88" s="1"/>
  <c r="AL77" s="1"/>
  <c r="V76" i="95"/>
  <c r="AA77" i="88" s="1"/>
  <c r="AK77" s="1"/>
  <c r="W75" i="95"/>
  <c r="AB76" i="88" s="1"/>
  <c r="AL76" s="1"/>
  <c r="V75" i="95"/>
  <c r="AA76" i="88" s="1"/>
  <c r="AK76" s="1"/>
  <c r="W74" i="95"/>
  <c r="AB75" i="88" s="1"/>
  <c r="AL75" s="1"/>
  <c r="V74" i="95"/>
  <c r="AA75" i="88" s="1"/>
  <c r="AK75" s="1"/>
  <c r="W73" i="95"/>
  <c r="AB74" i="88" s="1"/>
  <c r="AL74" s="1"/>
  <c r="V73" i="95"/>
  <c r="AA74" i="88" s="1"/>
  <c r="AK74" s="1"/>
  <c r="W72" i="95"/>
  <c r="AB73" i="88" s="1"/>
  <c r="AL73" s="1"/>
  <c r="V72" i="95"/>
  <c r="AA73" i="88" s="1"/>
  <c r="AK73" s="1"/>
  <c r="W71" i="95"/>
  <c r="AB72" i="88" s="1"/>
  <c r="AL72" s="1"/>
  <c r="V71" i="95"/>
  <c r="AA72" i="88" s="1"/>
  <c r="AK72" s="1"/>
  <c r="W70" i="95"/>
  <c r="AB71" i="88" s="1"/>
  <c r="AL71" s="1"/>
  <c r="V70" i="95"/>
  <c r="AA71" i="88" s="1"/>
  <c r="AK71" s="1"/>
  <c r="W69" i="95"/>
  <c r="AB70" i="88" s="1"/>
  <c r="AL70" s="1"/>
  <c r="V69" i="95"/>
  <c r="AA70" i="88" s="1"/>
  <c r="AK70" s="1"/>
  <c r="W68" i="95"/>
  <c r="AB69" i="88" s="1"/>
  <c r="AL69" s="1"/>
  <c r="V68" i="95"/>
  <c r="AA69" i="88" s="1"/>
  <c r="AK69" s="1"/>
  <c r="W67" i="95"/>
  <c r="AB68" i="88" s="1"/>
  <c r="AL68" s="1"/>
  <c r="V67" i="95"/>
  <c r="AA68" i="88" s="1"/>
  <c r="AK68" s="1"/>
  <c r="W66" i="95"/>
  <c r="AB67" i="88" s="1"/>
  <c r="AL67" s="1"/>
  <c r="V66" i="95"/>
  <c r="AA67" i="88" s="1"/>
  <c r="AK67" s="1"/>
  <c r="W65" i="95"/>
  <c r="AB66" i="88" s="1"/>
  <c r="AL66" s="1"/>
  <c r="V65" i="95"/>
  <c r="AA66" i="88" s="1"/>
  <c r="AK66" s="1"/>
  <c r="W64" i="95"/>
  <c r="AB65" i="88" s="1"/>
  <c r="AL65" s="1"/>
  <c r="V64" i="95"/>
  <c r="AA65" i="88" s="1"/>
  <c r="AK65" s="1"/>
  <c r="W63" i="95"/>
  <c r="AB64" i="88" s="1"/>
  <c r="AL64" s="1"/>
  <c r="V63" i="95"/>
  <c r="AA64" i="88" s="1"/>
  <c r="AK64" s="1"/>
  <c r="W62" i="95"/>
  <c r="AB63" i="88" s="1"/>
  <c r="AL63" s="1"/>
  <c r="V62" i="95"/>
  <c r="AA63" i="88" s="1"/>
  <c r="AK63" s="1"/>
  <c r="W61" i="95"/>
  <c r="AB62" i="88" s="1"/>
  <c r="AL62" s="1"/>
  <c r="V61" i="95"/>
  <c r="AA62" i="88" s="1"/>
  <c r="AK62" s="1"/>
  <c r="W60" i="95"/>
  <c r="AB61" i="88" s="1"/>
  <c r="AL61" s="1"/>
  <c r="V60" i="95"/>
  <c r="AA61" i="88" s="1"/>
  <c r="AK61" s="1"/>
  <c r="W59" i="95"/>
  <c r="AB60" i="88" s="1"/>
  <c r="AL60" s="1"/>
  <c r="V59" i="95"/>
  <c r="AA60" i="88" s="1"/>
  <c r="AK60" s="1"/>
  <c r="W58" i="95"/>
  <c r="AB59" i="88" s="1"/>
  <c r="AL59" s="1"/>
  <c r="V58" i="95"/>
  <c r="AA59" i="88" s="1"/>
  <c r="AK59" s="1"/>
  <c r="W57" i="95"/>
  <c r="AB58" i="88" s="1"/>
  <c r="AL58" s="1"/>
  <c r="V57" i="95"/>
  <c r="AA58" i="88" s="1"/>
  <c r="AK58" s="1"/>
  <c r="W56" i="95"/>
  <c r="AB57" i="88" s="1"/>
  <c r="AL57" s="1"/>
  <c r="V56" i="95"/>
  <c r="AA57" i="88" s="1"/>
  <c r="AK57" s="1"/>
  <c r="W55" i="95"/>
  <c r="AB56" i="88" s="1"/>
  <c r="AL56" s="1"/>
  <c r="V55" i="95"/>
  <c r="AA56" i="88" s="1"/>
  <c r="AK56" s="1"/>
  <c r="W54" i="95"/>
  <c r="AB55" i="88" s="1"/>
  <c r="AL55" s="1"/>
  <c r="V54" i="95"/>
  <c r="AA55" i="88" s="1"/>
  <c r="AK55" s="1"/>
  <c r="W53" i="95"/>
  <c r="AB54" i="88" s="1"/>
  <c r="AL54" s="1"/>
  <c r="V53" i="95"/>
  <c r="AA54" i="88" s="1"/>
  <c r="AK54" s="1"/>
  <c r="W52" i="95"/>
  <c r="AB53" i="88" s="1"/>
  <c r="AL53" s="1"/>
  <c r="V52" i="95"/>
  <c r="AA53" i="88" s="1"/>
  <c r="AK53" s="1"/>
  <c r="W51" i="95"/>
  <c r="AB52" i="88" s="1"/>
  <c r="AL52" s="1"/>
  <c r="V51" i="95"/>
  <c r="AA52" i="88" s="1"/>
  <c r="AK52" s="1"/>
  <c r="W50" i="95"/>
  <c r="AB51" i="88" s="1"/>
  <c r="AL51" s="1"/>
  <c r="V50" i="95"/>
  <c r="AA51" i="88" s="1"/>
  <c r="AK51" s="1"/>
  <c r="W49" i="95"/>
  <c r="AB50" i="88" s="1"/>
  <c r="AL50" s="1"/>
  <c r="V49" i="95"/>
  <c r="AA50" i="88" s="1"/>
  <c r="AK50" s="1"/>
  <c r="W48" i="95"/>
  <c r="AB49" i="88" s="1"/>
  <c r="AL49" s="1"/>
  <c r="V48" i="95"/>
  <c r="AA49" i="88" s="1"/>
  <c r="AK49" s="1"/>
  <c r="W47" i="95"/>
  <c r="AB48" i="88" s="1"/>
  <c r="AL48" s="1"/>
  <c r="V47" i="95"/>
  <c r="AA48" i="88" s="1"/>
  <c r="AK48" s="1"/>
  <c r="W46" i="95"/>
  <c r="AB47" i="88" s="1"/>
  <c r="AL47" s="1"/>
  <c r="V46" i="95"/>
  <c r="AA47" i="88" s="1"/>
  <c r="AK47" s="1"/>
  <c r="W45" i="95"/>
  <c r="AB46" i="88" s="1"/>
  <c r="AL46" s="1"/>
  <c r="V45" i="95"/>
  <c r="AA46" i="88" s="1"/>
  <c r="AK46" s="1"/>
  <c r="W44" i="95"/>
  <c r="AB45" i="88" s="1"/>
  <c r="AL45" s="1"/>
  <c r="V44" i="95"/>
  <c r="AA45" i="88" s="1"/>
  <c r="AK45" s="1"/>
  <c r="W43" i="95"/>
  <c r="AB44" i="88" s="1"/>
  <c r="AL44" s="1"/>
  <c r="V43" i="95"/>
  <c r="AA44" i="88" s="1"/>
  <c r="AK44" s="1"/>
  <c r="W42" i="95"/>
  <c r="AB43" i="88" s="1"/>
  <c r="AL43" s="1"/>
  <c r="V42" i="95"/>
  <c r="AA43" i="88" s="1"/>
  <c r="AK43" s="1"/>
  <c r="W41" i="95"/>
  <c r="AB42" i="88" s="1"/>
  <c r="AL42" s="1"/>
  <c r="V41" i="95"/>
  <c r="AA42" i="88" s="1"/>
  <c r="AK42" s="1"/>
  <c r="W40" i="95"/>
  <c r="AB41" i="88" s="1"/>
  <c r="AL41" s="1"/>
  <c r="V40" i="95"/>
  <c r="AA41" i="88" s="1"/>
  <c r="AK41" s="1"/>
  <c r="W39" i="95"/>
  <c r="AB40" i="88" s="1"/>
  <c r="AL40" s="1"/>
  <c r="V39" i="95"/>
  <c r="AA40" i="88" s="1"/>
  <c r="AK40" s="1"/>
  <c r="W38" i="95"/>
  <c r="AB39" i="88" s="1"/>
  <c r="AL39" s="1"/>
  <c r="V38" i="95"/>
  <c r="AA39" i="88" s="1"/>
  <c r="AK39" s="1"/>
  <c r="W37" i="95"/>
  <c r="AB38" i="88" s="1"/>
  <c r="AL38" s="1"/>
  <c r="V37" i="95"/>
  <c r="AA38" i="88" s="1"/>
  <c r="AK38" s="1"/>
  <c r="W36" i="95"/>
  <c r="AB37" i="88" s="1"/>
  <c r="AL37" s="1"/>
  <c r="V36" i="95"/>
  <c r="AA37" i="88" s="1"/>
  <c r="AK37" s="1"/>
  <c r="W35" i="95"/>
  <c r="AB36" i="88" s="1"/>
  <c r="AL36" s="1"/>
  <c r="V35" i="95"/>
  <c r="AA36" i="88" s="1"/>
  <c r="AK36" s="1"/>
  <c r="W34" i="95"/>
  <c r="AB35" i="88" s="1"/>
  <c r="AL35" s="1"/>
  <c r="V34" i="95"/>
  <c r="AA35" i="88" s="1"/>
  <c r="AK35" s="1"/>
  <c r="W33" i="95"/>
  <c r="AB34" i="88" s="1"/>
  <c r="AL34" s="1"/>
  <c r="V33" i="95"/>
  <c r="AA34" i="88" s="1"/>
  <c r="AK34" s="1"/>
  <c r="W32" i="95"/>
  <c r="AB33" i="88" s="1"/>
  <c r="AL33" s="1"/>
  <c r="V32" i="95"/>
  <c r="AA33" i="88" s="1"/>
  <c r="AK33" s="1"/>
  <c r="W31" i="95"/>
  <c r="AB32" i="88" s="1"/>
  <c r="AL32" s="1"/>
  <c r="V31" i="95"/>
  <c r="AA32" i="88" s="1"/>
  <c r="AK32" s="1"/>
  <c r="W30" i="95"/>
  <c r="AB31" i="88" s="1"/>
  <c r="AL31" s="1"/>
  <c r="V30" i="95"/>
  <c r="AA31" i="88" s="1"/>
  <c r="AK31" s="1"/>
  <c r="W29" i="95"/>
  <c r="AB30" i="88" s="1"/>
  <c r="AL30" s="1"/>
  <c r="V29" i="95"/>
  <c r="AA30" i="88" s="1"/>
  <c r="AK30" s="1"/>
  <c r="W28" i="95"/>
  <c r="AB29" i="88" s="1"/>
  <c r="AL29" s="1"/>
  <c r="V28" i="95"/>
  <c r="AA29" i="88" s="1"/>
  <c r="AK29" s="1"/>
  <c r="W27" i="95"/>
  <c r="AB28" i="88" s="1"/>
  <c r="AL28" s="1"/>
  <c r="V27" i="95"/>
  <c r="AA28" i="88" s="1"/>
  <c r="AK28" s="1"/>
  <c r="W26" i="95"/>
  <c r="AB27" i="88" s="1"/>
  <c r="AL27" s="1"/>
  <c r="V26" i="95"/>
  <c r="AA27" i="88" s="1"/>
  <c r="AK27" s="1"/>
  <c r="W25" i="95"/>
  <c r="AB26" i="88" s="1"/>
  <c r="AL26" s="1"/>
  <c r="V25" i="95"/>
  <c r="AA26" i="88" s="1"/>
  <c r="AK26" s="1"/>
  <c r="W24" i="95"/>
  <c r="AB25" i="88" s="1"/>
  <c r="AL25" s="1"/>
  <c r="V24" i="95"/>
  <c r="AA25" i="88" s="1"/>
  <c r="AK25" s="1"/>
  <c r="W23" i="95"/>
  <c r="AB24" i="88" s="1"/>
  <c r="AL24" s="1"/>
  <c r="V23" i="95"/>
  <c r="AA24" i="88" s="1"/>
  <c r="AK24" s="1"/>
  <c r="W22" i="95"/>
  <c r="AB23" i="88" s="1"/>
  <c r="AL23" s="1"/>
  <c r="V22" i="95"/>
  <c r="AA23" i="88" s="1"/>
  <c r="AK23" s="1"/>
  <c r="W21" i="95"/>
  <c r="AB22" i="88" s="1"/>
  <c r="AL22" s="1"/>
  <c r="V21" i="95"/>
  <c r="AA22" i="88" s="1"/>
  <c r="AK22" s="1"/>
  <c r="W20" i="95"/>
  <c r="AB21" i="88" s="1"/>
  <c r="AL21" s="1"/>
  <c r="V20" i="95"/>
  <c r="AA21" i="88" s="1"/>
  <c r="AK21" s="1"/>
  <c r="W19" i="95"/>
  <c r="AB20" i="88" s="1"/>
  <c r="AL20" s="1"/>
  <c r="V19" i="95"/>
  <c r="AA20" i="88" s="1"/>
  <c r="AK20" s="1"/>
  <c r="W18" i="95"/>
  <c r="AB19" i="88" s="1"/>
  <c r="AL19" s="1"/>
  <c r="V18" i="95"/>
  <c r="AA19" i="88" s="1"/>
  <c r="AK19" s="1"/>
  <c r="W17" i="95"/>
  <c r="AB18" i="88" s="1"/>
  <c r="AL18" s="1"/>
  <c r="V17" i="95"/>
  <c r="AA18" i="88" s="1"/>
  <c r="AK18" s="1"/>
  <c r="W16" i="95"/>
  <c r="AB17" i="88" s="1"/>
  <c r="AL17" s="1"/>
  <c r="V16" i="95"/>
  <c r="AA17" i="88" s="1"/>
  <c r="AK17" s="1"/>
  <c r="W15" i="95"/>
  <c r="AB16" i="88" s="1"/>
  <c r="AL16" s="1"/>
  <c r="V15" i="95"/>
  <c r="AA16" i="88" s="1"/>
  <c r="AK16" s="1"/>
  <c r="W14" i="95"/>
  <c r="AB15" i="88" s="1"/>
  <c r="AL15" s="1"/>
  <c r="V14" i="95"/>
  <c r="AA15" i="88" s="1"/>
  <c r="AK15" s="1"/>
  <c r="W13" i="95"/>
  <c r="AB14" i="88" s="1"/>
  <c r="AL14" s="1"/>
  <c r="V13" i="95"/>
  <c r="AA14" i="88" s="1"/>
  <c r="AK14" s="1"/>
  <c r="W12" i="95"/>
  <c r="AB13" i="88" s="1"/>
  <c r="AL13" s="1"/>
  <c r="V12" i="95"/>
  <c r="AA13" i="88" s="1"/>
  <c r="AK13" s="1"/>
  <c r="W11" i="95"/>
  <c r="AB12" i="88" s="1"/>
  <c r="AL12" s="1"/>
  <c r="V11" i="95"/>
  <c r="AA12" i="88" s="1"/>
  <c r="AK12" s="1"/>
  <c r="W10" i="95"/>
  <c r="AB11" i="88" s="1"/>
  <c r="AL11" s="1"/>
  <c r="V10" i="95"/>
  <c r="AA11" i="88" s="1"/>
  <c r="AK11" s="1"/>
  <c r="W9" i="95"/>
  <c r="AB10" i="88" s="1"/>
  <c r="AL10" s="1"/>
  <c r="V9" i="95"/>
  <c r="AA10" i="88" s="1"/>
  <c r="AK10" s="1"/>
  <c r="W8" i="95"/>
  <c r="AB9" i="88" s="1"/>
  <c r="AL9" s="1"/>
  <c r="V8" i="95"/>
  <c r="AA9" i="88" s="1"/>
  <c r="AK9" s="1"/>
  <c r="W7" i="95"/>
  <c r="AB8" i="88" s="1"/>
  <c r="AL8" s="1"/>
  <c r="V7" i="95"/>
  <c r="AA8" i="88" s="1"/>
  <c r="AK8" s="1"/>
  <c r="W6" i="95"/>
  <c r="AB7" i="88" s="1"/>
  <c r="AL7" s="1"/>
  <c r="V6" i="95"/>
  <c r="AA7" i="88" s="1"/>
  <c r="AK7" s="1"/>
  <c r="W5" i="95"/>
  <c r="AB6" i="88" s="1"/>
  <c r="AL6" s="1"/>
  <c r="V5" i="95"/>
  <c r="AA6" i="88" s="1"/>
  <c r="AK6" s="1"/>
  <c r="T125" i="95"/>
  <c r="S125"/>
  <c r="T124"/>
  <c r="Y125" i="88" s="1"/>
  <c r="AI125" s="1"/>
  <c r="S124" i="95"/>
  <c r="X125" i="88" s="1"/>
  <c r="AH125" s="1"/>
  <c r="T123" i="95"/>
  <c r="Y124" i="88" s="1"/>
  <c r="AI124" s="1"/>
  <c r="S123" i="95"/>
  <c r="X124" i="88" s="1"/>
  <c r="AH124" s="1"/>
  <c r="T122" i="95"/>
  <c r="Y123" i="88" s="1"/>
  <c r="AI123" s="1"/>
  <c r="S122" i="95"/>
  <c r="X123" i="88" s="1"/>
  <c r="AH123" s="1"/>
  <c r="T121" i="95"/>
  <c r="Y122" i="88" s="1"/>
  <c r="AI122" s="1"/>
  <c r="S121" i="95"/>
  <c r="X122" i="88" s="1"/>
  <c r="AH122" s="1"/>
  <c r="T120" i="95"/>
  <c r="Y121" i="88" s="1"/>
  <c r="AI121" s="1"/>
  <c r="S120" i="95"/>
  <c r="X121" i="88" s="1"/>
  <c r="AH121" s="1"/>
  <c r="T119" i="95"/>
  <c r="Y120" i="88" s="1"/>
  <c r="AI120" s="1"/>
  <c r="S119" i="95"/>
  <c r="X120" i="88" s="1"/>
  <c r="AH120" s="1"/>
  <c r="T118" i="95"/>
  <c r="Y119" i="88" s="1"/>
  <c r="AI119" s="1"/>
  <c r="S118" i="95"/>
  <c r="X119" i="88" s="1"/>
  <c r="AH119" s="1"/>
  <c r="T117" i="95"/>
  <c r="Y118" i="88" s="1"/>
  <c r="AI118" s="1"/>
  <c r="S117" i="95"/>
  <c r="X118" i="88" s="1"/>
  <c r="AH118" s="1"/>
  <c r="T116" i="95"/>
  <c r="Y117" i="88" s="1"/>
  <c r="AI117" s="1"/>
  <c r="S116" i="95"/>
  <c r="X117" i="88" s="1"/>
  <c r="AH117" s="1"/>
  <c r="T115" i="95"/>
  <c r="Y116" i="88" s="1"/>
  <c r="AI116" s="1"/>
  <c r="S115" i="95"/>
  <c r="X116" i="88" s="1"/>
  <c r="AH116" s="1"/>
  <c r="T114" i="95"/>
  <c r="Y115" i="88" s="1"/>
  <c r="AI115" s="1"/>
  <c r="S114" i="95"/>
  <c r="X115" i="88" s="1"/>
  <c r="AH115" s="1"/>
  <c r="T113" i="95"/>
  <c r="Y114" i="88" s="1"/>
  <c r="AI114" s="1"/>
  <c r="S113" i="95"/>
  <c r="X114" i="88" s="1"/>
  <c r="AH114" s="1"/>
  <c r="T112" i="95"/>
  <c r="Y113" i="88" s="1"/>
  <c r="AI113" s="1"/>
  <c r="S112" i="95"/>
  <c r="X113" i="88" s="1"/>
  <c r="AH113" s="1"/>
  <c r="T111" i="95"/>
  <c r="Y112" i="88" s="1"/>
  <c r="AI112" s="1"/>
  <c r="S111" i="95"/>
  <c r="X112" i="88" s="1"/>
  <c r="AH112" s="1"/>
  <c r="T110" i="95"/>
  <c r="Y111" i="88" s="1"/>
  <c r="AI111" s="1"/>
  <c r="S110" i="95"/>
  <c r="X111" i="88" s="1"/>
  <c r="AH111" s="1"/>
  <c r="T109" i="95"/>
  <c r="Y110" i="88" s="1"/>
  <c r="AI110" s="1"/>
  <c r="S109" i="95"/>
  <c r="X110" i="88" s="1"/>
  <c r="AH110" s="1"/>
  <c r="T108" i="95"/>
  <c r="Y109" i="88" s="1"/>
  <c r="AI109" s="1"/>
  <c r="S108" i="95"/>
  <c r="X109" i="88" s="1"/>
  <c r="AH109" s="1"/>
  <c r="T107" i="95"/>
  <c r="Y108" i="88" s="1"/>
  <c r="AI108" s="1"/>
  <c r="S107" i="95"/>
  <c r="X108" i="88" s="1"/>
  <c r="AH108" s="1"/>
  <c r="T106" i="95"/>
  <c r="Y107" i="88" s="1"/>
  <c r="AI107" s="1"/>
  <c r="S106" i="95"/>
  <c r="X107" i="88" s="1"/>
  <c r="AH107" s="1"/>
  <c r="T105" i="95"/>
  <c r="Y106" i="88" s="1"/>
  <c r="AI106" s="1"/>
  <c r="S105" i="95"/>
  <c r="X106" i="88" s="1"/>
  <c r="AH106" s="1"/>
  <c r="T104" i="95"/>
  <c r="Y105" i="88" s="1"/>
  <c r="AI105" s="1"/>
  <c r="S104" i="95"/>
  <c r="X105" i="88" s="1"/>
  <c r="AH105" s="1"/>
  <c r="T103" i="95"/>
  <c r="Y104" i="88" s="1"/>
  <c r="AI104" s="1"/>
  <c r="S103" i="95"/>
  <c r="X104" i="88" s="1"/>
  <c r="AH104" s="1"/>
  <c r="T102" i="95"/>
  <c r="Y103" i="88" s="1"/>
  <c r="AI103" s="1"/>
  <c r="S102" i="95"/>
  <c r="X103" i="88" s="1"/>
  <c r="AH103" s="1"/>
  <c r="T101" i="95"/>
  <c r="Y102" i="88" s="1"/>
  <c r="AI102" s="1"/>
  <c r="S101" i="95"/>
  <c r="X102" i="88" s="1"/>
  <c r="AH102" s="1"/>
  <c r="T100" i="95"/>
  <c r="Y101" i="88" s="1"/>
  <c r="AI101" s="1"/>
  <c r="S100" i="95"/>
  <c r="X101" i="88" s="1"/>
  <c r="AH101" s="1"/>
  <c r="T99" i="95"/>
  <c r="Y100" i="88" s="1"/>
  <c r="AI100" s="1"/>
  <c r="S99" i="95"/>
  <c r="X100" i="88" s="1"/>
  <c r="AH100" s="1"/>
  <c r="T98" i="95"/>
  <c r="Y99" i="88" s="1"/>
  <c r="AI99" s="1"/>
  <c r="S98" i="95"/>
  <c r="X99" i="88" s="1"/>
  <c r="AH99" s="1"/>
  <c r="T97" i="95"/>
  <c r="Y98" i="88" s="1"/>
  <c r="AI98" s="1"/>
  <c r="S97" i="95"/>
  <c r="X98" i="88" s="1"/>
  <c r="AH98" s="1"/>
  <c r="T96" i="95"/>
  <c r="Y97" i="88" s="1"/>
  <c r="AI97" s="1"/>
  <c r="S96" i="95"/>
  <c r="X97" i="88" s="1"/>
  <c r="AH97" s="1"/>
  <c r="T95" i="95"/>
  <c r="Y96" i="88" s="1"/>
  <c r="AI96" s="1"/>
  <c r="S95" i="95"/>
  <c r="X96" i="88" s="1"/>
  <c r="AH96" s="1"/>
  <c r="T94" i="95"/>
  <c r="Y95" i="88" s="1"/>
  <c r="AI95" s="1"/>
  <c r="S94" i="95"/>
  <c r="X95" i="88" s="1"/>
  <c r="AH95" s="1"/>
  <c r="T93" i="95"/>
  <c r="Y94" i="88" s="1"/>
  <c r="AI94" s="1"/>
  <c r="S93" i="95"/>
  <c r="X94" i="88" s="1"/>
  <c r="AH94" s="1"/>
  <c r="T92" i="95"/>
  <c r="Y93" i="88" s="1"/>
  <c r="AI93" s="1"/>
  <c r="S92" i="95"/>
  <c r="X93" i="88" s="1"/>
  <c r="AH93" s="1"/>
  <c r="T91" i="95"/>
  <c r="Y92" i="88" s="1"/>
  <c r="AI92" s="1"/>
  <c r="S91" i="95"/>
  <c r="X92" i="88" s="1"/>
  <c r="AH92" s="1"/>
  <c r="T90" i="95"/>
  <c r="Y91" i="88" s="1"/>
  <c r="AI91" s="1"/>
  <c r="S90" i="95"/>
  <c r="X91" i="88" s="1"/>
  <c r="AH91" s="1"/>
  <c r="T89" i="95"/>
  <c r="Y90" i="88" s="1"/>
  <c r="AI90" s="1"/>
  <c r="S89" i="95"/>
  <c r="X90" i="88" s="1"/>
  <c r="AH90" s="1"/>
  <c r="T88" i="95"/>
  <c r="Y89" i="88" s="1"/>
  <c r="AI89" s="1"/>
  <c r="S88" i="95"/>
  <c r="X89" i="88" s="1"/>
  <c r="AH89" s="1"/>
  <c r="T87" i="95"/>
  <c r="Y88" i="88" s="1"/>
  <c r="AI88" s="1"/>
  <c r="S87" i="95"/>
  <c r="X88" i="88" s="1"/>
  <c r="AH88" s="1"/>
  <c r="T86" i="95"/>
  <c r="Y87" i="88" s="1"/>
  <c r="AI87" s="1"/>
  <c r="S86" i="95"/>
  <c r="X87" i="88" s="1"/>
  <c r="AH87" s="1"/>
  <c r="T85" i="95"/>
  <c r="Y86" i="88" s="1"/>
  <c r="AI86" s="1"/>
  <c r="S85" i="95"/>
  <c r="X86" i="88" s="1"/>
  <c r="AH86" s="1"/>
  <c r="T84" i="95"/>
  <c r="Y85" i="88" s="1"/>
  <c r="AI85" s="1"/>
  <c r="S84" i="95"/>
  <c r="X85" i="88" s="1"/>
  <c r="AH85" s="1"/>
  <c r="T83" i="95"/>
  <c r="Y84" i="88" s="1"/>
  <c r="AI84" s="1"/>
  <c r="S83" i="95"/>
  <c r="X84" i="88" s="1"/>
  <c r="AH84" s="1"/>
  <c r="T82" i="95"/>
  <c r="Y83" i="88" s="1"/>
  <c r="AI83" s="1"/>
  <c r="S82" i="95"/>
  <c r="X83" i="88" s="1"/>
  <c r="AH83" s="1"/>
  <c r="T81" i="95"/>
  <c r="Y82" i="88" s="1"/>
  <c r="AI82" s="1"/>
  <c r="S81" i="95"/>
  <c r="X82" i="88" s="1"/>
  <c r="AH82" s="1"/>
  <c r="T80" i="95"/>
  <c r="Y81" i="88" s="1"/>
  <c r="AI81" s="1"/>
  <c r="S80" i="95"/>
  <c r="X81" i="88" s="1"/>
  <c r="AH81" s="1"/>
  <c r="T79" i="95"/>
  <c r="Y80" i="88" s="1"/>
  <c r="AI80" s="1"/>
  <c r="S79" i="95"/>
  <c r="X80" i="88" s="1"/>
  <c r="AH80" s="1"/>
  <c r="T78" i="95"/>
  <c r="Y79" i="88" s="1"/>
  <c r="AI79" s="1"/>
  <c r="S78" i="95"/>
  <c r="X79" i="88" s="1"/>
  <c r="AH79" s="1"/>
  <c r="T77" i="95"/>
  <c r="Y78" i="88" s="1"/>
  <c r="AI78" s="1"/>
  <c r="S77" i="95"/>
  <c r="X78" i="88" s="1"/>
  <c r="AH78" s="1"/>
  <c r="T76" i="95"/>
  <c r="Y77" i="88" s="1"/>
  <c r="AI77" s="1"/>
  <c r="S76" i="95"/>
  <c r="X77" i="88" s="1"/>
  <c r="AH77" s="1"/>
  <c r="T75" i="95"/>
  <c r="Y76" i="88" s="1"/>
  <c r="AI76" s="1"/>
  <c r="S75" i="95"/>
  <c r="X76" i="88" s="1"/>
  <c r="AH76" s="1"/>
  <c r="T74" i="95"/>
  <c r="Y75" i="88" s="1"/>
  <c r="AI75" s="1"/>
  <c r="S74" i="95"/>
  <c r="X75" i="88" s="1"/>
  <c r="AH75" s="1"/>
  <c r="T73" i="95"/>
  <c r="Y74" i="88" s="1"/>
  <c r="AI74" s="1"/>
  <c r="S73" i="95"/>
  <c r="X74" i="88" s="1"/>
  <c r="AH74" s="1"/>
  <c r="T72" i="95"/>
  <c r="Y73" i="88" s="1"/>
  <c r="AI73" s="1"/>
  <c r="S72" i="95"/>
  <c r="X73" i="88" s="1"/>
  <c r="AH73" s="1"/>
  <c r="T71" i="95"/>
  <c r="Y72" i="88" s="1"/>
  <c r="AI72" s="1"/>
  <c r="S71" i="95"/>
  <c r="X72" i="88" s="1"/>
  <c r="AH72" s="1"/>
  <c r="T70" i="95"/>
  <c r="Y71" i="88" s="1"/>
  <c r="AI71" s="1"/>
  <c r="S70" i="95"/>
  <c r="X71" i="88" s="1"/>
  <c r="AH71" s="1"/>
  <c r="T69" i="95"/>
  <c r="Y70" i="88" s="1"/>
  <c r="AI70" s="1"/>
  <c r="S69" i="95"/>
  <c r="X70" i="88" s="1"/>
  <c r="AH70" s="1"/>
  <c r="T68" i="95"/>
  <c r="Y69" i="88" s="1"/>
  <c r="AI69" s="1"/>
  <c r="S68" i="95"/>
  <c r="X69" i="88" s="1"/>
  <c r="AH69" s="1"/>
  <c r="T67" i="95"/>
  <c r="Y68" i="88" s="1"/>
  <c r="AI68" s="1"/>
  <c r="S67" i="95"/>
  <c r="X68" i="88" s="1"/>
  <c r="AH68" s="1"/>
  <c r="T66" i="95"/>
  <c r="Y67" i="88" s="1"/>
  <c r="AI67" s="1"/>
  <c r="S66" i="95"/>
  <c r="X67" i="88" s="1"/>
  <c r="AH67" s="1"/>
  <c r="T65" i="95"/>
  <c r="Y66" i="88" s="1"/>
  <c r="AI66" s="1"/>
  <c r="S65" i="95"/>
  <c r="X66" i="88" s="1"/>
  <c r="AH66" s="1"/>
  <c r="T64" i="95"/>
  <c r="Y65" i="88" s="1"/>
  <c r="AI65" s="1"/>
  <c r="S64" i="95"/>
  <c r="X65" i="88" s="1"/>
  <c r="AH65" s="1"/>
  <c r="T63" i="95"/>
  <c r="Y64" i="88" s="1"/>
  <c r="AI64" s="1"/>
  <c r="S63" i="95"/>
  <c r="X64" i="88" s="1"/>
  <c r="AH64" s="1"/>
  <c r="T62" i="95"/>
  <c r="Y63" i="88" s="1"/>
  <c r="AI63" s="1"/>
  <c r="S62" i="95"/>
  <c r="X63" i="88" s="1"/>
  <c r="AH63" s="1"/>
  <c r="T61" i="95"/>
  <c r="Y62" i="88" s="1"/>
  <c r="AI62" s="1"/>
  <c r="S61" i="95"/>
  <c r="X62" i="88" s="1"/>
  <c r="AH62" s="1"/>
  <c r="T60" i="95"/>
  <c r="Y61" i="88" s="1"/>
  <c r="AI61" s="1"/>
  <c r="S60" i="95"/>
  <c r="X61" i="88" s="1"/>
  <c r="AH61" s="1"/>
  <c r="T59" i="95"/>
  <c r="Y60" i="88" s="1"/>
  <c r="AI60" s="1"/>
  <c r="S59" i="95"/>
  <c r="X60" i="88" s="1"/>
  <c r="AH60" s="1"/>
  <c r="T58" i="95"/>
  <c r="Y59" i="88" s="1"/>
  <c r="AI59" s="1"/>
  <c r="S58" i="95"/>
  <c r="X59" i="88" s="1"/>
  <c r="AH59" s="1"/>
  <c r="T57" i="95"/>
  <c r="Y58" i="88" s="1"/>
  <c r="AI58" s="1"/>
  <c r="S57" i="95"/>
  <c r="X58" i="88" s="1"/>
  <c r="AH58" s="1"/>
  <c r="T56" i="95"/>
  <c r="Y57" i="88" s="1"/>
  <c r="AI57" s="1"/>
  <c r="S56" i="95"/>
  <c r="X57" i="88" s="1"/>
  <c r="AH57" s="1"/>
  <c r="T55" i="95"/>
  <c r="Y56" i="88" s="1"/>
  <c r="AI56" s="1"/>
  <c r="S55" i="95"/>
  <c r="X56" i="88" s="1"/>
  <c r="AH56" s="1"/>
  <c r="T54" i="95"/>
  <c r="Y55" i="88" s="1"/>
  <c r="AI55" s="1"/>
  <c r="S54" i="95"/>
  <c r="X55" i="88" s="1"/>
  <c r="AH55" s="1"/>
  <c r="T53" i="95"/>
  <c r="Y54" i="88" s="1"/>
  <c r="AI54" s="1"/>
  <c r="S53" i="95"/>
  <c r="X54" i="88" s="1"/>
  <c r="AH54" s="1"/>
  <c r="T52" i="95"/>
  <c r="Y53" i="88" s="1"/>
  <c r="AI53" s="1"/>
  <c r="S52" i="95"/>
  <c r="X53" i="88" s="1"/>
  <c r="AH53" s="1"/>
  <c r="T51" i="95"/>
  <c r="Y52" i="88" s="1"/>
  <c r="AI52" s="1"/>
  <c r="S51" i="95"/>
  <c r="X52" i="88" s="1"/>
  <c r="AH52" s="1"/>
  <c r="T50" i="95"/>
  <c r="Y51" i="88" s="1"/>
  <c r="AI51" s="1"/>
  <c r="S50" i="95"/>
  <c r="X51" i="88" s="1"/>
  <c r="AH51" s="1"/>
  <c r="T49" i="95"/>
  <c r="Y50" i="88" s="1"/>
  <c r="AI50" s="1"/>
  <c r="S49" i="95"/>
  <c r="X50" i="88" s="1"/>
  <c r="AH50" s="1"/>
  <c r="T48" i="95"/>
  <c r="Y49" i="88" s="1"/>
  <c r="AI49" s="1"/>
  <c r="S48" i="95"/>
  <c r="X49" i="88" s="1"/>
  <c r="AH49" s="1"/>
  <c r="T47" i="95"/>
  <c r="Y48" i="88" s="1"/>
  <c r="AI48" s="1"/>
  <c r="S47" i="95"/>
  <c r="X48" i="88" s="1"/>
  <c r="AH48" s="1"/>
  <c r="T46" i="95"/>
  <c r="Y47" i="88" s="1"/>
  <c r="AI47" s="1"/>
  <c r="S46" i="95"/>
  <c r="X47" i="88" s="1"/>
  <c r="AH47" s="1"/>
  <c r="T45" i="95"/>
  <c r="Y46" i="88" s="1"/>
  <c r="AI46" s="1"/>
  <c r="S45" i="95"/>
  <c r="X46" i="88" s="1"/>
  <c r="AH46" s="1"/>
  <c r="T44" i="95"/>
  <c r="Y45" i="88" s="1"/>
  <c r="AI45" s="1"/>
  <c r="S44" i="95"/>
  <c r="X45" i="88" s="1"/>
  <c r="AH45" s="1"/>
  <c r="T43" i="95"/>
  <c r="Y44" i="88" s="1"/>
  <c r="AI44" s="1"/>
  <c r="S43" i="95"/>
  <c r="X44" i="88" s="1"/>
  <c r="AH44" s="1"/>
  <c r="T42" i="95"/>
  <c r="Y43" i="88" s="1"/>
  <c r="AI43" s="1"/>
  <c r="S42" i="95"/>
  <c r="X43" i="88" s="1"/>
  <c r="AH43" s="1"/>
  <c r="T41" i="95"/>
  <c r="Y42" i="88" s="1"/>
  <c r="AI42" s="1"/>
  <c r="S41" i="95"/>
  <c r="X42" i="88" s="1"/>
  <c r="AH42" s="1"/>
  <c r="T40" i="95"/>
  <c r="Y41" i="88" s="1"/>
  <c r="AI41" s="1"/>
  <c r="S40" i="95"/>
  <c r="X41" i="88" s="1"/>
  <c r="AH41" s="1"/>
  <c r="T39" i="95"/>
  <c r="Y40" i="88" s="1"/>
  <c r="AI40" s="1"/>
  <c r="S39" i="95"/>
  <c r="X40" i="88" s="1"/>
  <c r="AH40" s="1"/>
  <c r="T38" i="95"/>
  <c r="Y39" i="88" s="1"/>
  <c r="AI39" s="1"/>
  <c r="S38" i="95"/>
  <c r="X39" i="88" s="1"/>
  <c r="AH39" s="1"/>
  <c r="T37" i="95"/>
  <c r="Y38" i="88" s="1"/>
  <c r="AI38" s="1"/>
  <c r="S37" i="95"/>
  <c r="X38" i="88" s="1"/>
  <c r="AH38" s="1"/>
  <c r="T36" i="95"/>
  <c r="Y37" i="88" s="1"/>
  <c r="AI37" s="1"/>
  <c r="S36" i="95"/>
  <c r="X37" i="88" s="1"/>
  <c r="AH37" s="1"/>
  <c r="T35" i="95"/>
  <c r="Y36" i="88" s="1"/>
  <c r="AI36" s="1"/>
  <c r="S35" i="95"/>
  <c r="X36" i="88" s="1"/>
  <c r="AH36" s="1"/>
  <c r="T34" i="95"/>
  <c r="Y35" i="88" s="1"/>
  <c r="AI35" s="1"/>
  <c r="S34" i="95"/>
  <c r="X35" i="88" s="1"/>
  <c r="AH35" s="1"/>
  <c r="T33" i="95"/>
  <c r="Y34" i="88" s="1"/>
  <c r="AI34" s="1"/>
  <c r="S33" i="95"/>
  <c r="X34" i="88" s="1"/>
  <c r="AH34" s="1"/>
  <c r="T32" i="95"/>
  <c r="Y33" i="88" s="1"/>
  <c r="AI33" s="1"/>
  <c r="S32" i="95"/>
  <c r="X33" i="88" s="1"/>
  <c r="AH33" s="1"/>
  <c r="T31" i="95"/>
  <c r="Y32" i="88" s="1"/>
  <c r="AI32" s="1"/>
  <c r="S31" i="95"/>
  <c r="X32" i="88" s="1"/>
  <c r="AH32" s="1"/>
  <c r="T30" i="95"/>
  <c r="Y31" i="88" s="1"/>
  <c r="AI31" s="1"/>
  <c r="S30" i="95"/>
  <c r="X31" i="88" s="1"/>
  <c r="AH31" s="1"/>
  <c r="T29" i="95"/>
  <c r="Y30" i="88" s="1"/>
  <c r="AI30" s="1"/>
  <c r="S29" i="95"/>
  <c r="X30" i="88" s="1"/>
  <c r="AH30" s="1"/>
  <c r="T28" i="95"/>
  <c r="Y29" i="88" s="1"/>
  <c r="AI29" s="1"/>
  <c r="S28" i="95"/>
  <c r="X29" i="88" s="1"/>
  <c r="AH29" s="1"/>
  <c r="T27" i="95"/>
  <c r="Y28" i="88" s="1"/>
  <c r="AI28" s="1"/>
  <c r="S27" i="95"/>
  <c r="X28" i="88" s="1"/>
  <c r="AH28" s="1"/>
  <c r="T26" i="95"/>
  <c r="Y27" i="88" s="1"/>
  <c r="AI27" s="1"/>
  <c r="S26" i="95"/>
  <c r="X27" i="88" s="1"/>
  <c r="AH27" s="1"/>
  <c r="T25" i="95"/>
  <c r="Y26" i="88" s="1"/>
  <c r="AI26" s="1"/>
  <c r="S25" i="95"/>
  <c r="X26" i="88" s="1"/>
  <c r="AH26" s="1"/>
  <c r="T24" i="95"/>
  <c r="Y25" i="88" s="1"/>
  <c r="AI25" s="1"/>
  <c r="S24" i="95"/>
  <c r="X25" i="88" s="1"/>
  <c r="AH25" s="1"/>
  <c r="T23" i="95"/>
  <c r="Y24" i="88" s="1"/>
  <c r="AI24" s="1"/>
  <c r="S23" i="95"/>
  <c r="X24" i="88" s="1"/>
  <c r="AH24" s="1"/>
  <c r="T22" i="95"/>
  <c r="Y23" i="88" s="1"/>
  <c r="AI23" s="1"/>
  <c r="S22" i="95"/>
  <c r="X23" i="88" s="1"/>
  <c r="AH23" s="1"/>
  <c r="T21" i="95"/>
  <c r="Y22" i="88" s="1"/>
  <c r="AI22" s="1"/>
  <c r="S21" i="95"/>
  <c r="X22" i="88" s="1"/>
  <c r="AH22" s="1"/>
  <c r="T20" i="95"/>
  <c r="Y21" i="88" s="1"/>
  <c r="AI21" s="1"/>
  <c r="S20" i="95"/>
  <c r="X21" i="88" s="1"/>
  <c r="AH21" s="1"/>
  <c r="T19" i="95"/>
  <c r="Y20" i="88" s="1"/>
  <c r="AI20" s="1"/>
  <c r="S19" i="95"/>
  <c r="X20" i="88" s="1"/>
  <c r="AH20" s="1"/>
  <c r="T18" i="95"/>
  <c r="Y19" i="88" s="1"/>
  <c r="AI19" s="1"/>
  <c r="S18" i="95"/>
  <c r="X19" i="88" s="1"/>
  <c r="AH19" s="1"/>
  <c r="T17" i="95"/>
  <c r="Y18" i="88" s="1"/>
  <c r="AI18" s="1"/>
  <c r="S17" i="95"/>
  <c r="X18" i="88" s="1"/>
  <c r="AH18" s="1"/>
  <c r="T16" i="95"/>
  <c r="Y17" i="88" s="1"/>
  <c r="AI17" s="1"/>
  <c r="S16" i="95"/>
  <c r="X17" i="88" s="1"/>
  <c r="AH17" s="1"/>
  <c r="T15" i="95"/>
  <c r="Y16" i="88" s="1"/>
  <c r="AI16" s="1"/>
  <c r="S15" i="95"/>
  <c r="X16" i="88" s="1"/>
  <c r="AH16" s="1"/>
  <c r="T14" i="95"/>
  <c r="Y15" i="88" s="1"/>
  <c r="AI15" s="1"/>
  <c r="S14" i="95"/>
  <c r="X15" i="88" s="1"/>
  <c r="AH15" s="1"/>
  <c r="T13" i="95"/>
  <c r="Y14" i="88" s="1"/>
  <c r="AI14" s="1"/>
  <c r="S13" i="95"/>
  <c r="X14" i="88" s="1"/>
  <c r="AH14" s="1"/>
  <c r="T12" i="95"/>
  <c r="Y13" i="88" s="1"/>
  <c r="AI13" s="1"/>
  <c r="S12" i="95"/>
  <c r="X13" i="88" s="1"/>
  <c r="AH13" s="1"/>
  <c r="T11" i="95"/>
  <c r="Y12" i="88" s="1"/>
  <c r="AI12" s="1"/>
  <c r="S11" i="95"/>
  <c r="X12" i="88" s="1"/>
  <c r="AH12" s="1"/>
  <c r="T10" i="95"/>
  <c r="Y11" i="88" s="1"/>
  <c r="AI11" s="1"/>
  <c r="S10" i="95"/>
  <c r="X11" i="88" s="1"/>
  <c r="AH11" s="1"/>
  <c r="T9" i="95"/>
  <c r="Y10" i="88" s="1"/>
  <c r="AI10" s="1"/>
  <c r="S9" i="95"/>
  <c r="X10" i="88" s="1"/>
  <c r="AH10" s="1"/>
  <c r="T8" i="95"/>
  <c r="Y9" i="88" s="1"/>
  <c r="AI9" s="1"/>
  <c r="S8" i="95"/>
  <c r="X9" i="88" s="1"/>
  <c r="AH9" s="1"/>
  <c r="U7" i="95"/>
  <c r="Z8" i="88" s="1"/>
  <c r="T7" i="95"/>
  <c r="Y8" i="88" s="1"/>
  <c r="AI8" s="1"/>
  <c r="S7" i="95"/>
  <c r="X8" i="88" s="1"/>
  <c r="AH8" s="1"/>
  <c r="T6" i="95"/>
  <c r="Y7" i="88" s="1"/>
  <c r="AI7" s="1"/>
  <c r="S6" i="95"/>
  <c r="X7" i="88" s="1"/>
  <c r="AH7" s="1"/>
  <c r="T5" i="95"/>
  <c r="Y6" i="88" s="1"/>
  <c r="AI6" s="1"/>
  <c r="S5" i="95"/>
  <c r="X6" i="88" s="1"/>
  <c r="AH6" s="1"/>
  <c r="Q125" i="95"/>
  <c r="P125"/>
  <c r="Q124"/>
  <c r="V125" i="88" s="1"/>
  <c r="AF125" s="1"/>
  <c r="P124" i="95"/>
  <c r="U125" i="88" s="1"/>
  <c r="AE125" s="1"/>
  <c r="Q123" i="95"/>
  <c r="V124" i="88" s="1"/>
  <c r="AF124" s="1"/>
  <c r="P123" i="95"/>
  <c r="U124" i="88" s="1"/>
  <c r="AE124" s="1"/>
  <c r="Q122" i="95"/>
  <c r="V123" i="88" s="1"/>
  <c r="AF123" s="1"/>
  <c r="P122" i="95"/>
  <c r="U123" i="88" s="1"/>
  <c r="AE123" s="1"/>
  <c r="Q121" i="95"/>
  <c r="V122" i="88" s="1"/>
  <c r="AF122" s="1"/>
  <c r="P121" i="95"/>
  <c r="U122" i="88" s="1"/>
  <c r="AE122" s="1"/>
  <c r="Q120" i="95"/>
  <c r="V121" i="88" s="1"/>
  <c r="AF121" s="1"/>
  <c r="P120" i="95"/>
  <c r="U121" i="88" s="1"/>
  <c r="AE121" s="1"/>
  <c r="Q119" i="95"/>
  <c r="V120" i="88" s="1"/>
  <c r="AF120" s="1"/>
  <c r="P119" i="95"/>
  <c r="U120" i="88" s="1"/>
  <c r="AE120" s="1"/>
  <c r="Q118" i="95"/>
  <c r="V119" i="88" s="1"/>
  <c r="AF119" s="1"/>
  <c r="P118" i="95"/>
  <c r="U119" i="88" s="1"/>
  <c r="AE119" s="1"/>
  <c r="Q117" i="95"/>
  <c r="V118" i="88" s="1"/>
  <c r="AF118" s="1"/>
  <c r="P117" i="95"/>
  <c r="U118" i="88" s="1"/>
  <c r="AE118" s="1"/>
  <c r="Q116" i="95"/>
  <c r="V117" i="88" s="1"/>
  <c r="AF117" s="1"/>
  <c r="P116" i="95"/>
  <c r="U117" i="88" s="1"/>
  <c r="AE117" s="1"/>
  <c r="Q115" i="95"/>
  <c r="V116" i="88" s="1"/>
  <c r="AF116" s="1"/>
  <c r="P115" i="95"/>
  <c r="U116" i="88" s="1"/>
  <c r="AE116" s="1"/>
  <c r="Q114" i="95"/>
  <c r="V115" i="88" s="1"/>
  <c r="AF115" s="1"/>
  <c r="P114" i="95"/>
  <c r="U115" i="88" s="1"/>
  <c r="AE115" s="1"/>
  <c r="Q113" i="95"/>
  <c r="V114" i="88" s="1"/>
  <c r="AF114" s="1"/>
  <c r="P113" i="95"/>
  <c r="U114" i="88" s="1"/>
  <c r="AE114" s="1"/>
  <c r="Q112" i="95"/>
  <c r="V113" i="88" s="1"/>
  <c r="AF113" s="1"/>
  <c r="P112" i="95"/>
  <c r="U113" i="88" s="1"/>
  <c r="AE113" s="1"/>
  <c r="Q111" i="95"/>
  <c r="V112" i="88" s="1"/>
  <c r="AF112" s="1"/>
  <c r="P111" i="95"/>
  <c r="U112" i="88" s="1"/>
  <c r="AE112" s="1"/>
  <c r="Q110" i="95"/>
  <c r="V111" i="88" s="1"/>
  <c r="AF111" s="1"/>
  <c r="P110" i="95"/>
  <c r="U111" i="88" s="1"/>
  <c r="AE111" s="1"/>
  <c r="Q109" i="95"/>
  <c r="V110" i="88" s="1"/>
  <c r="AF110" s="1"/>
  <c r="P109" i="95"/>
  <c r="U110" i="88" s="1"/>
  <c r="AE110" s="1"/>
  <c r="Q108" i="95"/>
  <c r="V109" i="88" s="1"/>
  <c r="AF109" s="1"/>
  <c r="P108" i="95"/>
  <c r="U109" i="88" s="1"/>
  <c r="AE109" s="1"/>
  <c r="Q107" i="95"/>
  <c r="V108" i="88" s="1"/>
  <c r="AF108" s="1"/>
  <c r="P107" i="95"/>
  <c r="U108" i="88" s="1"/>
  <c r="AE108" s="1"/>
  <c r="Q106" i="95"/>
  <c r="V107" i="88" s="1"/>
  <c r="AF107" s="1"/>
  <c r="P106" i="95"/>
  <c r="U107" i="88" s="1"/>
  <c r="AE107" s="1"/>
  <c r="Q105" i="95"/>
  <c r="V106" i="88" s="1"/>
  <c r="AF106" s="1"/>
  <c r="P105" i="95"/>
  <c r="U106" i="88" s="1"/>
  <c r="AE106" s="1"/>
  <c r="Q104" i="95"/>
  <c r="V105" i="88" s="1"/>
  <c r="AF105" s="1"/>
  <c r="P104" i="95"/>
  <c r="U105" i="88" s="1"/>
  <c r="AE105" s="1"/>
  <c r="Q103" i="95"/>
  <c r="V104" i="88" s="1"/>
  <c r="AF104" s="1"/>
  <c r="P103" i="95"/>
  <c r="U104" i="88" s="1"/>
  <c r="AE104" s="1"/>
  <c r="Q102" i="95"/>
  <c r="V103" i="88" s="1"/>
  <c r="AF103" s="1"/>
  <c r="P102" i="95"/>
  <c r="U103" i="88" s="1"/>
  <c r="AE103" s="1"/>
  <c r="Q101" i="95"/>
  <c r="V102" i="88" s="1"/>
  <c r="AF102" s="1"/>
  <c r="P101" i="95"/>
  <c r="U102" i="88" s="1"/>
  <c r="AE102" s="1"/>
  <c r="Q100" i="95"/>
  <c r="V101" i="88" s="1"/>
  <c r="AF101" s="1"/>
  <c r="P100" i="95"/>
  <c r="U101" i="88" s="1"/>
  <c r="AE101" s="1"/>
  <c r="Q99" i="95"/>
  <c r="V100" i="88" s="1"/>
  <c r="AF100" s="1"/>
  <c r="P99" i="95"/>
  <c r="U100" i="88" s="1"/>
  <c r="AE100" s="1"/>
  <c r="Q98" i="95"/>
  <c r="V99" i="88" s="1"/>
  <c r="AF99" s="1"/>
  <c r="P98" i="95"/>
  <c r="U99" i="88" s="1"/>
  <c r="AE99" s="1"/>
  <c r="Q97" i="95"/>
  <c r="V98" i="88" s="1"/>
  <c r="AF98" s="1"/>
  <c r="P97" i="95"/>
  <c r="U98" i="88" s="1"/>
  <c r="AE98" s="1"/>
  <c r="Q96" i="95"/>
  <c r="V97" i="88" s="1"/>
  <c r="AF97" s="1"/>
  <c r="P96" i="95"/>
  <c r="U97" i="88" s="1"/>
  <c r="AE97" s="1"/>
  <c r="Q95" i="95"/>
  <c r="V96" i="88" s="1"/>
  <c r="AF96" s="1"/>
  <c r="P95" i="95"/>
  <c r="U96" i="88" s="1"/>
  <c r="AE96" s="1"/>
  <c r="Q94" i="95"/>
  <c r="V95" i="88" s="1"/>
  <c r="AF95" s="1"/>
  <c r="P94" i="95"/>
  <c r="U95" i="88" s="1"/>
  <c r="AE95" s="1"/>
  <c r="Q93" i="95"/>
  <c r="V94" i="88" s="1"/>
  <c r="AF94" s="1"/>
  <c r="P93" i="95"/>
  <c r="U94" i="88" s="1"/>
  <c r="AE94" s="1"/>
  <c r="Q92" i="95"/>
  <c r="V93" i="88" s="1"/>
  <c r="AF93" s="1"/>
  <c r="P92" i="95"/>
  <c r="U93" i="88" s="1"/>
  <c r="AE93" s="1"/>
  <c r="Q91" i="95"/>
  <c r="V92" i="88" s="1"/>
  <c r="AF92" s="1"/>
  <c r="P91" i="95"/>
  <c r="U92" i="88" s="1"/>
  <c r="AE92" s="1"/>
  <c r="Q90" i="95"/>
  <c r="V91" i="88" s="1"/>
  <c r="AF91" s="1"/>
  <c r="P90" i="95"/>
  <c r="U91" i="88" s="1"/>
  <c r="AE91" s="1"/>
  <c r="Q89" i="95"/>
  <c r="V90" i="88" s="1"/>
  <c r="AF90" s="1"/>
  <c r="P89" i="95"/>
  <c r="U90" i="88" s="1"/>
  <c r="AE90" s="1"/>
  <c r="Q88" i="95"/>
  <c r="V89" i="88" s="1"/>
  <c r="AF89" s="1"/>
  <c r="P88" i="95"/>
  <c r="U89" i="88" s="1"/>
  <c r="AE89" s="1"/>
  <c r="Q87" i="95"/>
  <c r="V88" i="88" s="1"/>
  <c r="AF88" s="1"/>
  <c r="P87" i="95"/>
  <c r="U88" i="88" s="1"/>
  <c r="AE88" s="1"/>
  <c r="Q86" i="95"/>
  <c r="V87" i="88" s="1"/>
  <c r="AF87" s="1"/>
  <c r="P86" i="95"/>
  <c r="U87" i="88" s="1"/>
  <c r="AE87" s="1"/>
  <c r="Q85" i="95"/>
  <c r="V86" i="88" s="1"/>
  <c r="AF86" s="1"/>
  <c r="P85" i="95"/>
  <c r="U86" i="88" s="1"/>
  <c r="AE86" s="1"/>
  <c r="Q84" i="95"/>
  <c r="V85" i="88" s="1"/>
  <c r="AF85" s="1"/>
  <c r="P84" i="95"/>
  <c r="U85" i="88" s="1"/>
  <c r="AE85" s="1"/>
  <c r="Q83" i="95"/>
  <c r="V84" i="88" s="1"/>
  <c r="AF84" s="1"/>
  <c r="P83" i="95"/>
  <c r="U84" i="88" s="1"/>
  <c r="AE84" s="1"/>
  <c r="Q82" i="95"/>
  <c r="V83" i="88" s="1"/>
  <c r="AF83" s="1"/>
  <c r="P82" i="95"/>
  <c r="U83" i="88" s="1"/>
  <c r="AE83" s="1"/>
  <c r="Q81" i="95"/>
  <c r="V82" i="88" s="1"/>
  <c r="AF82" s="1"/>
  <c r="P81" i="95"/>
  <c r="U82" i="88" s="1"/>
  <c r="AE82" s="1"/>
  <c r="Q80" i="95"/>
  <c r="V81" i="88" s="1"/>
  <c r="AF81" s="1"/>
  <c r="P80" i="95"/>
  <c r="U81" i="88" s="1"/>
  <c r="AE81" s="1"/>
  <c r="Q79" i="95"/>
  <c r="V80" i="88" s="1"/>
  <c r="AF80" s="1"/>
  <c r="P79" i="95"/>
  <c r="U80" i="88" s="1"/>
  <c r="AE80" s="1"/>
  <c r="Q78" i="95"/>
  <c r="V79" i="88" s="1"/>
  <c r="AF79" s="1"/>
  <c r="P78" i="95"/>
  <c r="U79" i="88" s="1"/>
  <c r="AE79" s="1"/>
  <c r="Q77" i="95"/>
  <c r="V78" i="88" s="1"/>
  <c r="AF78" s="1"/>
  <c r="P77" i="95"/>
  <c r="U78" i="88" s="1"/>
  <c r="AE78" s="1"/>
  <c r="Q76" i="95"/>
  <c r="V77" i="88" s="1"/>
  <c r="AF77" s="1"/>
  <c r="P76" i="95"/>
  <c r="U77" i="88" s="1"/>
  <c r="AE77" s="1"/>
  <c r="Q75" i="95"/>
  <c r="V76" i="88" s="1"/>
  <c r="AF76" s="1"/>
  <c r="P75" i="95"/>
  <c r="U76" i="88" s="1"/>
  <c r="AE76" s="1"/>
  <c r="Q74" i="95"/>
  <c r="V75" i="88" s="1"/>
  <c r="AF75" s="1"/>
  <c r="P74" i="95"/>
  <c r="U75" i="88" s="1"/>
  <c r="AE75" s="1"/>
  <c r="Q73" i="95"/>
  <c r="V74" i="88" s="1"/>
  <c r="AF74" s="1"/>
  <c r="P73" i="95"/>
  <c r="U74" i="88" s="1"/>
  <c r="AE74" s="1"/>
  <c r="Q72" i="95"/>
  <c r="V73" i="88" s="1"/>
  <c r="AF73" s="1"/>
  <c r="P72" i="95"/>
  <c r="U73" i="88" s="1"/>
  <c r="AE73" s="1"/>
  <c r="Q71" i="95"/>
  <c r="V72" i="88" s="1"/>
  <c r="AF72" s="1"/>
  <c r="P71" i="95"/>
  <c r="U72" i="88" s="1"/>
  <c r="AE72" s="1"/>
  <c r="Q70" i="95"/>
  <c r="V71" i="88" s="1"/>
  <c r="AF71" s="1"/>
  <c r="P70" i="95"/>
  <c r="U71" i="88" s="1"/>
  <c r="AE71" s="1"/>
  <c r="Q69" i="95"/>
  <c r="V70" i="88" s="1"/>
  <c r="AF70" s="1"/>
  <c r="P69" i="95"/>
  <c r="U70" i="88" s="1"/>
  <c r="AE70" s="1"/>
  <c r="Q68" i="95"/>
  <c r="V69" i="88" s="1"/>
  <c r="AF69" s="1"/>
  <c r="P68" i="95"/>
  <c r="U69" i="88" s="1"/>
  <c r="AE69" s="1"/>
  <c r="Q67" i="95"/>
  <c r="V68" i="88" s="1"/>
  <c r="AF68" s="1"/>
  <c r="P67" i="95"/>
  <c r="U68" i="88" s="1"/>
  <c r="AE68" s="1"/>
  <c r="Q66" i="95"/>
  <c r="V67" i="88" s="1"/>
  <c r="AF67" s="1"/>
  <c r="P66" i="95"/>
  <c r="U67" i="88" s="1"/>
  <c r="AE67" s="1"/>
  <c r="Q65" i="95"/>
  <c r="V66" i="88" s="1"/>
  <c r="AF66" s="1"/>
  <c r="P65" i="95"/>
  <c r="U66" i="88" s="1"/>
  <c r="AE66" s="1"/>
  <c r="Q64" i="95"/>
  <c r="V65" i="88" s="1"/>
  <c r="AF65" s="1"/>
  <c r="P64" i="95"/>
  <c r="U65" i="88" s="1"/>
  <c r="AE65" s="1"/>
  <c r="Q63" i="95"/>
  <c r="V64" i="88" s="1"/>
  <c r="AF64" s="1"/>
  <c r="P63" i="95"/>
  <c r="U64" i="88" s="1"/>
  <c r="AE64" s="1"/>
  <c r="Q62" i="95"/>
  <c r="V63" i="88" s="1"/>
  <c r="AF63" s="1"/>
  <c r="P62" i="95"/>
  <c r="U63" i="88" s="1"/>
  <c r="AE63" s="1"/>
  <c r="Q61" i="95"/>
  <c r="V62" i="88" s="1"/>
  <c r="AF62" s="1"/>
  <c r="P61" i="95"/>
  <c r="U62" i="88" s="1"/>
  <c r="AE62" s="1"/>
  <c r="Q60" i="95"/>
  <c r="V61" i="88" s="1"/>
  <c r="AF61" s="1"/>
  <c r="P60" i="95"/>
  <c r="U61" i="88" s="1"/>
  <c r="AE61" s="1"/>
  <c r="Q59" i="95"/>
  <c r="V60" i="88" s="1"/>
  <c r="AF60" s="1"/>
  <c r="P59" i="95"/>
  <c r="U60" i="88" s="1"/>
  <c r="AE60" s="1"/>
  <c r="Q58" i="95"/>
  <c r="V59" i="88" s="1"/>
  <c r="AF59" s="1"/>
  <c r="P58" i="95"/>
  <c r="U59" i="88" s="1"/>
  <c r="AE59" s="1"/>
  <c r="Q57" i="95"/>
  <c r="V58" i="88" s="1"/>
  <c r="AF58" s="1"/>
  <c r="P57" i="95"/>
  <c r="U58" i="88" s="1"/>
  <c r="AE58" s="1"/>
  <c r="Q56" i="95"/>
  <c r="V57" i="88" s="1"/>
  <c r="AF57" s="1"/>
  <c r="P56" i="95"/>
  <c r="U57" i="88" s="1"/>
  <c r="AE57" s="1"/>
  <c r="Q55" i="95"/>
  <c r="V56" i="88" s="1"/>
  <c r="AF56" s="1"/>
  <c r="P55" i="95"/>
  <c r="U56" i="88" s="1"/>
  <c r="AE56" s="1"/>
  <c r="Q54" i="95"/>
  <c r="V55" i="88" s="1"/>
  <c r="AF55" s="1"/>
  <c r="P54" i="95"/>
  <c r="U55" i="88" s="1"/>
  <c r="AE55" s="1"/>
  <c r="Q53" i="95"/>
  <c r="V54" i="88" s="1"/>
  <c r="AF54" s="1"/>
  <c r="P53" i="95"/>
  <c r="U54" i="88" s="1"/>
  <c r="AE54" s="1"/>
  <c r="Q52" i="95"/>
  <c r="V53" i="88" s="1"/>
  <c r="AF53" s="1"/>
  <c r="P52" i="95"/>
  <c r="U53" i="88" s="1"/>
  <c r="AE53" s="1"/>
  <c r="Q51" i="95"/>
  <c r="V52" i="88" s="1"/>
  <c r="AF52" s="1"/>
  <c r="P51" i="95"/>
  <c r="U52" i="88" s="1"/>
  <c r="AE52" s="1"/>
  <c r="Q50" i="95"/>
  <c r="V51" i="88" s="1"/>
  <c r="AF51" s="1"/>
  <c r="P50" i="95"/>
  <c r="U51" i="88" s="1"/>
  <c r="AE51" s="1"/>
  <c r="Q49" i="95"/>
  <c r="V50" i="88" s="1"/>
  <c r="AF50" s="1"/>
  <c r="P49" i="95"/>
  <c r="U50" i="88" s="1"/>
  <c r="AE50" s="1"/>
  <c r="Q48" i="95"/>
  <c r="V49" i="88" s="1"/>
  <c r="AF49" s="1"/>
  <c r="P48" i="95"/>
  <c r="U49" i="88" s="1"/>
  <c r="AE49" s="1"/>
  <c r="Q47" i="95"/>
  <c r="V48" i="88" s="1"/>
  <c r="AF48" s="1"/>
  <c r="P47" i="95"/>
  <c r="U48" i="88" s="1"/>
  <c r="AE48" s="1"/>
  <c r="Q46" i="95"/>
  <c r="V47" i="88" s="1"/>
  <c r="AF47" s="1"/>
  <c r="P46" i="95"/>
  <c r="U47" i="88" s="1"/>
  <c r="AE47" s="1"/>
  <c r="Q45" i="95"/>
  <c r="V46" i="88" s="1"/>
  <c r="AF46" s="1"/>
  <c r="P45" i="95"/>
  <c r="U46" i="88" s="1"/>
  <c r="AE46" s="1"/>
  <c r="Q44" i="95"/>
  <c r="V45" i="88" s="1"/>
  <c r="AF45" s="1"/>
  <c r="P44" i="95"/>
  <c r="U45" i="88" s="1"/>
  <c r="AE45" s="1"/>
  <c r="Q43" i="95"/>
  <c r="V44" i="88" s="1"/>
  <c r="AF44" s="1"/>
  <c r="P43" i="95"/>
  <c r="U44" i="88" s="1"/>
  <c r="AE44" s="1"/>
  <c r="Q42" i="95"/>
  <c r="V43" i="88" s="1"/>
  <c r="AF43" s="1"/>
  <c r="P42" i="95"/>
  <c r="U43" i="88" s="1"/>
  <c r="AE43" s="1"/>
  <c r="Q41" i="95"/>
  <c r="V42" i="88" s="1"/>
  <c r="AF42" s="1"/>
  <c r="P41" i="95"/>
  <c r="U42" i="88" s="1"/>
  <c r="AE42" s="1"/>
  <c r="Q40" i="95"/>
  <c r="V41" i="88" s="1"/>
  <c r="AF41" s="1"/>
  <c r="P40" i="95"/>
  <c r="U41" i="88" s="1"/>
  <c r="AE41" s="1"/>
  <c r="Q39" i="95"/>
  <c r="V40" i="88" s="1"/>
  <c r="AF40" s="1"/>
  <c r="P39" i="95"/>
  <c r="U40" i="88" s="1"/>
  <c r="AE40" s="1"/>
  <c r="Q38" i="95"/>
  <c r="V39" i="88" s="1"/>
  <c r="AF39" s="1"/>
  <c r="P38" i="95"/>
  <c r="U39" i="88" s="1"/>
  <c r="AE39" s="1"/>
  <c r="Q37" i="95"/>
  <c r="V38" i="88" s="1"/>
  <c r="AF38" s="1"/>
  <c r="P37" i="95"/>
  <c r="U38" i="88" s="1"/>
  <c r="AE38" s="1"/>
  <c r="Q36" i="95"/>
  <c r="V37" i="88" s="1"/>
  <c r="AF37" s="1"/>
  <c r="P36" i="95"/>
  <c r="U37" i="88" s="1"/>
  <c r="AE37" s="1"/>
  <c r="Q35" i="95"/>
  <c r="V36" i="88" s="1"/>
  <c r="AF36" s="1"/>
  <c r="P35" i="95"/>
  <c r="U36" i="88" s="1"/>
  <c r="AE36" s="1"/>
  <c r="Q34" i="95"/>
  <c r="V35" i="88" s="1"/>
  <c r="AF35" s="1"/>
  <c r="P34" i="95"/>
  <c r="U35" i="88" s="1"/>
  <c r="AE35" s="1"/>
  <c r="Q33" i="95"/>
  <c r="V34" i="88" s="1"/>
  <c r="AF34" s="1"/>
  <c r="P33" i="95"/>
  <c r="U34" i="88" s="1"/>
  <c r="AE34" s="1"/>
  <c r="Q32" i="95"/>
  <c r="V33" i="88" s="1"/>
  <c r="AF33" s="1"/>
  <c r="P32" i="95"/>
  <c r="U33" i="88" s="1"/>
  <c r="AE33" s="1"/>
  <c r="Q31" i="95"/>
  <c r="V32" i="88" s="1"/>
  <c r="AF32" s="1"/>
  <c r="P31" i="95"/>
  <c r="U32" i="88" s="1"/>
  <c r="AE32" s="1"/>
  <c r="Q30" i="95"/>
  <c r="V31" i="88" s="1"/>
  <c r="AF31" s="1"/>
  <c r="P30" i="95"/>
  <c r="U31" i="88" s="1"/>
  <c r="AE31" s="1"/>
  <c r="Q29" i="95"/>
  <c r="V30" i="88" s="1"/>
  <c r="AF30" s="1"/>
  <c r="P29" i="95"/>
  <c r="U30" i="88" s="1"/>
  <c r="AE30" s="1"/>
  <c r="Q28" i="95"/>
  <c r="V29" i="88" s="1"/>
  <c r="AF29" s="1"/>
  <c r="P28" i="95"/>
  <c r="U29" i="88" s="1"/>
  <c r="AE29" s="1"/>
  <c r="Q27" i="95"/>
  <c r="V28" i="88" s="1"/>
  <c r="AF28" s="1"/>
  <c r="P27" i="95"/>
  <c r="U28" i="88" s="1"/>
  <c r="AE28" s="1"/>
  <c r="Q26" i="95"/>
  <c r="V27" i="88" s="1"/>
  <c r="AF27" s="1"/>
  <c r="P26" i="95"/>
  <c r="U27" i="88" s="1"/>
  <c r="AE27" s="1"/>
  <c r="Q25" i="95"/>
  <c r="V26" i="88" s="1"/>
  <c r="AF26" s="1"/>
  <c r="P25" i="95"/>
  <c r="U26" i="88" s="1"/>
  <c r="AE26" s="1"/>
  <c r="Q24" i="95"/>
  <c r="V25" i="88" s="1"/>
  <c r="AF25" s="1"/>
  <c r="P24" i="95"/>
  <c r="U25" i="88" s="1"/>
  <c r="AE25" s="1"/>
  <c r="Q23" i="95"/>
  <c r="V24" i="88" s="1"/>
  <c r="AF24" s="1"/>
  <c r="P23" i="95"/>
  <c r="U24" i="88" s="1"/>
  <c r="AE24" s="1"/>
  <c r="Q22" i="95"/>
  <c r="V23" i="88" s="1"/>
  <c r="AF23" s="1"/>
  <c r="P22" i="95"/>
  <c r="U23" i="88" s="1"/>
  <c r="AE23" s="1"/>
  <c r="Q21" i="95"/>
  <c r="V22" i="88" s="1"/>
  <c r="AF22" s="1"/>
  <c r="P21" i="95"/>
  <c r="U22" i="88" s="1"/>
  <c r="AE22" s="1"/>
  <c r="Q20" i="95"/>
  <c r="V21" i="88" s="1"/>
  <c r="AF21" s="1"/>
  <c r="P20" i="95"/>
  <c r="U21" i="88" s="1"/>
  <c r="AE21" s="1"/>
  <c r="Q19" i="95"/>
  <c r="V20" i="88" s="1"/>
  <c r="AF20" s="1"/>
  <c r="P19" i="95"/>
  <c r="U20" i="88" s="1"/>
  <c r="AE20" s="1"/>
  <c r="Q18" i="95"/>
  <c r="V19" i="88" s="1"/>
  <c r="AF19" s="1"/>
  <c r="P18" i="95"/>
  <c r="U19" i="88" s="1"/>
  <c r="AE19" s="1"/>
  <c r="Q17" i="95"/>
  <c r="V18" i="88" s="1"/>
  <c r="AF18" s="1"/>
  <c r="P17" i="95"/>
  <c r="U18" i="88" s="1"/>
  <c r="AE18" s="1"/>
  <c r="Q16" i="95"/>
  <c r="V17" i="88" s="1"/>
  <c r="AF17" s="1"/>
  <c r="P16" i="95"/>
  <c r="U17" i="88" s="1"/>
  <c r="AE17" s="1"/>
  <c r="Q15" i="95"/>
  <c r="V16" i="88" s="1"/>
  <c r="AF16" s="1"/>
  <c r="P15" i="95"/>
  <c r="U16" i="88" s="1"/>
  <c r="AE16" s="1"/>
  <c r="Q14" i="95"/>
  <c r="V15" i="88" s="1"/>
  <c r="AF15" s="1"/>
  <c r="P14" i="95"/>
  <c r="U15" i="88" s="1"/>
  <c r="AE15" s="1"/>
  <c r="Q13" i="95"/>
  <c r="V14" i="88" s="1"/>
  <c r="AF14" s="1"/>
  <c r="P13" i="95"/>
  <c r="U14" i="88" s="1"/>
  <c r="AE14" s="1"/>
  <c r="Q12" i="95"/>
  <c r="V13" i="88" s="1"/>
  <c r="AF13" s="1"/>
  <c r="P12" i="95"/>
  <c r="U13" i="88" s="1"/>
  <c r="AE13" s="1"/>
  <c r="Q11" i="95"/>
  <c r="V12" i="88" s="1"/>
  <c r="AF12" s="1"/>
  <c r="P11" i="95"/>
  <c r="U12" i="88" s="1"/>
  <c r="AE12" s="1"/>
  <c r="Q10" i="95"/>
  <c r="V11" i="88" s="1"/>
  <c r="AF11" s="1"/>
  <c r="P10" i="95"/>
  <c r="U11" i="88" s="1"/>
  <c r="AE11" s="1"/>
  <c r="Q9" i="95"/>
  <c r="V10" i="88" s="1"/>
  <c r="AF10" s="1"/>
  <c r="P9" i="95"/>
  <c r="U10" i="88" s="1"/>
  <c r="AE10" s="1"/>
  <c r="Q8" i="95"/>
  <c r="V9" i="88" s="1"/>
  <c r="AF9" s="1"/>
  <c r="P8" i="95"/>
  <c r="U9" i="88" s="1"/>
  <c r="AE9" s="1"/>
  <c r="R7" i="95"/>
  <c r="W8" i="88" s="1"/>
  <c r="Q7" i="95"/>
  <c r="V8" i="88" s="1"/>
  <c r="AF8" s="1"/>
  <c r="P7" i="95"/>
  <c r="U8" i="88" s="1"/>
  <c r="AE8" s="1"/>
  <c r="Q6" i="95"/>
  <c r="V7" i="88" s="1"/>
  <c r="AF7" s="1"/>
  <c r="AF5" s="1"/>
  <c r="P6" i="95"/>
  <c r="U7" i="88" s="1"/>
  <c r="AE7" s="1"/>
  <c r="Q5" i="95"/>
  <c r="V6" i="88" s="1"/>
  <c r="AF6" s="1"/>
  <c r="P5" i="95"/>
  <c r="U6" i="88" s="1"/>
  <c r="AE6" s="1"/>
  <c r="M4" i="95"/>
  <c r="L4"/>
  <c r="K4"/>
  <c r="I4"/>
  <c r="H4"/>
  <c r="G4"/>
  <c r="E4"/>
  <c r="D4"/>
  <c r="C4"/>
  <c r="N125"/>
  <c r="X125"/>
  <c r="N124"/>
  <c r="X124" s="1"/>
  <c r="AC125" i="88" s="1"/>
  <c r="N123" i="95"/>
  <c r="X123"/>
  <c r="AC124" i="88" s="1"/>
  <c r="N122" i="95"/>
  <c r="X122" s="1"/>
  <c r="AC123" i="88" s="1"/>
  <c r="N121" i="95"/>
  <c r="X121"/>
  <c r="AC122" i="88" s="1"/>
  <c r="N120" i="95"/>
  <c r="X120" s="1"/>
  <c r="AC121" i="88" s="1"/>
  <c r="N119" i="95"/>
  <c r="X119"/>
  <c r="AC120" i="88" s="1"/>
  <c r="N118" i="95"/>
  <c r="X118" s="1"/>
  <c r="AC119" i="88" s="1"/>
  <c r="N117" i="95"/>
  <c r="X117"/>
  <c r="AC118" i="88" s="1"/>
  <c r="N116" i="95"/>
  <c r="X116" s="1"/>
  <c r="AC117" i="88" s="1"/>
  <c r="N115" i="95"/>
  <c r="X115"/>
  <c r="AC116" i="88" s="1"/>
  <c r="N114" i="95"/>
  <c r="X114" s="1"/>
  <c r="AC115" i="88" s="1"/>
  <c r="N113" i="95"/>
  <c r="X113"/>
  <c r="AC114" i="88" s="1"/>
  <c r="N112" i="95"/>
  <c r="X112" s="1"/>
  <c r="AC113" i="88" s="1"/>
  <c r="N111" i="95"/>
  <c r="X111"/>
  <c r="AC112" i="88" s="1"/>
  <c r="N110" i="95"/>
  <c r="X110" s="1"/>
  <c r="AC111" i="88" s="1"/>
  <c r="N109" i="95"/>
  <c r="X109"/>
  <c r="AC110" i="88" s="1"/>
  <c r="N108" i="95"/>
  <c r="X108" s="1"/>
  <c r="AC109" i="88" s="1"/>
  <c r="N107" i="95"/>
  <c r="X107"/>
  <c r="AC108" i="88" s="1"/>
  <c r="N106" i="95"/>
  <c r="X106" s="1"/>
  <c r="AC107" i="88" s="1"/>
  <c r="N105" i="95"/>
  <c r="X105"/>
  <c r="AC106" i="88" s="1"/>
  <c r="N104" i="95"/>
  <c r="X104" s="1"/>
  <c r="AC105" i="88" s="1"/>
  <c r="N103" i="95"/>
  <c r="X103"/>
  <c r="AC104" i="88" s="1"/>
  <c r="N102" i="95"/>
  <c r="X102" s="1"/>
  <c r="AC103" i="88" s="1"/>
  <c r="N101" i="95"/>
  <c r="X101"/>
  <c r="AC102" i="88" s="1"/>
  <c r="N100" i="95"/>
  <c r="X100" s="1"/>
  <c r="AC101" i="88" s="1"/>
  <c r="X99" i="95"/>
  <c r="AC100" i="88" s="1"/>
  <c r="N98" i="95"/>
  <c r="X98" s="1"/>
  <c r="AC99" i="88" s="1"/>
  <c r="N97" i="95"/>
  <c r="X97"/>
  <c r="AC98" i="88" s="1"/>
  <c r="N96" i="95"/>
  <c r="X96" s="1"/>
  <c r="AC97" i="88" s="1"/>
  <c r="N95" i="95"/>
  <c r="X95"/>
  <c r="AC96" i="88" s="1"/>
  <c r="N94" i="95"/>
  <c r="X94" s="1"/>
  <c r="AC95" i="88" s="1"/>
  <c r="N93" i="95"/>
  <c r="X93"/>
  <c r="AC94" i="88" s="1"/>
  <c r="N92" i="95"/>
  <c r="X92" s="1"/>
  <c r="AC93" i="88" s="1"/>
  <c r="N91" i="95"/>
  <c r="X91"/>
  <c r="AC92" i="88" s="1"/>
  <c r="N90" i="95"/>
  <c r="X90" s="1"/>
  <c r="AC91" i="88" s="1"/>
  <c r="N89" i="95"/>
  <c r="X89"/>
  <c r="AC90" i="88" s="1"/>
  <c r="N88" i="95"/>
  <c r="X88" s="1"/>
  <c r="AC89" i="88" s="1"/>
  <c r="N87" i="95"/>
  <c r="X87"/>
  <c r="AC88" i="88" s="1"/>
  <c r="N86" i="95"/>
  <c r="X86" s="1"/>
  <c r="AC87" i="88" s="1"/>
  <c r="N85" i="95"/>
  <c r="X85"/>
  <c r="AC86" i="88" s="1"/>
  <c r="N84" i="95"/>
  <c r="X84" s="1"/>
  <c r="AC85" i="88" s="1"/>
  <c r="X83" i="95"/>
  <c r="AC84" i="88" s="1"/>
  <c r="X81" i="95"/>
  <c r="AC82" i="88" s="1"/>
  <c r="N80" i="95"/>
  <c r="X80" s="1"/>
  <c r="AC81" i="88" s="1"/>
  <c r="N79" i="95"/>
  <c r="X79"/>
  <c r="AC80" i="88" s="1"/>
  <c r="N78" i="95"/>
  <c r="X78" s="1"/>
  <c r="AC79" i="88" s="1"/>
  <c r="N77" i="95"/>
  <c r="X77"/>
  <c r="AC78" i="88" s="1"/>
  <c r="N76" i="95"/>
  <c r="X76" s="1"/>
  <c r="AC77" i="88" s="1"/>
  <c r="N75" i="95"/>
  <c r="X75"/>
  <c r="AC76" i="88" s="1"/>
  <c r="N74" i="95"/>
  <c r="X74" s="1"/>
  <c r="AC75" i="88" s="1"/>
  <c r="N73" i="95"/>
  <c r="X73"/>
  <c r="AC74" i="88" s="1"/>
  <c r="N72" i="95"/>
  <c r="X72" s="1"/>
  <c r="AC73" i="88" s="1"/>
  <c r="N71" i="95"/>
  <c r="X71"/>
  <c r="AC72" i="88" s="1"/>
  <c r="N70" i="95"/>
  <c r="X70" s="1"/>
  <c r="AC71" i="88" s="1"/>
  <c r="N69" i="95"/>
  <c r="X69"/>
  <c r="AC70" i="88" s="1"/>
  <c r="N68" i="95"/>
  <c r="X68" s="1"/>
  <c r="AC69" i="88" s="1"/>
  <c r="N67" i="95"/>
  <c r="X67"/>
  <c r="AC68" i="88" s="1"/>
  <c r="N66" i="95"/>
  <c r="X66" s="1"/>
  <c r="AC67" i="88" s="1"/>
  <c r="N65" i="95"/>
  <c r="X65"/>
  <c r="AC66" i="88" s="1"/>
  <c r="N64" i="95"/>
  <c r="X64" s="1"/>
  <c r="AC65" i="88" s="1"/>
  <c r="N63" i="95"/>
  <c r="X63"/>
  <c r="AC64" i="88" s="1"/>
  <c r="N62" i="95"/>
  <c r="X62" s="1"/>
  <c r="AC63" i="88" s="1"/>
  <c r="N61" i="95"/>
  <c r="X61"/>
  <c r="AC62" i="88" s="1"/>
  <c r="N60" i="95"/>
  <c r="X60" s="1"/>
  <c r="AC61" i="88" s="1"/>
  <c r="N59" i="95"/>
  <c r="X59"/>
  <c r="AC60" i="88" s="1"/>
  <c r="N58" i="95"/>
  <c r="X58" s="1"/>
  <c r="AC59" i="88" s="1"/>
  <c r="N57" i="95"/>
  <c r="X57"/>
  <c r="AC58" i="88" s="1"/>
  <c r="N56" i="95"/>
  <c r="X56" s="1"/>
  <c r="AC57" i="88" s="1"/>
  <c r="N55" i="95"/>
  <c r="X55"/>
  <c r="AC56" i="88" s="1"/>
  <c r="N54" i="95"/>
  <c r="X54" s="1"/>
  <c r="AC55" i="88" s="1"/>
  <c r="N53" i="95"/>
  <c r="X53"/>
  <c r="AC54" i="88" s="1"/>
  <c r="N52" i="95"/>
  <c r="X52" s="1"/>
  <c r="AC53" i="88" s="1"/>
  <c r="N51" i="95"/>
  <c r="X51"/>
  <c r="AC52" i="88" s="1"/>
  <c r="N50" i="95"/>
  <c r="X50" s="1"/>
  <c r="AC51" i="88" s="1"/>
  <c r="N49" i="95"/>
  <c r="X49"/>
  <c r="AC50" i="88" s="1"/>
  <c r="N48" i="95"/>
  <c r="X48" s="1"/>
  <c r="AC49" i="88" s="1"/>
  <c r="N47" i="95"/>
  <c r="X47"/>
  <c r="AC48" i="88" s="1"/>
  <c r="N46" i="95"/>
  <c r="X46" s="1"/>
  <c r="AC47" i="88" s="1"/>
  <c r="N45" i="95"/>
  <c r="X45"/>
  <c r="AC46" i="88" s="1"/>
  <c r="X44" i="95"/>
  <c r="AC45" i="88" s="1"/>
  <c r="N43" i="95"/>
  <c r="X43" s="1"/>
  <c r="AC44" i="88" s="1"/>
  <c r="N42" i="95"/>
  <c r="X42"/>
  <c r="AC43" i="88" s="1"/>
  <c r="N41" i="95"/>
  <c r="X41" s="1"/>
  <c r="AC42" i="88" s="1"/>
  <c r="N40" i="95"/>
  <c r="X40"/>
  <c r="AC41" i="88" s="1"/>
  <c r="N39" i="95"/>
  <c r="X39" s="1"/>
  <c r="AC40" i="88" s="1"/>
  <c r="N38" i="95"/>
  <c r="X38"/>
  <c r="AC39" i="88" s="1"/>
  <c r="N37" i="95"/>
  <c r="X37" s="1"/>
  <c r="AC38" i="88" s="1"/>
  <c r="N36" i="95"/>
  <c r="X36"/>
  <c r="AC37" i="88" s="1"/>
  <c r="N35" i="95"/>
  <c r="X35" s="1"/>
  <c r="AC36" i="88" s="1"/>
  <c r="N34" i="95"/>
  <c r="X34"/>
  <c r="AC35" i="88" s="1"/>
  <c r="N32" i="95"/>
  <c r="X32" s="1"/>
  <c r="AC33" i="88" s="1"/>
  <c r="N31" i="95"/>
  <c r="X31"/>
  <c r="AC32" i="88" s="1"/>
  <c r="N30" i="95"/>
  <c r="X30" s="1"/>
  <c r="AC31" i="88" s="1"/>
  <c r="N29" i="95"/>
  <c r="X29"/>
  <c r="AC30" i="88" s="1"/>
  <c r="N28" i="95"/>
  <c r="X28" s="1"/>
  <c r="AC29" i="88" s="1"/>
  <c r="N27" i="95"/>
  <c r="X27"/>
  <c r="AC28" i="88" s="1"/>
  <c r="N26" i="95"/>
  <c r="X26" s="1"/>
  <c r="AC27" i="88" s="1"/>
  <c r="X25" i="95"/>
  <c r="AC26" i="88" s="1"/>
  <c r="N24" i="95"/>
  <c r="X24" s="1"/>
  <c r="AC25" i="88" s="1"/>
  <c r="N23" i="95"/>
  <c r="X23"/>
  <c r="AC24" i="88" s="1"/>
  <c r="N22" i="95"/>
  <c r="X22" s="1"/>
  <c r="AC23" i="88" s="1"/>
  <c r="N21" i="95"/>
  <c r="X21"/>
  <c r="AC22" i="88" s="1"/>
  <c r="N20" i="95"/>
  <c r="X20" s="1"/>
  <c r="AC21" i="88" s="1"/>
  <c r="N19" i="95"/>
  <c r="X19"/>
  <c r="AC20" i="88" s="1"/>
  <c r="N18" i="95"/>
  <c r="X18" s="1"/>
  <c r="AC19" i="88" s="1"/>
  <c r="N17" i="95"/>
  <c r="X17"/>
  <c r="AC18" i="88" s="1"/>
  <c r="N16" i="95"/>
  <c r="X16" s="1"/>
  <c r="AC17" i="88" s="1"/>
  <c r="N15" i="95"/>
  <c r="X15"/>
  <c r="AC16" i="88" s="1"/>
  <c r="X14" i="95"/>
  <c r="AC15" i="88" s="1"/>
  <c r="N13" i="95"/>
  <c r="X13" s="1"/>
  <c r="AC14" i="88" s="1"/>
  <c r="N11" i="95"/>
  <c r="X11"/>
  <c r="AC12" i="88" s="1"/>
  <c r="N10" i="95"/>
  <c r="X10" s="1"/>
  <c r="AC11" i="88" s="1"/>
  <c r="N9" i="95"/>
  <c r="X9"/>
  <c r="AC10" i="88" s="1"/>
  <c r="N8" i="95"/>
  <c r="X8" s="1"/>
  <c r="AC9" i="88" s="1"/>
  <c r="N6" i="95"/>
  <c r="X6"/>
  <c r="AC7" i="88" s="1"/>
  <c r="N5" i="95"/>
  <c r="X5" s="1"/>
  <c r="AC6" i="88" s="1"/>
  <c r="J125" i="95"/>
  <c r="U125"/>
  <c r="J124"/>
  <c r="U124" s="1"/>
  <c r="Z125" i="88" s="1"/>
  <c r="J123" i="95"/>
  <c r="U123"/>
  <c r="Z124" i="88" s="1"/>
  <c r="J122" i="95"/>
  <c r="U122" s="1"/>
  <c r="Z123" i="88" s="1"/>
  <c r="J121" i="95"/>
  <c r="U121"/>
  <c r="Z122" i="88" s="1"/>
  <c r="J120" i="95"/>
  <c r="U120" s="1"/>
  <c r="Z121" i="88" s="1"/>
  <c r="J119" i="95"/>
  <c r="U119"/>
  <c r="Z120" i="88" s="1"/>
  <c r="J118" i="95"/>
  <c r="U118" s="1"/>
  <c r="Z119" i="88" s="1"/>
  <c r="J117" i="95"/>
  <c r="U117"/>
  <c r="Z118" i="88" s="1"/>
  <c r="J116" i="95"/>
  <c r="U116" s="1"/>
  <c r="Z117" i="88" s="1"/>
  <c r="J115" i="95"/>
  <c r="U115"/>
  <c r="Z116" i="88" s="1"/>
  <c r="J114" i="95"/>
  <c r="U114" s="1"/>
  <c r="Z115" i="88" s="1"/>
  <c r="J113" i="95"/>
  <c r="U113"/>
  <c r="Z114" i="88" s="1"/>
  <c r="J112" i="95"/>
  <c r="U112" s="1"/>
  <c r="Z113" i="88" s="1"/>
  <c r="J111" i="95"/>
  <c r="U111"/>
  <c r="Z112" i="88" s="1"/>
  <c r="J110" i="95"/>
  <c r="U110" s="1"/>
  <c r="Z111" i="88" s="1"/>
  <c r="J109" i="95"/>
  <c r="U109"/>
  <c r="Z110" i="88" s="1"/>
  <c r="J108" i="95"/>
  <c r="U108" s="1"/>
  <c r="Z109" i="88" s="1"/>
  <c r="J107" i="95"/>
  <c r="U107"/>
  <c r="Z108" i="88" s="1"/>
  <c r="J106" i="95"/>
  <c r="U106" s="1"/>
  <c r="Z107" i="88" s="1"/>
  <c r="J105" i="95"/>
  <c r="U105"/>
  <c r="Z106" i="88" s="1"/>
  <c r="J104" i="95"/>
  <c r="U104" s="1"/>
  <c r="Z105" i="88" s="1"/>
  <c r="J103" i="95"/>
  <c r="U103"/>
  <c r="Z104" i="88" s="1"/>
  <c r="J102" i="95"/>
  <c r="U102" s="1"/>
  <c r="Z103" i="88" s="1"/>
  <c r="J101" i="95"/>
  <c r="U101"/>
  <c r="Z102" i="88" s="1"/>
  <c r="J100" i="95"/>
  <c r="U100" s="1"/>
  <c r="Z101" i="88" s="1"/>
  <c r="U99" i="95"/>
  <c r="Z100" i="88" s="1"/>
  <c r="J98" i="95"/>
  <c r="U98" s="1"/>
  <c r="Z99" i="88" s="1"/>
  <c r="J97" i="95"/>
  <c r="U97"/>
  <c r="Z98" i="88" s="1"/>
  <c r="J96" i="95"/>
  <c r="U96" s="1"/>
  <c r="Z97" i="88" s="1"/>
  <c r="J95" i="95"/>
  <c r="U95"/>
  <c r="Z96" i="88" s="1"/>
  <c r="J94" i="95"/>
  <c r="U94" s="1"/>
  <c r="Z95" i="88" s="1"/>
  <c r="J93" i="95"/>
  <c r="U93"/>
  <c r="Z94" i="88" s="1"/>
  <c r="J92" i="95"/>
  <c r="U92" s="1"/>
  <c r="Z93" i="88" s="1"/>
  <c r="J91" i="95"/>
  <c r="U91"/>
  <c r="Z92" i="88" s="1"/>
  <c r="J90" i="95"/>
  <c r="U90" s="1"/>
  <c r="Z91" i="88" s="1"/>
  <c r="J89" i="95"/>
  <c r="U89"/>
  <c r="Z90" i="88" s="1"/>
  <c r="J88" i="95"/>
  <c r="U88" s="1"/>
  <c r="Z89" i="88" s="1"/>
  <c r="J87" i="95"/>
  <c r="U87"/>
  <c r="Z88" i="88" s="1"/>
  <c r="J86" i="95"/>
  <c r="U86" s="1"/>
  <c r="Z87" i="88" s="1"/>
  <c r="J85" i="95"/>
  <c r="U85"/>
  <c r="Z86" i="88" s="1"/>
  <c r="J84" i="95"/>
  <c r="U84" s="1"/>
  <c r="Z85" i="88" s="1"/>
  <c r="U83" i="95"/>
  <c r="Z84" i="88" s="1"/>
  <c r="U82" i="95"/>
  <c r="Z83" i="88" s="1"/>
  <c r="U81" i="95"/>
  <c r="Z82" i="88" s="1"/>
  <c r="J80" i="95"/>
  <c r="U80" s="1"/>
  <c r="Z81" i="88" s="1"/>
  <c r="J79" i="95"/>
  <c r="U79"/>
  <c r="Z80" i="88" s="1"/>
  <c r="J78" i="95"/>
  <c r="U78" s="1"/>
  <c r="Z79" i="88" s="1"/>
  <c r="J77" i="95"/>
  <c r="U77"/>
  <c r="Z78" i="88" s="1"/>
  <c r="J76" i="95"/>
  <c r="U76" s="1"/>
  <c r="Z77" i="88" s="1"/>
  <c r="J75" i="95"/>
  <c r="U75"/>
  <c r="Z76" i="88" s="1"/>
  <c r="J74" i="95"/>
  <c r="U74" s="1"/>
  <c r="Z75" i="88" s="1"/>
  <c r="J73" i="95"/>
  <c r="U73"/>
  <c r="Z74" i="88" s="1"/>
  <c r="J72" i="95"/>
  <c r="U72" s="1"/>
  <c r="Z73" i="88" s="1"/>
  <c r="J71" i="95"/>
  <c r="U71"/>
  <c r="Z72" i="88" s="1"/>
  <c r="J70" i="95"/>
  <c r="U70" s="1"/>
  <c r="Z71" i="88" s="1"/>
  <c r="J69" i="95"/>
  <c r="U69"/>
  <c r="Z70" i="88" s="1"/>
  <c r="J68" i="95"/>
  <c r="U68" s="1"/>
  <c r="Z69" i="88" s="1"/>
  <c r="J67" i="95"/>
  <c r="U67"/>
  <c r="Z68" i="88" s="1"/>
  <c r="J66" i="95"/>
  <c r="U66" s="1"/>
  <c r="Z67" i="88" s="1"/>
  <c r="J65" i="95"/>
  <c r="U65"/>
  <c r="Z66" i="88" s="1"/>
  <c r="J64" i="95"/>
  <c r="U64" s="1"/>
  <c r="Z65" i="88" s="1"/>
  <c r="J63" i="95"/>
  <c r="U63"/>
  <c r="Z64" i="88" s="1"/>
  <c r="J62" i="95"/>
  <c r="U62" s="1"/>
  <c r="Z63" i="88" s="1"/>
  <c r="J61" i="95"/>
  <c r="U61"/>
  <c r="Z62" i="88" s="1"/>
  <c r="J60" i="95"/>
  <c r="U60" s="1"/>
  <c r="Z61" i="88" s="1"/>
  <c r="J59" i="95"/>
  <c r="U59"/>
  <c r="Z60" i="88" s="1"/>
  <c r="J58" i="95"/>
  <c r="U58" s="1"/>
  <c r="Z59" i="88" s="1"/>
  <c r="J57" i="95"/>
  <c r="U57"/>
  <c r="Z58" i="88" s="1"/>
  <c r="J56" i="95"/>
  <c r="U56" s="1"/>
  <c r="Z57" i="88" s="1"/>
  <c r="J55" i="95"/>
  <c r="U55"/>
  <c r="Z56" i="88" s="1"/>
  <c r="J54" i="95"/>
  <c r="U54" s="1"/>
  <c r="Z55" i="88" s="1"/>
  <c r="J53" i="95"/>
  <c r="U53"/>
  <c r="Z54" i="88" s="1"/>
  <c r="J52" i="95"/>
  <c r="U52" s="1"/>
  <c r="Z53" i="88" s="1"/>
  <c r="J51" i="95"/>
  <c r="U51"/>
  <c r="Z52" i="88" s="1"/>
  <c r="J50" i="95"/>
  <c r="U50" s="1"/>
  <c r="Z51" i="88" s="1"/>
  <c r="J49" i="95"/>
  <c r="U49"/>
  <c r="Z50" i="88" s="1"/>
  <c r="J48" i="95"/>
  <c r="U48" s="1"/>
  <c r="Z49" i="88" s="1"/>
  <c r="J47" i="95"/>
  <c r="U47"/>
  <c r="Z48" i="88" s="1"/>
  <c r="J46" i="95"/>
  <c r="U46" s="1"/>
  <c r="Z47" i="88" s="1"/>
  <c r="J45" i="95"/>
  <c r="U45"/>
  <c r="Z46" i="88" s="1"/>
  <c r="U44" i="95"/>
  <c r="Z45" i="88" s="1"/>
  <c r="J43" i="95"/>
  <c r="U43"/>
  <c r="Z44" i="88" s="1"/>
  <c r="J42" i="95"/>
  <c r="U42" s="1"/>
  <c r="Z43" i="88" s="1"/>
  <c r="J41" i="95"/>
  <c r="U41"/>
  <c r="Z42" i="88" s="1"/>
  <c r="J40" i="95"/>
  <c r="U40" s="1"/>
  <c r="Z41" i="88" s="1"/>
  <c r="J39" i="95"/>
  <c r="U39"/>
  <c r="Z40" i="88" s="1"/>
  <c r="J38" i="95"/>
  <c r="U38" s="1"/>
  <c r="Z39" i="88" s="1"/>
  <c r="J37" i="95"/>
  <c r="U37"/>
  <c r="Z38" i="88" s="1"/>
  <c r="J36" i="95"/>
  <c r="U36" s="1"/>
  <c r="Z37" i="88" s="1"/>
  <c r="J35" i="95"/>
  <c r="U35"/>
  <c r="Z36" i="88" s="1"/>
  <c r="J34" i="95"/>
  <c r="U34" s="1"/>
  <c r="Z35" i="88" s="1"/>
  <c r="U33" i="95"/>
  <c r="Z34" i="88" s="1"/>
  <c r="J32" i="95"/>
  <c r="U32"/>
  <c r="Z33" i="88" s="1"/>
  <c r="J31" i="95"/>
  <c r="U31" s="1"/>
  <c r="Z32" i="88" s="1"/>
  <c r="J30" i="95"/>
  <c r="U30"/>
  <c r="Z31" i="88" s="1"/>
  <c r="J29" i="95"/>
  <c r="U29" s="1"/>
  <c r="Z30" i="88" s="1"/>
  <c r="J28" i="95"/>
  <c r="U28"/>
  <c r="Z29" i="88" s="1"/>
  <c r="J27" i="95"/>
  <c r="U27" s="1"/>
  <c r="Z28" i="88" s="1"/>
  <c r="J26" i="95"/>
  <c r="U26"/>
  <c r="Z27" i="88" s="1"/>
  <c r="U25" i="95"/>
  <c r="Z26" i="88" s="1"/>
  <c r="J24" i="95"/>
  <c r="U24"/>
  <c r="Z25" i="88" s="1"/>
  <c r="J23" i="95"/>
  <c r="U23" s="1"/>
  <c r="Z24" i="88" s="1"/>
  <c r="J22" i="95"/>
  <c r="U22"/>
  <c r="Z23" i="88" s="1"/>
  <c r="J21" i="95"/>
  <c r="U21" s="1"/>
  <c r="Z22" i="88" s="1"/>
  <c r="J20" i="95"/>
  <c r="U20"/>
  <c r="Z21" i="88" s="1"/>
  <c r="J19" i="95"/>
  <c r="U19" s="1"/>
  <c r="Z20" i="88" s="1"/>
  <c r="J18" i="95"/>
  <c r="U18"/>
  <c r="Z19" i="88" s="1"/>
  <c r="J17" i="95"/>
  <c r="U17" s="1"/>
  <c r="Z18" i="88" s="1"/>
  <c r="J16" i="95"/>
  <c r="U16"/>
  <c r="Z17" i="88" s="1"/>
  <c r="J15" i="95"/>
  <c r="U15" s="1"/>
  <c r="Z16" i="88" s="1"/>
  <c r="J13" i="95"/>
  <c r="U13"/>
  <c r="Z14" i="88" s="1"/>
  <c r="U12" i="95"/>
  <c r="Z13" i="88" s="1"/>
  <c r="J11" i="95"/>
  <c r="U11" s="1"/>
  <c r="Z12" i="88" s="1"/>
  <c r="J10" i="95"/>
  <c r="U10"/>
  <c r="Z11" i="88" s="1"/>
  <c r="J9" i="95"/>
  <c r="U9" s="1"/>
  <c r="Z10" i="88" s="1"/>
  <c r="J8" i="95"/>
  <c r="U8"/>
  <c r="Z9" i="88" s="1"/>
  <c r="J6" i="95"/>
  <c r="U6" s="1"/>
  <c r="Z7" i="88" s="1"/>
  <c r="J5" i="95"/>
  <c r="U5" s="1"/>
  <c r="Z6" i="88" s="1"/>
  <c r="AJ6" s="1"/>
  <c r="F125" i="95"/>
  <c r="R125" s="1"/>
  <c r="F124"/>
  <c r="R124" s="1"/>
  <c r="W125" i="88" s="1"/>
  <c r="AG125" s="1"/>
  <c r="F123" i="95"/>
  <c r="R123" s="1"/>
  <c r="W124" i="88" s="1"/>
  <c r="F122" i="95"/>
  <c r="R122"/>
  <c r="W123" i="88" s="1"/>
  <c r="F121" i="95"/>
  <c r="R121" s="1"/>
  <c r="W122" i="88" s="1"/>
  <c r="F120" i="95"/>
  <c r="R120"/>
  <c r="W121" i="88" s="1"/>
  <c r="F119" i="95"/>
  <c r="R119" s="1"/>
  <c r="W120" i="88" s="1"/>
  <c r="F118" i="95"/>
  <c r="R118" s="1"/>
  <c r="W119" i="88" s="1"/>
  <c r="AG119" s="1"/>
  <c r="F117" i="95"/>
  <c r="R117" s="1"/>
  <c r="W118" i="88" s="1"/>
  <c r="F116" i="95"/>
  <c r="R116" s="1"/>
  <c r="W117" i="88" s="1"/>
  <c r="AG117" s="1"/>
  <c r="F115" i="95"/>
  <c r="R115" s="1"/>
  <c r="W116" i="88" s="1"/>
  <c r="F114" i="95"/>
  <c r="R114"/>
  <c r="W115" i="88" s="1"/>
  <c r="F113" i="95"/>
  <c r="R113" s="1"/>
  <c r="W114" i="88" s="1"/>
  <c r="F112" i="95"/>
  <c r="R112"/>
  <c r="W113" i="88" s="1"/>
  <c r="F111" i="95"/>
  <c r="R111" s="1"/>
  <c r="W112" i="88" s="1"/>
  <c r="F110" i="95"/>
  <c r="R110" s="1"/>
  <c r="W111" i="88" s="1"/>
  <c r="AG111" s="1"/>
  <c r="F109" i="95"/>
  <c r="R109" s="1"/>
  <c r="W110" i="88" s="1"/>
  <c r="F108" i="95"/>
  <c r="R108" s="1"/>
  <c r="W109" i="88" s="1"/>
  <c r="AG109" s="1"/>
  <c r="F107" i="95"/>
  <c r="R107" s="1"/>
  <c r="W108" i="88" s="1"/>
  <c r="F106" i="95"/>
  <c r="R106"/>
  <c r="W107" i="88" s="1"/>
  <c r="F105" i="95"/>
  <c r="R105" s="1"/>
  <c r="W106" i="88" s="1"/>
  <c r="F104" i="95"/>
  <c r="R104"/>
  <c r="W105" i="88" s="1"/>
  <c r="F103" i="95"/>
  <c r="R103" s="1"/>
  <c r="W104" i="88" s="1"/>
  <c r="F102" i="95"/>
  <c r="R102" s="1"/>
  <c r="W103" i="88" s="1"/>
  <c r="AG103" s="1"/>
  <c r="F101" i="95"/>
  <c r="R101" s="1"/>
  <c r="W102" i="88" s="1"/>
  <c r="F100" i="95"/>
  <c r="R100" s="1"/>
  <c r="W101" i="88" s="1"/>
  <c r="AG101" s="1"/>
  <c r="F98" i="95"/>
  <c r="R98" s="1"/>
  <c r="W99" i="88" s="1"/>
  <c r="F97" i="95"/>
  <c r="R97"/>
  <c r="W98" i="88" s="1"/>
  <c r="F96" i="95"/>
  <c r="R96" s="1"/>
  <c r="W97" i="88" s="1"/>
  <c r="F95" i="95"/>
  <c r="R95"/>
  <c r="W96" i="88" s="1"/>
  <c r="F94" i="95"/>
  <c r="R94" s="1"/>
  <c r="W95" i="88" s="1"/>
  <c r="F93" i="95"/>
  <c r="R93" s="1"/>
  <c r="W94" i="88" s="1"/>
  <c r="AG94" s="1"/>
  <c r="F92" i="95"/>
  <c r="R92" s="1"/>
  <c r="W93" i="88" s="1"/>
  <c r="F91" i="95"/>
  <c r="R91" s="1"/>
  <c r="W92" i="88" s="1"/>
  <c r="AG92" s="1"/>
  <c r="F90" i="95"/>
  <c r="R90" s="1"/>
  <c r="W91" i="88" s="1"/>
  <c r="F89" i="95"/>
  <c r="R89"/>
  <c r="W90" i="88" s="1"/>
  <c r="F88" i="95"/>
  <c r="R88" s="1"/>
  <c r="W89" i="88" s="1"/>
  <c r="F87" i="95"/>
  <c r="R87"/>
  <c r="W88" i="88" s="1"/>
  <c r="F86" i="95"/>
  <c r="R86" s="1"/>
  <c r="W87" i="88" s="1"/>
  <c r="F85" i="95"/>
  <c r="R85" s="1"/>
  <c r="W86" i="88" s="1"/>
  <c r="AG86" s="1"/>
  <c r="F84" i="95"/>
  <c r="R84" s="1"/>
  <c r="W85" i="88" s="1"/>
  <c r="R83" i="95"/>
  <c r="W84" i="88" s="1"/>
  <c r="R82" i="95"/>
  <c r="W83" i="88" s="1"/>
  <c r="R81" i="95"/>
  <c r="W82" i="88" s="1"/>
  <c r="F80" i="95"/>
  <c r="R80"/>
  <c r="W81" i="88" s="1"/>
  <c r="F79" i="95"/>
  <c r="R79" s="1"/>
  <c r="W80" i="88" s="1"/>
  <c r="F78" i="95"/>
  <c r="R78"/>
  <c r="W79" i="88" s="1"/>
  <c r="F77" i="95"/>
  <c r="R77" s="1"/>
  <c r="W78" i="88" s="1"/>
  <c r="F76" i="95"/>
  <c r="R76"/>
  <c r="W77" i="88" s="1"/>
  <c r="F75" i="95"/>
  <c r="R75" s="1"/>
  <c r="W76" i="88" s="1"/>
  <c r="F74" i="95"/>
  <c r="R74"/>
  <c r="W75" i="88" s="1"/>
  <c r="F73" i="95"/>
  <c r="R73" s="1"/>
  <c r="W74" i="88" s="1"/>
  <c r="F72" i="95"/>
  <c r="R72"/>
  <c r="W73" i="88" s="1"/>
  <c r="F71" i="95"/>
  <c r="R71" s="1"/>
  <c r="W72" i="88" s="1"/>
  <c r="F70" i="95"/>
  <c r="R70"/>
  <c r="W71" i="88" s="1"/>
  <c r="F69" i="95"/>
  <c r="R69" s="1"/>
  <c r="W70" i="88" s="1"/>
  <c r="F68" i="95"/>
  <c r="R68"/>
  <c r="W69" i="88" s="1"/>
  <c r="F67" i="95"/>
  <c r="R67"/>
  <c r="W68" i="88" s="1"/>
  <c r="F66" i="95"/>
  <c r="R66"/>
  <c r="W67" i="88" s="1"/>
  <c r="F65" i="95"/>
  <c r="R65"/>
  <c r="W66" i="88" s="1"/>
  <c r="F64" i="95"/>
  <c r="R64"/>
  <c r="W65" i="88" s="1"/>
  <c r="F63" i="95"/>
  <c r="R63"/>
  <c r="W64" i="88" s="1"/>
  <c r="F62" i="95"/>
  <c r="R62"/>
  <c r="W63" i="88" s="1"/>
  <c r="F61" i="95"/>
  <c r="R61"/>
  <c r="W62" i="88" s="1"/>
  <c r="F60" i="95"/>
  <c r="R60"/>
  <c r="W61" i="88" s="1"/>
  <c r="F59" i="95"/>
  <c r="R59"/>
  <c r="W60" i="88" s="1"/>
  <c r="F58" i="95"/>
  <c r="R58"/>
  <c r="W59" i="88" s="1"/>
  <c r="F57" i="95"/>
  <c r="R57"/>
  <c r="W58" i="88" s="1"/>
  <c r="F56" i="95"/>
  <c r="R56"/>
  <c r="W57" i="88" s="1"/>
  <c r="F55" i="95"/>
  <c r="R55"/>
  <c r="W56" i="88" s="1"/>
  <c r="F54" i="95"/>
  <c r="R54"/>
  <c r="W55" i="88" s="1"/>
  <c r="F53" i="95"/>
  <c r="R53"/>
  <c r="W54" i="88" s="1"/>
  <c r="F52" i="95"/>
  <c r="R52"/>
  <c r="W53" i="88" s="1"/>
  <c r="F51" i="95"/>
  <c r="R51"/>
  <c r="W52" i="88" s="1"/>
  <c r="F50" i="95"/>
  <c r="R50"/>
  <c r="W51" i="88" s="1"/>
  <c r="F49" i="95"/>
  <c r="R49"/>
  <c r="W50" i="88" s="1"/>
  <c r="F48" i="95"/>
  <c r="R48"/>
  <c r="W49" i="88" s="1"/>
  <c r="F47" i="95"/>
  <c r="R47"/>
  <c r="W48" i="88" s="1"/>
  <c r="F46" i="95"/>
  <c r="R46"/>
  <c r="W47" i="88" s="1"/>
  <c r="F45" i="95"/>
  <c r="R45"/>
  <c r="W46" i="88" s="1"/>
  <c r="R44" i="95"/>
  <c r="W45" i="88" s="1"/>
  <c r="F43" i="95"/>
  <c r="R43"/>
  <c r="W44" i="88" s="1"/>
  <c r="F42" i="95"/>
  <c r="R42" s="1"/>
  <c r="W43" i="88" s="1"/>
  <c r="F41" i="95"/>
  <c r="R41"/>
  <c r="W42" i="88" s="1"/>
  <c r="F40" i="95"/>
  <c r="R40" s="1"/>
  <c r="W41" i="88" s="1"/>
  <c r="F39" i="95"/>
  <c r="R39" s="1"/>
  <c r="W40" i="88" s="1"/>
  <c r="AG40" s="1"/>
  <c r="F38" i="95"/>
  <c r="R38" s="1"/>
  <c r="W39" i="88" s="1"/>
  <c r="F37" i="95"/>
  <c r="R37"/>
  <c r="W38" i="88" s="1"/>
  <c r="F36" i="95"/>
  <c r="R36" s="1"/>
  <c r="W37" i="88" s="1"/>
  <c r="F35" i="95"/>
  <c r="R35"/>
  <c r="W36" i="88" s="1"/>
  <c r="F34" i="95"/>
  <c r="R34" s="1"/>
  <c r="W35" i="88" s="1"/>
  <c r="R33" i="95"/>
  <c r="W34" i="88" s="1"/>
  <c r="F32" i="95"/>
  <c r="R32"/>
  <c r="W33" i="88" s="1"/>
  <c r="F31" i="95"/>
  <c r="R31"/>
  <c r="W32" i="88" s="1"/>
  <c r="F30" i="95"/>
  <c r="R30"/>
  <c r="W31" i="88" s="1"/>
  <c r="F29" i="95"/>
  <c r="R29"/>
  <c r="W30" i="88" s="1"/>
  <c r="F28" i="95"/>
  <c r="R28"/>
  <c r="W29" i="88" s="1"/>
  <c r="F27" i="95"/>
  <c r="R27"/>
  <c r="W28" i="88" s="1"/>
  <c r="F26" i="95"/>
  <c r="R26"/>
  <c r="W27" i="88" s="1"/>
  <c r="R25" i="95"/>
  <c r="W26" i="88" s="1"/>
  <c r="F24" i="95"/>
  <c r="R24"/>
  <c r="W25" i="88" s="1"/>
  <c r="F23" i="95"/>
  <c r="R23" s="1"/>
  <c r="W24" i="88" s="1"/>
  <c r="F22" i="95"/>
  <c r="R22" s="1"/>
  <c r="W23" i="88" s="1"/>
  <c r="AG23" s="1"/>
  <c r="F21" i="95"/>
  <c r="R21" s="1"/>
  <c r="W22" i="88" s="1"/>
  <c r="F20" i="95"/>
  <c r="R20"/>
  <c r="W21" i="88" s="1"/>
  <c r="F19" i="95"/>
  <c r="R19" s="1"/>
  <c r="W20" i="88" s="1"/>
  <c r="F18" i="95"/>
  <c r="R18"/>
  <c r="W19" i="88" s="1"/>
  <c r="F17" i="95"/>
  <c r="R17" s="1"/>
  <c r="W18" i="88" s="1"/>
  <c r="F16" i="95"/>
  <c r="R16"/>
  <c r="W17" i="88" s="1"/>
  <c r="F15" i="95"/>
  <c r="R15" s="1"/>
  <c r="W16" i="88" s="1"/>
  <c r="R14" i="95"/>
  <c r="W15" i="88" s="1"/>
  <c r="F13" i="95"/>
  <c r="R13"/>
  <c r="W14" i="88" s="1"/>
  <c r="R12" i="95"/>
  <c r="W13" i="88" s="1"/>
  <c r="F11" i="95"/>
  <c r="R11" s="1"/>
  <c r="W12" i="88" s="1"/>
  <c r="AG12" s="1"/>
  <c r="F10" i="95"/>
  <c r="R10" s="1"/>
  <c r="W11" i="88" s="1"/>
  <c r="F9" i="95"/>
  <c r="R9"/>
  <c r="W10" i="88" s="1"/>
  <c r="F8" i="95"/>
  <c r="R8" s="1"/>
  <c r="W9" i="88" s="1"/>
  <c r="F6" i="95"/>
  <c r="R6"/>
  <c r="W7" i="88" s="1"/>
  <c r="F5" i="95"/>
  <c r="R5" s="1"/>
  <c r="W6" i="88" s="1"/>
  <c r="V4" i="95"/>
  <c r="P4"/>
  <c r="T4"/>
  <c r="S4"/>
  <c r="W4"/>
  <c r="J4"/>
  <c r="U4" s="1"/>
  <c r="N4"/>
  <c r="X4" s="1"/>
  <c r="AC5" i="88" s="1"/>
  <c r="Q4" i="95"/>
  <c r="R5" i="88"/>
  <c r="Q100"/>
  <c r="AM100" s="1"/>
  <c r="Q99"/>
  <c r="Q98"/>
  <c r="AM98"/>
  <c r="Q125"/>
  <c r="Q124"/>
  <c r="AM124"/>
  <c r="Q97"/>
  <c r="Q96"/>
  <c r="AM96"/>
  <c r="Q95"/>
  <c r="Q123"/>
  <c r="AM123" s="1"/>
  <c r="Q94"/>
  <c r="AM94" s="1"/>
  <c r="Q93"/>
  <c r="AM93"/>
  <c r="Q92"/>
  <c r="AM92" s="1"/>
  <c r="Q122"/>
  <c r="AM122"/>
  <c r="Q91"/>
  <c r="Q90"/>
  <c r="AM90"/>
  <c r="Q89"/>
  <c r="Q88"/>
  <c r="AM88" s="1"/>
  <c r="Q87"/>
  <c r="Q86"/>
  <c r="AM86"/>
  <c r="Q85"/>
  <c r="Q84"/>
  <c r="AM84"/>
  <c r="Q83"/>
  <c r="Q82"/>
  <c r="AM82"/>
  <c r="Q121"/>
  <c r="Q81"/>
  <c r="AM81" s="1"/>
  <c r="Q120"/>
  <c r="AM120" s="1"/>
  <c r="Q80"/>
  <c r="AM80"/>
  <c r="Q119"/>
  <c r="Q79"/>
  <c r="AM79"/>
  <c r="Q78"/>
  <c r="AM78" s="1"/>
  <c r="Q77"/>
  <c r="AM77"/>
  <c r="Q76"/>
  <c r="AM76" s="1"/>
  <c r="Q75"/>
  <c r="AM75" s="1"/>
  <c r="Q118"/>
  <c r="AM118" s="1"/>
  <c r="Q74"/>
  <c r="AM74"/>
  <c r="Q117"/>
  <c r="Q73"/>
  <c r="AM73"/>
  <c r="Q72"/>
  <c r="AM72" s="1"/>
  <c r="Q71"/>
  <c r="AM71"/>
  <c r="Q70"/>
  <c r="AM70" s="1"/>
  <c r="Q116"/>
  <c r="AM116" s="1"/>
  <c r="Q69"/>
  <c r="Q68"/>
  <c r="AM68"/>
  <c r="Q115"/>
  <c r="Q114"/>
  <c r="AM114"/>
  <c r="Q67"/>
  <c r="Q66"/>
  <c r="AM66"/>
  <c r="Q65"/>
  <c r="Q64"/>
  <c r="AM64" s="1"/>
  <c r="Q63"/>
  <c r="Q62"/>
  <c r="AM62"/>
  <c r="Q113"/>
  <c r="Q112"/>
  <c r="AM112"/>
  <c r="Q61"/>
  <c r="Q111"/>
  <c r="AM111"/>
  <c r="Q60"/>
  <c r="AM60" s="1"/>
  <c r="Q59"/>
  <c r="AM59" s="1"/>
  <c r="Q58"/>
  <c r="AM58" s="1"/>
  <c r="Q57"/>
  <c r="AM57"/>
  <c r="Q56"/>
  <c r="AM56" s="1"/>
  <c r="Q55"/>
  <c r="AM55"/>
  <c r="Q54"/>
  <c r="AM54" s="1"/>
  <c r="Q53"/>
  <c r="AM53"/>
  <c r="Q52"/>
  <c r="AM52" s="1"/>
  <c r="Q51"/>
  <c r="AM51" s="1"/>
  <c r="Q110"/>
  <c r="AM110" s="1"/>
  <c r="Q50"/>
  <c r="AM50"/>
  <c r="Q49"/>
  <c r="AM49"/>
  <c r="Q48"/>
  <c r="AM48"/>
  <c r="Q47"/>
  <c r="AM47"/>
  <c r="Q109"/>
  <c r="AM109"/>
  <c r="Q46"/>
  <c r="AM46"/>
  <c r="Q45"/>
  <c r="AM45"/>
  <c r="Q44"/>
  <c r="AM44"/>
  <c r="Q43"/>
  <c r="AM43"/>
  <c r="Q42"/>
  <c r="AM42"/>
  <c r="Q41"/>
  <c r="AM41"/>
  <c r="Q40"/>
  <c r="AM40"/>
  <c r="Q108"/>
  <c r="AM108"/>
  <c r="Q107"/>
  <c r="AM107"/>
  <c r="Q39"/>
  <c r="AM39"/>
  <c r="Q38"/>
  <c r="AM38"/>
  <c r="Q106"/>
  <c r="AM106"/>
  <c r="Q37"/>
  <c r="AM37"/>
  <c r="Q36"/>
  <c r="AM36"/>
  <c r="Q35"/>
  <c r="AM35"/>
  <c r="Q34"/>
  <c r="AM34"/>
  <c r="Q33"/>
  <c r="AM33"/>
  <c r="Q32"/>
  <c r="AM32"/>
  <c r="Q31"/>
  <c r="AM31"/>
  <c r="Q105"/>
  <c r="AM105"/>
  <c r="Q30"/>
  <c r="AM30"/>
  <c r="Q29"/>
  <c r="AM29"/>
  <c r="Q28"/>
  <c r="AM28"/>
  <c r="Q27"/>
  <c r="AM27"/>
  <c r="Q26"/>
  <c r="AM26"/>
  <c r="Q104"/>
  <c r="AM104"/>
  <c r="Q103"/>
  <c r="AM103"/>
  <c r="Q25"/>
  <c r="AM25"/>
  <c r="Q24"/>
  <c r="AM24"/>
  <c r="Q23"/>
  <c r="AM23"/>
  <c r="Q22"/>
  <c r="AM22"/>
  <c r="Q21"/>
  <c r="AM21"/>
  <c r="Q20"/>
  <c r="AM20"/>
  <c r="Q19"/>
  <c r="AM19"/>
  <c r="Q18"/>
  <c r="AM18"/>
  <c r="Q102"/>
  <c r="AM102"/>
  <c r="Q17"/>
  <c r="AM17"/>
  <c r="Q16"/>
  <c r="AM16" s="1"/>
  <c r="Q15"/>
  <c r="AM15"/>
  <c r="Q14"/>
  <c r="AM14" s="1"/>
  <c r="Q13"/>
  <c r="AM13"/>
  <c r="Q12"/>
  <c r="AM12" s="1"/>
  <c r="Q11"/>
  <c r="AM11"/>
  <c r="Q10"/>
  <c r="AM10" s="1"/>
  <c r="Q9"/>
  <c r="AM9"/>
  <c r="Q8"/>
  <c r="AM8" s="1"/>
  <c r="Q101"/>
  <c r="AM101"/>
  <c r="Q7"/>
  <c r="AM7" s="1"/>
  <c r="Q6"/>
  <c r="AM6"/>
  <c r="L100"/>
  <c r="AJ100" s="1"/>
  <c r="L99"/>
  <c r="AJ99"/>
  <c r="L98"/>
  <c r="AJ98" s="1"/>
  <c r="L125"/>
  <c r="AJ125"/>
  <c r="L124"/>
  <c r="AJ124" s="1"/>
  <c r="L97"/>
  <c r="AJ97"/>
  <c r="L96"/>
  <c r="AJ96" s="1"/>
  <c r="L95"/>
  <c r="AJ95"/>
  <c r="L123"/>
  <c r="AJ123" s="1"/>
  <c r="L94"/>
  <c r="AJ94"/>
  <c r="L93"/>
  <c r="AJ93" s="1"/>
  <c r="L92"/>
  <c r="AJ92"/>
  <c r="L122"/>
  <c r="AJ122" s="1"/>
  <c r="L91"/>
  <c r="AJ91"/>
  <c r="L90"/>
  <c r="AJ90" s="1"/>
  <c r="L89"/>
  <c r="AJ89"/>
  <c r="L88"/>
  <c r="AJ88" s="1"/>
  <c r="L87"/>
  <c r="AJ87"/>
  <c r="L86"/>
  <c r="AJ86" s="1"/>
  <c r="L85"/>
  <c r="AJ85" s="1"/>
  <c r="L84"/>
  <c r="AJ84" s="1"/>
  <c r="L83"/>
  <c r="AJ83" s="1"/>
  <c r="L82"/>
  <c r="AJ82" s="1"/>
  <c r="L121"/>
  <c r="AJ121" s="1"/>
  <c r="L81"/>
  <c r="AJ81" s="1"/>
  <c r="L120"/>
  <c r="AJ120" s="1"/>
  <c r="L80"/>
  <c r="AJ80" s="1"/>
  <c r="L119"/>
  <c r="AJ119" s="1"/>
  <c r="L79"/>
  <c r="AJ79" s="1"/>
  <c r="L78"/>
  <c r="AJ78" s="1"/>
  <c r="L77"/>
  <c r="AJ77" s="1"/>
  <c r="L76"/>
  <c r="AJ76" s="1"/>
  <c r="L75"/>
  <c r="AJ75" s="1"/>
  <c r="L118"/>
  <c r="AJ118" s="1"/>
  <c r="L74"/>
  <c r="AJ74" s="1"/>
  <c r="L117"/>
  <c r="AJ117" s="1"/>
  <c r="L73"/>
  <c r="AJ73" s="1"/>
  <c r="L72"/>
  <c r="AJ72" s="1"/>
  <c r="L71"/>
  <c r="AJ71" s="1"/>
  <c r="L70"/>
  <c r="AJ70" s="1"/>
  <c r="L116"/>
  <c r="AJ116" s="1"/>
  <c r="L69"/>
  <c r="AJ69" s="1"/>
  <c r="L68"/>
  <c r="AJ68" s="1"/>
  <c r="L115"/>
  <c r="AJ115" s="1"/>
  <c r="L114"/>
  <c r="AJ114" s="1"/>
  <c r="L67"/>
  <c r="AJ67" s="1"/>
  <c r="L66"/>
  <c r="AJ66" s="1"/>
  <c r="L65"/>
  <c r="AJ65" s="1"/>
  <c r="L64"/>
  <c r="AJ64" s="1"/>
  <c r="L63"/>
  <c r="AJ63" s="1"/>
  <c r="L62"/>
  <c r="AJ62" s="1"/>
  <c r="L113"/>
  <c r="AJ113" s="1"/>
  <c r="L112"/>
  <c r="AJ112" s="1"/>
  <c r="L61"/>
  <c r="AJ61" s="1"/>
  <c r="L111"/>
  <c r="AJ111" s="1"/>
  <c r="L60"/>
  <c r="AJ60" s="1"/>
  <c r="L59"/>
  <c r="AJ59" s="1"/>
  <c r="L58"/>
  <c r="AJ58" s="1"/>
  <c r="L57"/>
  <c r="AJ57" s="1"/>
  <c r="L56"/>
  <c r="AJ56" s="1"/>
  <c r="L55"/>
  <c r="AJ55" s="1"/>
  <c r="L54"/>
  <c r="AJ54" s="1"/>
  <c r="L53"/>
  <c r="AJ53" s="1"/>
  <c r="L52"/>
  <c r="AJ52" s="1"/>
  <c r="L51"/>
  <c r="AJ51" s="1"/>
  <c r="L110"/>
  <c r="AJ110" s="1"/>
  <c r="L50"/>
  <c r="AJ50" s="1"/>
  <c r="L49"/>
  <c r="AJ49" s="1"/>
  <c r="L48"/>
  <c r="AJ48" s="1"/>
  <c r="L47"/>
  <c r="AJ47" s="1"/>
  <c r="L109"/>
  <c r="AJ109" s="1"/>
  <c r="L46"/>
  <c r="AJ46" s="1"/>
  <c r="L45"/>
  <c r="AJ45" s="1"/>
  <c r="L44"/>
  <c r="AJ44" s="1"/>
  <c r="L43"/>
  <c r="AJ43" s="1"/>
  <c r="L42"/>
  <c r="AJ42" s="1"/>
  <c r="L41"/>
  <c r="AJ41" s="1"/>
  <c r="L40"/>
  <c r="AJ40" s="1"/>
  <c r="L108"/>
  <c r="AJ108" s="1"/>
  <c r="L107"/>
  <c r="AJ107" s="1"/>
  <c r="L39"/>
  <c r="AJ39" s="1"/>
  <c r="L38"/>
  <c r="AJ38" s="1"/>
  <c r="L106"/>
  <c r="AJ106" s="1"/>
  <c r="L37"/>
  <c r="AJ37" s="1"/>
  <c r="L36"/>
  <c r="AJ36" s="1"/>
  <c r="L35"/>
  <c r="AJ35" s="1"/>
  <c r="L34"/>
  <c r="AJ34" s="1"/>
  <c r="L33"/>
  <c r="AJ33" s="1"/>
  <c r="L32"/>
  <c r="AJ32" s="1"/>
  <c r="L31"/>
  <c r="AJ31" s="1"/>
  <c r="L105"/>
  <c r="AJ105" s="1"/>
  <c r="L30"/>
  <c r="AJ30" s="1"/>
  <c r="L29"/>
  <c r="AJ29" s="1"/>
  <c r="L28"/>
  <c r="AJ28" s="1"/>
  <c r="L27"/>
  <c r="AJ27" s="1"/>
  <c r="L26"/>
  <c r="AJ26" s="1"/>
  <c r="L104"/>
  <c r="AJ104" s="1"/>
  <c r="L103"/>
  <c r="AJ103" s="1"/>
  <c r="L25"/>
  <c r="AJ25" s="1"/>
  <c r="L24"/>
  <c r="AJ24" s="1"/>
  <c r="L23"/>
  <c r="AJ23" s="1"/>
  <c r="L22"/>
  <c r="AJ22" s="1"/>
  <c r="L21"/>
  <c r="AJ21" s="1"/>
  <c r="L20"/>
  <c r="AJ20" s="1"/>
  <c r="L19"/>
  <c r="AJ19" s="1"/>
  <c r="L18"/>
  <c r="AJ18" s="1"/>
  <c r="L102"/>
  <c r="AJ102" s="1"/>
  <c r="L17"/>
  <c r="AJ17" s="1"/>
  <c r="L16"/>
  <c r="AJ16" s="1"/>
  <c r="L15"/>
  <c r="AJ15" s="1"/>
  <c r="L14"/>
  <c r="AJ14" s="1"/>
  <c r="L13"/>
  <c r="AJ13" s="1"/>
  <c r="L12"/>
  <c r="AJ12" s="1"/>
  <c r="L11"/>
  <c r="AJ11" s="1"/>
  <c r="L10"/>
  <c r="AJ10" s="1"/>
  <c r="L9"/>
  <c r="AJ9" s="1"/>
  <c r="L8"/>
  <c r="AJ8" s="1"/>
  <c r="L101"/>
  <c r="AJ101" s="1"/>
  <c r="L7"/>
  <c r="AJ7" s="1"/>
  <c r="L6"/>
  <c r="M5"/>
  <c r="G100"/>
  <c r="AG100" s="1"/>
  <c r="G99"/>
  <c r="AG99"/>
  <c r="G98"/>
  <c r="AG98" s="1"/>
  <c r="G125"/>
  <c r="G124"/>
  <c r="AG124" s="1"/>
  <c r="G97"/>
  <c r="AG97"/>
  <c r="G96"/>
  <c r="AG96" s="1"/>
  <c r="G95"/>
  <c r="AG95"/>
  <c r="G123"/>
  <c r="AG123" s="1"/>
  <c r="G94"/>
  <c r="G93"/>
  <c r="AG93" s="1"/>
  <c r="G92"/>
  <c r="G122"/>
  <c r="AG122" s="1"/>
  <c r="G91"/>
  <c r="AG91"/>
  <c r="G90"/>
  <c r="AG90" s="1"/>
  <c r="G89"/>
  <c r="AG89"/>
  <c r="G88"/>
  <c r="AG88" s="1"/>
  <c r="G87"/>
  <c r="AG87"/>
  <c r="G86"/>
  <c r="G85"/>
  <c r="AG85"/>
  <c r="G84"/>
  <c r="AG84" s="1"/>
  <c r="G83"/>
  <c r="AG83"/>
  <c r="G82"/>
  <c r="AG82" s="1"/>
  <c r="G121"/>
  <c r="AG121"/>
  <c r="G81"/>
  <c r="AG81" s="1"/>
  <c r="G120"/>
  <c r="AG120"/>
  <c r="G80"/>
  <c r="AG80" s="1"/>
  <c r="G119"/>
  <c r="G79"/>
  <c r="AG79" s="1"/>
  <c r="G78"/>
  <c r="AG78"/>
  <c r="G77"/>
  <c r="AG77" s="1"/>
  <c r="G76"/>
  <c r="AG76"/>
  <c r="G75"/>
  <c r="AG75" s="1"/>
  <c r="G118"/>
  <c r="AG118"/>
  <c r="G74"/>
  <c r="AG74" s="1"/>
  <c r="G117"/>
  <c r="G73"/>
  <c r="AG73" s="1"/>
  <c r="G72"/>
  <c r="AG72"/>
  <c r="G71"/>
  <c r="AG71" s="1"/>
  <c r="G70"/>
  <c r="AG70"/>
  <c r="G116"/>
  <c r="AG116" s="1"/>
  <c r="G69"/>
  <c r="AG69"/>
  <c r="G68"/>
  <c r="AG68" s="1"/>
  <c r="G115"/>
  <c r="AG115"/>
  <c r="G114"/>
  <c r="AG114" s="1"/>
  <c r="G67"/>
  <c r="AG67"/>
  <c r="G66"/>
  <c r="AG66" s="1"/>
  <c r="G65"/>
  <c r="AG65"/>
  <c r="G64"/>
  <c r="AG64" s="1"/>
  <c r="G63"/>
  <c r="AG63"/>
  <c r="G62"/>
  <c r="AG62" s="1"/>
  <c r="G113"/>
  <c r="AG113"/>
  <c r="G112"/>
  <c r="AG112" s="1"/>
  <c r="G61"/>
  <c r="AG61"/>
  <c r="G111"/>
  <c r="G60"/>
  <c r="AG60"/>
  <c r="G59"/>
  <c r="AG59" s="1"/>
  <c r="G58"/>
  <c r="AG58"/>
  <c r="G57"/>
  <c r="AG57" s="1"/>
  <c r="G56"/>
  <c r="AG56"/>
  <c r="G55"/>
  <c r="AG55" s="1"/>
  <c r="G54"/>
  <c r="AG54"/>
  <c r="G53"/>
  <c r="AG53" s="1"/>
  <c r="G52"/>
  <c r="AG52"/>
  <c r="G51"/>
  <c r="AG51" s="1"/>
  <c r="G110"/>
  <c r="AG110"/>
  <c r="G50"/>
  <c r="AG50" s="1"/>
  <c r="G49"/>
  <c r="AG49"/>
  <c r="G48"/>
  <c r="AG48" s="1"/>
  <c r="G47"/>
  <c r="AG47"/>
  <c r="G109"/>
  <c r="G46"/>
  <c r="AG46"/>
  <c r="G45"/>
  <c r="AG45" s="1"/>
  <c r="G44"/>
  <c r="AG44"/>
  <c r="G43"/>
  <c r="AG43" s="1"/>
  <c r="G42"/>
  <c r="AG42"/>
  <c r="G41"/>
  <c r="AG41" s="1"/>
  <c r="G40"/>
  <c r="G108"/>
  <c r="AG108" s="1"/>
  <c r="G107"/>
  <c r="AG107"/>
  <c r="G39"/>
  <c r="AG39" s="1"/>
  <c r="G38"/>
  <c r="AG38"/>
  <c r="G106"/>
  <c r="AG106" s="1"/>
  <c r="G37"/>
  <c r="AG37"/>
  <c r="G36"/>
  <c r="AG36" s="1"/>
  <c r="G35"/>
  <c r="AG35"/>
  <c r="G34"/>
  <c r="AG34" s="1"/>
  <c r="G33"/>
  <c r="AG33"/>
  <c r="G32"/>
  <c r="AG32" s="1"/>
  <c r="G31"/>
  <c r="AG31"/>
  <c r="G105"/>
  <c r="AG105" s="1"/>
  <c r="G30"/>
  <c r="AG30"/>
  <c r="G29"/>
  <c r="AG29" s="1"/>
  <c r="G28"/>
  <c r="AG28"/>
  <c r="G27"/>
  <c r="AG27" s="1"/>
  <c r="G26"/>
  <c r="AG26"/>
  <c r="G104"/>
  <c r="AG104" s="1"/>
  <c r="G103"/>
  <c r="G25"/>
  <c r="AG25" s="1"/>
  <c r="G24"/>
  <c r="AG24"/>
  <c r="G23"/>
  <c r="G22"/>
  <c r="AG22"/>
  <c r="G21"/>
  <c r="AG21" s="1"/>
  <c r="G20"/>
  <c r="AG20"/>
  <c r="G19"/>
  <c r="AG19" s="1"/>
  <c r="G18"/>
  <c r="AG18"/>
  <c r="G102"/>
  <c r="AG102" s="1"/>
  <c r="G17"/>
  <c r="AG17"/>
  <c r="G16"/>
  <c r="G132" s="1"/>
  <c r="S132" s="1"/>
  <c r="G15"/>
  <c r="AG15"/>
  <c r="G14"/>
  <c r="AG14" s="1"/>
  <c r="G13"/>
  <c r="AG13"/>
  <c r="G12"/>
  <c r="G130" s="1"/>
  <c r="S130" s="1"/>
  <c r="G11"/>
  <c r="AG11"/>
  <c r="G10"/>
  <c r="AG10" s="1"/>
  <c r="G9"/>
  <c r="AG9"/>
  <c r="G8"/>
  <c r="AG8" s="1"/>
  <c r="G101"/>
  <c r="G7"/>
  <c r="G131" s="1"/>
  <c r="S131" s="1"/>
  <c r="G6"/>
  <c r="AG6"/>
  <c r="H5"/>
  <c r="O100" i="49"/>
  <c r="O99"/>
  <c r="O98"/>
  <c r="O125"/>
  <c r="O124"/>
  <c r="O97"/>
  <c r="O96"/>
  <c r="O95"/>
  <c r="O123"/>
  <c r="O94"/>
  <c r="O93"/>
  <c r="O92"/>
  <c r="O122"/>
  <c r="O91"/>
  <c r="O90"/>
  <c r="O89"/>
  <c r="O88"/>
  <c r="O87"/>
  <c r="O86"/>
  <c r="O85"/>
  <c r="O84"/>
  <c r="O83"/>
  <c r="O82"/>
  <c r="O121"/>
  <c r="O81"/>
  <c r="O120"/>
  <c r="O80"/>
  <c r="O119"/>
  <c r="O79"/>
  <c r="O78"/>
  <c r="O77"/>
  <c r="O76"/>
  <c r="O75"/>
  <c r="O118"/>
  <c r="O74"/>
  <c r="O117"/>
  <c r="O73"/>
  <c r="O72"/>
  <c r="O71"/>
  <c r="O70"/>
  <c r="O116"/>
  <c r="O69"/>
  <c r="O68"/>
  <c r="O115"/>
  <c r="O114"/>
  <c r="O67"/>
  <c r="O66"/>
  <c r="O65"/>
  <c r="O64"/>
  <c r="O63"/>
  <c r="O62"/>
  <c r="O113"/>
  <c r="O112"/>
  <c r="O61"/>
  <c r="O111"/>
  <c r="O60"/>
  <c r="O59"/>
  <c r="O58"/>
  <c r="O57"/>
  <c r="O56"/>
  <c r="O55"/>
  <c r="O54"/>
  <c r="O53"/>
  <c r="O52"/>
  <c r="O51"/>
  <c r="O110"/>
  <c r="O50"/>
  <c r="O49"/>
  <c r="O48"/>
  <c r="O47"/>
  <c r="O109"/>
  <c r="O46"/>
  <c r="O45"/>
  <c r="O44"/>
  <c r="O43"/>
  <c r="O42"/>
  <c r="O41"/>
  <c r="O40"/>
  <c r="O108"/>
  <c r="O107"/>
  <c r="O39"/>
  <c r="O38"/>
  <c r="O106"/>
  <c r="O37"/>
  <c r="O36"/>
  <c r="O35"/>
  <c r="O34"/>
  <c r="O33"/>
  <c r="O32"/>
  <c r="O31"/>
  <c r="O105"/>
  <c r="O30"/>
  <c r="O29"/>
  <c r="O28"/>
  <c r="O27"/>
  <c r="O26"/>
  <c r="O104"/>
  <c r="O103"/>
  <c r="O25"/>
  <c r="O24"/>
  <c r="O23"/>
  <c r="O22"/>
  <c r="O21"/>
  <c r="O20"/>
  <c r="O19"/>
  <c r="O18"/>
  <c r="O102"/>
  <c r="O17"/>
  <c r="O16"/>
  <c r="O15"/>
  <c r="O14"/>
  <c r="O13"/>
  <c r="O12"/>
  <c r="O11"/>
  <c r="O10"/>
  <c r="O9"/>
  <c r="O8"/>
  <c r="O101"/>
  <c r="O7"/>
  <c r="O6"/>
  <c r="K100"/>
  <c r="K99"/>
  <c r="K98"/>
  <c r="K125"/>
  <c r="K124"/>
  <c r="K97"/>
  <c r="K96"/>
  <c r="K95"/>
  <c r="K123"/>
  <c r="K94"/>
  <c r="K93"/>
  <c r="K92"/>
  <c r="K122"/>
  <c r="K91"/>
  <c r="K90"/>
  <c r="K89"/>
  <c r="K88"/>
  <c r="K87"/>
  <c r="K86"/>
  <c r="K85"/>
  <c r="K84"/>
  <c r="K83"/>
  <c r="K82"/>
  <c r="K121"/>
  <c r="K81"/>
  <c r="K120"/>
  <c r="K80"/>
  <c r="K119"/>
  <c r="K79"/>
  <c r="K78"/>
  <c r="K77"/>
  <c r="K76"/>
  <c r="K75"/>
  <c r="K118"/>
  <c r="K74"/>
  <c r="K117"/>
  <c r="K73"/>
  <c r="K72"/>
  <c r="K71"/>
  <c r="K70"/>
  <c r="K116"/>
  <c r="K69"/>
  <c r="K68"/>
  <c r="K115"/>
  <c r="K114"/>
  <c r="K67"/>
  <c r="K66"/>
  <c r="K65"/>
  <c r="K64"/>
  <c r="K63"/>
  <c r="K62"/>
  <c r="K113"/>
  <c r="K112"/>
  <c r="K61"/>
  <c r="K111"/>
  <c r="K60"/>
  <c r="K59"/>
  <c r="K58"/>
  <c r="K57"/>
  <c r="K56"/>
  <c r="K55"/>
  <c r="K54"/>
  <c r="K53"/>
  <c r="K52"/>
  <c r="K51"/>
  <c r="K110"/>
  <c r="K50"/>
  <c r="K49"/>
  <c r="K48"/>
  <c r="K47"/>
  <c r="K109"/>
  <c r="K46"/>
  <c r="K45"/>
  <c r="K44"/>
  <c r="K43"/>
  <c r="K42"/>
  <c r="K41"/>
  <c r="K40"/>
  <c r="K108"/>
  <c r="K107"/>
  <c r="K39"/>
  <c r="K38"/>
  <c r="K106"/>
  <c r="K37"/>
  <c r="K36"/>
  <c r="K35"/>
  <c r="K34"/>
  <c r="K33"/>
  <c r="K32"/>
  <c r="K31"/>
  <c r="K105"/>
  <c r="K30"/>
  <c r="K29"/>
  <c r="K28"/>
  <c r="K27"/>
  <c r="K26"/>
  <c r="K104"/>
  <c r="K103"/>
  <c r="K25"/>
  <c r="K24"/>
  <c r="K23"/>
  <c r="K22"/>
  <c r="K21"/>
  <c r="K20"/>
  <c r="K19"/>
  <c r="K18"/>
  <c r="K102"/>
  <c r="K17"/>
  <c r="K16"/>
  <c r="K15"/>
  <c r="K14"/>
  <c r="K13"/>
  <c r="K12"/>
  <c r="K11"/>
  <c r="K10"/>
  <c r="K9"/>
  <c r="K8"/>
  <c r="K101"/>
  <c r="K7"/>
  <c r="K5"/>
  <c r="K6"/>
  <c r="G100"/>
  <c r="G99"/>
  <c r="G98"/>
  <c r="G125"/>
  <c r="G124"/>
  <c r="G97"/>
  <c r="G96"/>
  <c r="G95"/>
  <c r="G123"/>
  <c r="G94"/>
  <c r="G93"/>
  <c r="G92"/>
  <c r="G122"/>
  <c r="G91"/>
  <c r="G90"/>
  <c r="G89"/>
  <c r="G88"/>
  <c r="G87"/>
  <c r="G86"/>
  <c r="G85"/>
  <c r="G84"/>
  <c r="G83"/>
  <c r="G82"/>
  <c r="G121"/>
  <c r="G81"/>
  <c r="G120"/>
  <c r="G80"/>
  <c r="G119"/>
  <c r="G79"/>
  <c r="G78"/>
  <c r="G77"/>
  <c r="G76"/>
  <c r="G75"/>
  <c r="G118"/>
  <c r="G74"/>
  <c r="G117"/>
  <c r="G73"/>
  <c r="G72"/>
  <c r="G71"/>
  <c r="G70"/>
  <c r="G116"/>
  <c r="G69"/>
  <c r="G68"/>
  <c r="G115"/>
  <c r="G114"/>
  <c r="G67"/>
  <c r="G66"/>
  <c r="G65"/>
  <c r="G64"/>
  <c r="G63"/>
  <c r="G62"/>
  <c r="G113"/>
  <c r="G112"/>
  <c r="G61"/>
  <c r="G111"/>
  <c r="G60"/>
  <c r="G59"/>
  <c r="G58"/>
  <c r="G57"/>
  <c r="G56"/>
  <c r="G55"/>
  <c r="G54"/>
  <c r="G53"/>
  <c r="G52"/>
  <c r="G51"/>
  <c r="G110"/>
  <c r="G50"/>
  <c r="G49"/>
  <c r="G48"/>
  <c r="G47"/>
  <c r="G109"/>
  <c r="G46"/>
  <c r="G45"/>
  <c r="G44"/>
  <c r="G43"/>
  <c r="G42"/>
  <c r="G41"/>
  <c r="G40"/>
  <c r="G108"/>
  <c r="G107"/>
  <c r="G39"/>
  <c r="G38"/>
  <c r="G106"/>
  <c r="G37"/>
  <c r="G36"/>
  <c r="G35"/>
  <c r="G34"/>
  <c r="G33"/>
  <c r="G32"/>
  <c r="G31"/>
  <c r="G105"/>
  <c r="G30"/>
  <c r="G29"/>
  <c r="G28"/>
  <c r="G27"/>
  <c r="G26"/>
  <c r="G104"/>
  <c r="G103"/>
  <c r="G25"/>
  <c r="G24"/>
  <c r="G23"/>
  <c r="G22"/>
  <c r="G21"/>
  <c r="G20"/>
  <c r="G19"/>
  <c r="G18"/>
  <c r="G102"/>
  <c r="G17"/>
  <c r="G16"/>
  <c r="G15"/>
  <c r="G14"/>
  <c r="G13"/>
  <c r="G12"/>
  <c r="G11"/>
  <c r="G10"/>
  <c r="G9"/>
  <c r="G8"/>
  <c r="G101"/>
  <c r="G7"/>
  <c r="G5" s="1"/>
  <c r="G6"/>
  <c r="P5"/>
  <c r="O5"/>
  <c r="N5"/>
  <c r="M5"/>
  <c r="L5"/>
  <c r="J5"/>
  <c r="I5"/>
  <c r="H5"/>
  <c r="F5"/>
  <c r="E5"/>
  <c r="D5"/>
  <c r="G100" i="47"/>
  <c r="G99"/>
  <c r="G98"/>
  <c r="G125"/>
  <c r="G124"/>
  <c r="G97"/>
  <c r="G96"/>
  <c r="G95"/>
  <c r="G123"/>
  <c r="G94"/>
  <c r="G93"/>
  <c r="G92"/>
  <c r="G122"/>
  <c r="G91"/>
  <c r="G90"/>
  <c r="G89"/>
  <c r="G88"/>
  <c r="G87"/>
  <c r="G86"/>
  <c r="G85"/>
  <c r="G84"/>
  <c r="G83"/>
  <c r="G82"/>
  <c r="G121"/>
  <c r="G81"/>
  <c r="G120"/>
  <c r="G80"/>
  <c r="G119"/>
  <c r="G79"/>
  <c r="G78"/>
  <c r="G77"/>
  <c r="G76"/>
  <c r="G75"/>
  <c r="G118"/>
  <c r="G74"/>
  <c r="G117"/>
  <c r="G73"/>
  <c r="G72"/>
  <c r="G71"/>
  <c r="G70"/>
  <c r="G116"/>
  <c r="G69"/>
  <c r="G68"/>
  <c r="G115"/>
  <c r="G114"/>
  <c r="G67"/>
  <c r="G66"/>
  <c r="G65"/>
  <c r="G64"/>
  <c r="G63"/>
  <c r="G62"/>
  <c r="G113"/>
  <c r="G112"/>
  <c r="G61"/>
  <c r="G111"/>
  <c r="G60"/>
  <c r="G59"/>
  <c r="G58"/>
  <c r="G57"/>
  <c r="G56"/>
  <c r="G55"/>
  <c r="G54"/>
  <c r="G53"/>
  <c r="G52"/>
  <c r="G51"/>
  <c r="G110"/>
  <c r="G50"/>
  <c r="G49"/>
  <c r="G48"/>
  <c r="G47"/>
  <c r="G109"/>
  <c r="G46"/>
  <c r="G45"/>
  <c r="G44"/>
  <c r="G43"/>
  <c r="G42"/>
  <c r="G41"/>
  <c r="G40"/>
  <c r="G108"/>
  <c r="G107"/>
  <c r="G39"/>
  <c r="G38"/>
  <c r="G106"/>
  <c r="G37"/>
  <c r="G36"/>
  <c r="G35"/>
  <c r="G34"/>
  <c r="G33"/>
  <c r="G32"/>
  <c r="G31"/>
  <c r="G105"/>
  <c r="G30"/>
  <c r="G29"/>
  <c r="G28"/>
  <c r="G27"/>
  <c r="G26"/>
  <c r="G104"/>
  <c r="G103"/>
  <c r="G25"/>
  <c r="G24"/>
  <c r="G23"/>
  <c r="G22"/>
  <c r="G21"/>
  <c r="G20"/>
  <c r="G19"/>
  <c r="G18"/>
  <c r="G102"/>
  <c r="G17"/>
  <c r="G16"/>
  <c r="G15"/>
  <c r="G14"/>
  <c r="G13"/>
  <c r="G12"/>
  <c r="G11"/>
  <c r="G10"/>
  <c r="G9"/>
  <c r="G8"/>
  <c r="G101"/>
  <c r="G7"/>
  <c r="G6"/>
  <c r="K100"/>
  <c r="K99"/>
  <c r="K98"/>
  <c r="K125"/>
  <c r="K124"/>
  <c r="K97"/>
  <c r="K96"/>
  <c r="K95"/>
  <c r="K123"/>
  <c r="K94"/>
  <c r="K93"/>
  <c r="K92"/>
  <c r="K122"/>
  <c r="K91"/>
  <c r="K90"/>
  <c r="K89"/>
  <c r="K88"/>
  <c r="K87"/>
  <c r="K86"/>
  <c r="K85"/>
  <c r="K84"/>
  <c r="K83"/>
  <c r="K82"/>
  <c r="K121"/>
  <c r="K81"/>
  <c r="K120"/>
  <c r="K80"/>
  <c r="K119"/>
  <c r="K79"/>
  <c r="K78"/>
  <c r="K77"/>
  <c r="K76"/>
  <c r="K75"/>
  <c r="K118"/>
  <c r="K74"/>
  <c r="K117"/>
  <c r="K73"/>
  <c r="K72"/>
  <c r="K71"/>
  <c r="K70"/>
  <c r="K116"/>
  <c r="K69"/>
  <c r="K68"/>
  <c r="K115"/>
  <c r="K114"/>
  <c r="K67"/>
  <c r="K66"/>
  <c r="K65"/>
  <c r="K64"/>
  <c r="K63"/>
  <c r="K62"/>
  <c r="K113"/>
  <c r="K112"/>
  <c r="K61"/>
  <c r="K111"/>
  <c r="K60"/>
  <c r="K59"/>
  <c r="K58"/>
  <c r="K57"/>
  <c r="K56"/>
  <c r="K55"/>
  <c r="K54"/>
  <c r="K53"/>
  <c r="K52"/>
  <c r="K51"/>
  <c r="K110"/>
  <c r="K50"/>
  <c r="K49"/>
  <c r="K48"/>
  <c r="K47"/>
  <c r="K109"/>
  <c r="K46"/>
  <c r="K45"/>
  <c r="K44"/>
  <c r="K43"/>
  <c r="K42"/>
  <c r="K41"/>
  <c r="K40"/>
  <c r="K108"/>
  <c r="K107"/>
  <c r="K39"/>
  <c r="K38"/>
  <c r="K106"/>
  <c r="K37"/>
  <c r="K36"/>
  <c r="K35"/>
  <c r="K34"/>
  <c r="K33"/>
  <c r="K32"/>
  <c r="K31"/>
  <c r="K105"/>
  <c r="K30"/>
  <c r="K29"/>
  <c r="K28"/>
  <c r="K27"/>
  <c r="K26"/>
  <c r="K104"/>
  <c r="K103"/>
  <c r="K25"/>
  <c r="K24"/>
  <c r="K23"/>
  <c r="K22"/>
  <c r="K21"/>
  <c r="K20"/>
  <c r="K19"/>
  <c r="K18"/>
  <c r="K102"/>
  <c r="K17"/>
  <c r="K16"/>
  <c r="K15"/>
  <c r="K14"/>
  <c r="K13"/>
  <c r="K12"/>
  <c r="K11"/>
  <c r="K10"/>
  <c r="K9"/>
  <c r="K8"/>
  <c r="K101"/>
  <c r="K7"/>
  <c r="K6"/>
  <c r="O100"/>
  <c r="O99"/>
  <c r="O98"/>
  <c r="O125"/>
  <c r="O124"/>
  <c r="O97"/>
  <c r="O96"/>
  <c r="O95"/>
  <c r="O123"/>
  <c r="O94"/>
  <c r="O93"/>
  <c r="O92"/>
  <c r="O122"/>
  <c r="O91"/>
  <c r="O90"/>
  <c r="O89"/>
  <c r="O88"/>
  <c r="O87"/>
  <c r="O86"/>
  <c r="O85"/>
  <c r="O84"/>
  <c r="O83"/>
  <c r="O82"/>
  <c r="O121"/>
  <c r="O81"/>
  <c r="O120"/>
  <c r="O80"/>
  <c r="O119"/>
  <c r="O79"/>
  <c r="O78"/>
  <c r="O77"/>
  <c r="O76"/>
  <c r="O75"/>
  <c r="O118"/>
  <c r="O74"/>
  <c r="O117"/>
  <c r="O73"/>
  <c r="O72"/>
  <c r="O71"/>
  <c r="O70"/>
  <c r="O116"/>
  <c r="O69"/>
  <c r="O68"/>
  <c r="O115"/>
  <c r="O114"/>
  <c r="O67"/>
  <c r="O66"/>
  <c r="O65"/>
  <c r="O64"/>
  <c r="O63"/>
  <c r="O62"/>
  <c r="O113"/>
  <c r="O112"/>
  <c r="O61"/>
  <c r="O111"/>
  <c r="O60"/>
  <c r="O59"/>
  <c r="O58"/>
  <c r="O57"/>
  <c r="O56"/>
  <c r="O55"/>
  <c r="O54"/>
  <c r="O53"/>
  <c r="O52"/>
  <c r="O51"/>
  <c r="O110"/>
  <c r="O50"/>
  <c r="O49"/>
  <c r="O48"/>
  <c r="O47"/>
  <c r="O109"/>
  <c r="O46"/>
  <c r="O45"/>
  <c r="O44"/>
  <c r="O43"/>
  <c r="O42"/>
  <c r="O41"/>
  <c r="O40"/>
  <c r="O108"/>
  <c r="O107"/>
  <c r="O39"/>
  <c r="O38"/>
  <c r="O106"/>
  <c r="O37"/>
  <c r="O36"/>
  <c r="O35"/>
  <c r="O34"/>
  <c r="O33"/>
  <c r="O32"/>
  <c r="O31"/>
  <c r="O105"/>
  <c r="O30"/>
  <c r="O29"/>
  <c r="O28"/>
  <c r="O27"/>
  <c r="O26"/>
  <c r="O104"/>
  <c r="O103"/>
  <c r="O25"/>
  <c r="O24"/>
  <c r="O23"/>
  <c r="O22"/>
  <c r="O21"/>
  <c r="O20"/>
  <c r="O19"/>
  <c r="O18"/>
  <c r="O102"/>
  <c r="O17"/>
  <c r="O16"/>
  <c r="O15"/>
  <c r="O14"/>
  <c r="O13"/>
  <c r="O12"/>
  <c r="O11"/>
  <c r="O10"/>
  <c r="O9"/>
  <c r="O8"/>
  <c r="O101"/>
  <c r="O7"/>
  <c r="O6"/>
  <c r="L5"/>
  <c r="G4" i="94"/>
  <c r="F4"/>
  <c r="E4"/>
  <c r="D4"/>
  <c r="H5" i="90"/>
  <c r="I5"/>
  <c r="J5"/>
  <c r="G5"/>
  <c r="F5"/>
  <c r="E5"/>
  <c r="D5"/>
  <c r="J5" i="91"/>
  <c r="I5"/>
  <c r="H5"/>
  <c r="G5"/>
  <c r="F5"/>
  <c r="E5"/>
  <c r="D5"/>
  <c r="G4" i="63"/>
  <c r="F4"/>
  <c r="E4"/>
  <c r="D4"/>
  <c r="R4" i="92"/>
  <c r="Q4"/>
  <c r="P4"/>
  <c r="O4"/>
  <c r="R98"/>
  <c r="Q98"/>
  <c r="R97"/>
  <c r="Q97"/>
  <c r="R95"/>
  <c r="Q95"/>
  <c r="R93"/>
  <c r="Q93"/>
  <c r="R87"/>
  <c r="Q87"/>
  <c r="R85"/>
  <c r="Q85"/>
  <c r="R84"/>
  <c r="Q84"/>
  <c r="R118"/>
  <c r="Q118"/>
  <c r="R78"/>
  <c r="Q78"/>
  <c r="R72"/>
  <c r="Q72"/>
  <c r="R115"/>
  <c r="Q115"/>
  <c r="R64"/>
  <c r="Q64"/>
  <c r="R56"/>
  <c r="Q56"/>
  <c r="R42"/>
  <c r="Q42"/>
  <c r="R39"/>
  <c r="Q39"/>
  <c r="R107"/>
  <c r="Q107"/>
  <c r="R35"/>
  <c r="Q35"/>
  <c r="R30"/>
  <c r="Q30"/>
  <c r="R22"/>
  <c r="Q22"/>
  <c r="R18"/>
  <c r="Q18"/>
  <c r="R101"/>
  <c r="Q101"/>
  <c r="R15"/>
  <c r="Q15"/>
  <c r="R82"/>
  <c r="Q82"/>
  <c r="R81"/>
  <c r="Q81"/>
  <c r="R120"/>
  <c r="Q120"/>
  <c r="R73"/>
  <c r="Q73"/>
  <c r="R65"/>
  <c r="Q65"/>
  <c r="R62"/>
  <c r="Q62"/>
  <c r="R110"/>
  <c r="Q110"/>
  <c r="R49"/>
  <c r="Q49"/>
  <c r="R45"/>
  <c r="Q45"/>
  <c r="R37"/>
  <c r="Q37"/>
  <c r="R104"/>
  <c r="Q104"/>
  <c r="R27"/>
  <c r="Q27"/>
  <c r="R102"/>
  <c r="Q102"/>
  <c r="R24"/>
  <c r="Q24"/>
  <c r="R20"/>
  <c r="Q20"/>
  <c r="R16"/>
  <c r="Q16"/>
  <c r="R14"/>
  <c r="Q14"/>
  <c r="R13"/>
  <c r="Q13"/>
  <c r="R12"/>
  <c r="Q12"/>
  <c r="R10"/>
  <c r="Q10"/>
  <c r="R9"/>
  <c r="Q9"/>
  <c r="R7"/>
  <c r="Q7"/>
  <c r="R6"/>
  <c r="Q6"/>
  <c r="R124"/>
  <c r="Q124"/>
  <c r="R94"/>
  <c r="Q94"/>
  <c r="R90"/>
  <c r="Q90"/>
  <c r="R89"/>
  <c r="Q89"/>
  <c r="R86"/>
  <c r="Q86"/>
  <c r="R83"/>
  <c r="Q83"/>
  <c r="R79"/>
  <c r="Q79"/>
  <c r="R77"/>
  <c r="Q77"/>
  <c r="R71"/>
  <c r="Q71"/>
  <c r="R70"/>
  <c r="Q70"/>
  <c r="R112"/>
  <c r="Q112"/>
  <c r="R111"/>
  <c r="Q111"/>
  <c r="R60"/>
  <c r="Q60"/>
  <c r="R58"/>
  <c r="Q58"/>
  <c r="R57"/>
  <c r="Q57"/>
  <c r="R53"/>
  <c r="Q53"/>
  <c r="R43"/>
  <c r="Q43"/>
  <c r="R106"/>
  <c r="Q106"/>
  <c r="R38"/>
  <c r="Q38"/>
  <c r="R34"/>
  <c r="Q34"/>
  <c r="R33"/>
  <c r="Q33"/>
  <c r="R28"/>
  <c r="Q28"/>
  <c r="R26"/>
  <c r="Q26"/>
  <c r="R11"/>
  <c r="Q11"/>
  <c r="R100"/>
  <c r="Q100"/>
  <c r="R99"/>
  <c r="Q99"/>
  <c r="R123"/>
  <c r="Q123"/>
  <c r="R122"/>
  <c r="Q122"/>
  <c r="R92"/>
  <c r="Q92"/>
  <c r="R91"/>
  <c r="Q91"/>
  <c r="R121"/>
  <c r="Q121"/>
  <c r="R88"/>
  <c r="Q88"/>
  <c r="R76"/>
  <c r="Q76"/>
  <c r="R117"/>
  <c r="Q117"/>
  <c r="R67"/>
  <c r="Q67"/>
  <c r="R114"/>
  <c r="Q114"/>
  <c r="R113"/>
  <c r="Q113"/>
  <c r="R61"/>
  <c r="Q61"/>
  <c r="R51"/>
  <c r="Q51"/>
  <c r="R50"/>
  <c r="Q50"/>
  <c r="R108"/>
  <c r="Q108"/>
  <c r="R44"/>
  <c r="Q44"/>
  <c r="R40"/>
  <c r="Q40"/>
  <c r="R105"/>
  <c r="Q105"/>
  <c r="R31"/>
  <c r="Q31"/>
  <c r="R103"/>
  <c r="Q103"/>
  <c r="R17"/>
  <c r="Q17"/>
  <c r="R5"/>
  <c r="Q5"/>
  <c r="R96"/>
  <c r="Q96"/>
  <c r="R80"/>
  <c r="Q80"/>
  <c r="R119"/>
  <c r="Q119"/>
  <c r="R75"/>
  <c r="Q75"/>
  <c r="R74"/>
  <c r="Q74"/>
  <c r="R116"/>
  <c r="Q116"/>
  <c r="R69"/>
  <c r="Q69"/>
  <c r="R68"/>
  <c r="Q68"/>
  <c r="R66"/>
  <c r="Q66"/>
  <c r="R63"/>
  <c r="Q63"/>
  <c r="R59"/>
  <c r="Q59"/>
  <c r="R55"/>
  <c r="Q55"/>
  <c r="R54"/>
  <c r="Q54"/>
  <c r="R52"/>
  <c r="Q52"/>
  <c r="R109"/>
  <c r="Q109"/>
  <c r="R47"/>
  <c r="Q47"/>
  <c r="R46"/>
  <c r="Q46"/>
  <c r="R41"/>
  <c r="Q41"/>
  <c r="R36"/>
  <c r="Q36"/>
  <c r="R32"/>
  <c r="Q32"/>
  <c r="R29"/>
  <c r="Q29"/>
  <c r="R25"/>
  <c r="Q25"/>
  <c r="R23"/>
  <c r="Q23"/>
  <c r="R21"/>
  <c r="Q21"/>
  <c r="R19"/>
  <c r="Q19"/>
  <c r="R8"/>
  <c r="Q8"/>
  <c r="P98"/>
  <c r="P97"/>
  <c r="P95"/>
  <c r="P93"/>
  <c r="P87"/>
  <c r="P85"/>
  <c r="P84"/>
  <c r="P118"/>
  <c r="P78"/>
  <c r="P72"/>
  <c r="P115"/>
  <c r="P64"/>
  <c r="P56"/>
  <c r="P42"/>
  <c r="P39"/>
  <c r="P107"/>
  <c r="P35"/>
  <c r="P30"/>
  <c r="P22"/>
  <c r="P18"/>
  <c r="P101"/>
  <c r="P15"/>
  <c r="P82"/>
  <c r="P81"/>
  <c r="P120"/>
  <c r="P73"/>
  <c r="P65"/>
  <c r="P62"/>
  <c r="P110"/>
  <c r="P49"/>
  <c r="P45"/>
  <c r="P37"/>
  <c r="P104"/>
  <c r="P27"/>
  <c r="P102"/>
  <c r="P24"/>
  <c r="P20"/>
  <c r="P16"/>
  <c r="P14"/>
  <c r="P13"/>
  <c r="P12"/>
  <c r="P10"/>
  <c r="P9"/>
  <c r="P7"/>
  <c r="P6"/>
  <c r="P124"/>
  <c r="P94"/>
  <c r="P90"/>
  <c r="P89"/>
  <c r="P86"/>
  <c r="P83"/>
  <c r="P79"/>
  <c r="P77"/>
  <c r="P71"/>
  <c r="P70"/>
  <c r="P112"/>
  <c r="P111"/>
  <c r="P60"/>
  <c r="P58"/>
  <c r="P57"/>
  <c r="P53"/>
  <c r="P43"/>
  <c r="P106"/>
  <c r="P38"/>
  <c r="P34"/>
  <c r="P33"/>
  <c r="P28"/>
  <c r="P26"/>
  <c r="P11"/>
  <c r="P100"/>
  <c r="P99"/>
  <c r="P123"/>
  <c r="P122"/>
  <c r="P92"/>
  <c r="P91"/>
  <c r="P121"/>
  <c r="P88"/>
  <c r="P76"/>
  <c r="P117"/>
  <c r="P67"/>
  <c r="P114"/>
  <c r="P113"/>
  <c r="P61"/>
  <c r="P51"/>
  <c r="P50"/>
  <c r="P108"/>
  <c r="P44"/>
  <c r="P40"/>
  <c r="P105"/>
  <c r="P31"/>
  <c r="P103"/>
  <c r="P17"/>
  <c r="P5"/>
  <c r="P96"/>
  <c r="P80"/>
  <c r="P119"/>
  <c r="P75"/>
  <c r="P74"/>
  <c r="P116"/>
  <c r="P69"/>
  <c r="P68"/>
  <c r="P66"/>
  <c r="P63"/>
  <c r="P59"/>
  <c r="P55"/>
  <c r="P54"/>
  <c r="P52"/>
  <c r="P109"/>
  <c r="P47"/>
  <c r="P46"/>
  <c r="P41"/>
  <c r="P36"/>
  <c r="P32"/>
  <c r="P29"/>
  <c r="P25"/>
  <c r="P23"/>
  <c r="P21"/>
  <c r="P19"/>
  <c r="P8"/>
  <c r="O98"/>
  <c r="O97"/>
  <c r="O95"/>
  <c r="O93"/>
  <c r="O87"/>
  <c r="O85"/>
  <c r="O84"/>
  <c r="O118"/>
  <c r="O78"/>
  <c r="O72"/>
  <c r="O115"/>
  <c r="O64"/>
  <c r="O56"/>
  <c r="O42"/>
  <c r="O39"/>
  <c r="O107"/>
  <c r="O35"/>
  <c r="O30"/>
  <c r="O22"/>
  <c r="O18"/>
  <c r="O101"/>
  <c r="O15"/>
  <c r="O82"/>
  <c r="O81"/>
  <c r="O120"/>
  <c r="O73"/>
  <c r="O65"/>
  <c r="O62"/>
  <c r="O110"/>
  <c r="O49"/>
  <c r="O45"/>
  <c r="O37"/>
  <c r="O104"/>
  <c r="O27"/>
  <c r="O102"/>
  <c r="O24"/>
  <c r="O20"/>
  <c r="O16"/>
  <c r="O14"/>
  <c r="O13"/>
  <c r="O12"/>
  <c r="O10"/>
  <c r="O9"/>
  <c r="O7"/>
  <c r="O6"/>
  <c r="O124"/>
  <c r="O94"/>
  <c r="O90"/>
  <c r="O89"/>
  <c r="O86"/>
  <c r="O83"/>
  <c r="O79"/>
  <c r="O77"/>
  <c r="O71"/>
  <c r="O70"/>
  <c r="O112"/>
  <c r="O111"/>
  <c r="O60"/>
  <c r="O58"/>
  <c r="O57"/>
  <c r="O53"/>
  <c r="O43"/>
  <c r="O106"/>
  <c r="O38"/>
  <c r="O34"/>
  <c r="O33"/>
  <c r="O28"/>
  <c r="O26"/>
  <c r="O11"/>
  <c r="O100"/>
  <c r="O99"/>
  <c r="O123"/>
  <c r="O122"/>
  <c r="O92"/>
  <c r="O91"/>
  <c r="O121"/>
  <c r="O88"/>
  <c r="O76"/>
  <c r="O117"/>
  <c r="O67"/>
  <c r="O114"/>
  <c r="O113"/>
  <c r="O61"/>
  <c r="O51"/>
  <c r="O50"/>
  <c r="O108"/>
  <c r="O44"/>
  <c r="O40"/>
  <c r="O105"/>
  <c r="O31"/>
  <c r="O103"/>
  <c r="O17"/>
  <c r="O5"/>
  <c r="O96"/>
  <c r="O80"/>
  <c r="O119"/>
  <c r="O75"/>
  <c r="O74"/>
  <c r="O116"/>
  <c r="O69"/>
  <c r="O68"/>
  <c r="O66"/>
  <c r="O63"/>
  <c r="O59"/>
  <c r="O55"/>
  <c r="O54"/>
  <c r="O52"/>
  <c r="O109"/>
  <c r="O47"/>
  <c r="O46"/>
  <c r="O41"/>
  <c r="O36"/>
  <c r="O32"/>
  <c r="O29"/>
  <c r="O25"/>
  <c r="O23"/>
  <c r="O21"/>
  <c r="O19"/>
  <c r="O8"/>
  <c r="G100" i="6"/>
  <c r="G99"/>
  <c r="G98"/>
  <c r="G125"/>
  <c r="G124"/>
  <c r="G97"/>
  <c r="G96"/>
  <c r="G95"/>
  <c r="G123"/>
  <c r="G94"/>
  <c r="G93"/>
  <c r="G92"/>
  <c r="G122"/>
  <c r="G91"/>
  <c r="G90"/>
  <c r="G89"/>
  <c r="G88"/>
  <c r="G87"/>
  <c r="G86"/>
  <c r="G85"/>
  <c r="G84"/>
  <c r="G83"/>
  <c r="G82"/>
  <c r="G121"/>
  <c r="G81"/>
  <c r="G120"/>
  <c r="G80"/>
  <c r="G119"/>
  <c r="G79"/>
  <c r="G78"/>
  <c r="G77"/>
  <c r="G76"/>
  <c r="G75"/>
  <c r="G118"/>
  <c r="G74"/>
  <c r="G117"/>
  <c r="G73"/>
  <c r="G72"/>
  <c r="G71"/>
  <c r="G70"/>
  <c r="G116"/>
  <c r="G69"/>
  <c r="G68"/>
  <c r="G115"/>
  <c r="G114"/>
  <c r="G67"/>
  <c r="G66"/>
  <c r="G65"/>
  <c r="G64"/>
  <c r="G63"/>
  <c r="G62"/>
  <c r="G113"/>
  <c r="G112"/>
  <c r="G61"/>
  <c r="G111"/>
  <c r="G60"/>
  <c r="G59"/>
  <c r="G58"/>
  <c r="G57"/>
  <c r="G56"/>
  <c r="G55"/>
  <c r="G54"/>
  <c r="G53"/>
  <c r="G52"/>
  <c r="G51"/>
  <c r="G110"/>
  <c r="G50"/>
  <c r="G49"/>
  <c r="G48"/>
  <c r="G47"/>
  <c r="G109"/>
  <c r="G46"/>
  <c r="G45"/>
  <c r="G44"/>
  <c r="G43"/>
  <c r="G42"/>
  <c r="G41"/>
  <c r="G40"/>
  <c r="G108"/>
  <c r="G107"/>
  <c r="G39"/>
  <c r="G38"/>
  <c r="G106"/>
  <c r="G37"/>
  <c r="G36"/>
  <c r="G35"/>
  <c r="G34"/>
  <c r="G33"/>
  <c r="G32"/>
  <c r="G31"/>
  <c r="G105"/>
  <c r="G30"/>
  <c r="G29"/>
  <c r="G28"/>
  <c r="G27"/>
  <c r="G26"/>
  <c r="G104"/>
  <c r="G103"/>
  <c r="G25"/>
  <c r="G24"/>
  <c r="G23"/>
  <c r="G22"/>
  <c r="G21"/>
  <c r="G20"/>
  <c r="G19"/>
  <c r="G18"/>
  <c r="G102"/>
  <c r="G17"/>
  <c r="G16"/>
  <c r="G15"/>
  <c r="G14"/>
  <c r="G13"/>
  <c r="G12"/>
  <c r="G11"/>
  <c r="G10"/>
  <c r="G9"/>
  <c r="G8"/>
  <c r="G101"/>
  <c r="G7"/>
  <c r="G6"/>
  <c r="G5"/>
  <c r="R133" i="72"/>
  <c r="S132"/>
  <c r="R131"/>
  <c r="S130"/>
  <c r="R129"/>
  <c r="N133"/>
  <c r="S133" s="1"/>
  <c r="M133"/>
  <c r="N132"/>
  <c r="M132"/>
  <c r="N131"/>
  <c r="S131" s="1"/>
  <c r="M131"/>
  <c r="N130"/>
  <c r="M130"/>
  <c r="N129"/>
  <c r="S129" s="1"/>
  <c r="M129"/>
  <c r="K133"/>
  <c r="J133"/>
  <c r="K132"/>
  <c r="J132"/>
  <c r="R132" s="1"/>
  <c r="K131"/>
  <c r="J131"/>
  <c r="K130"/>
  <c r="J130"/>
  <c r="R130" s="1"/>
  <c r="K129"/>
  <c r="J129"/>
  <c r="H133"/>
  <c r="G133"/>
  <c r="Q133" s="1"/>
  <c r="H132"/>
  <c r="G132"/>
  <c r="Q132" s="1"/>
  <c r="H131"/>
  <c r="G131"/>
  <c r="Q131" s="1"/>
  <c r="H130"/>
  <c r="G130"/>
  <c r="Q130" s="1"/>
  <c r="H129"/>
  <c r="G129"/>
  <c r="Q129" s="1"/>
  <c r="E133"/>
  <c r="E132"/>
  <c r="E131"/>
  <c r="E130"/>
  <c r="E129"/>
  <c r="D133"/>
  <c r="P133" s="1"/>
  <c r="D132"/>
  <c r="P132" s="1"/>
  <c r="D131"/>
  <c r="P131" s="1"/>
  <c r="D130"/>
  <c r="P130" s="1"/>
  <c r="D129"/>
  <c r="P129" s="1"/>
  <c r="AA5" i="88"/>
  <c r="AB5"/>
  <c r="X5"/>
  <c r="Y5"/>
  <c r="Z5"/>
  <c r="U5"/>
  <c r="V5"/>
  <c r="I124" i="89"/>
  <c r="I123"/>
  <c r="I122"/>
  <c r="I121"/>
  <c r="I120"/>
  <c r="I119"/>
  <c r="I118"/>
  <c r="I117"/>
  <c r="I116"/>
  <c r="I115"/>
  <c r="I114"/>
  <c r="I113"/>
  <c r="I112"/>
  <c r="I111"/>
  <c r="I110"/>
  <c r="I109"/>
  <c r="I108"/>
  <c r="I107"/>
  <c r="I106"/>
  <c r="I105"/>
  <c r="I104"/>
  <c r="I103"/>
  <c r="I102"/>
  <c r="I101"/>
  <c r="I100"/>
  <c r="I99"/>
  <c r="I98"/>
  <c r="I97"/>
  <c r="I96"/>
  <c r="I95"/>
  <c r="I94"/>
  <c r="I93"/>
  <c r="I92"/>
  <c r="I91"/>
  <c r="I90"/>
  <c r="I89"/>
  <c r="I88"/>
  <c r="I87"/>
  <c r="I86"/>
  <c r="I85"/>
  <c r="I84"/>
  <c r="I83"/>
  <c r="I82"/>
  <c r="I81"/>
  <c r="I80"/>
  <c r="I79"/>
  <c r="I78"/>
  <c r="I77"/>
  <c r="I76"/>
  <c r="I75"/>
  <c r="I74"/>
  <c r="I73"/>
  <c r="I72"/>
  <c r="I71"/>
  <c r="I70"/>
  <c r="I69"/>
  <c r="I68"/>
  <c r="I67"/>
  <c r="I66"/>
  <c r="I65"/>
  <c r="I64"/>
  <c r="I63"/>
  <c r="I62"/>
  <c r="I61"/>
  <c r="I60"/>
  <c r="I59"/>
  <c r="I58"/>
  <c r="I57"/>
  <c r="I56"/>
  <c r="I55"/>
  <c r="I54"/>
  <c r="I53"/>
  <c r="I52"/>
  <c r="I51"/>
  <c r="I50"/>
  <c r="I49"/>
  <c r="I48"/>
  <c r="I47"/>
  <c r="I46"/>
  <c r="I45"/>
  <c r="I44"/>
  <c r="I43"/>
  <c r="I42"/>
  <c r="I41"/>
  <c r="I40"/>
  <c r="I39"/>
  <c r="I38"/>
  <c r="I37"/>
  <c r="I36"/>
  <c r="I35"/>
  <c r="I34"/>
  <c r="I33"/>
  <c r="I32"/>
  <c r="I31"/>
  <c r="I30"/>
  <c r="I29"/>
  <c r="I28"/>
  <c r="I27"/>
  <c r="I26"/>
  <c r="I25"/>
  <c r="I24"/>
  <c r="I23"/>
  <c r="I22"/>
  <c r="I21"/>
  <c r="I20"/>
  <c r="I19"/>
  <c r="I18"/>
  <c r="I17"/>
  <c r="I16"/>
  <c r="I15"/>
  <c r="I14"/>
  <c r="I13"/>
  <c r="I12"/>
  <c r="I11"/>
  <c r="I10"/>
  <c r="I9"/>
  <c r="I8"/>
  <c r="I7"/>
  <c r="I6"/>
  <c r="I5"/>
  <c r="M124" i="31"/>
  <c r="M123"/>
  <c r="M122"/>
  <c r="M121"/>
  <c r="M120"/>
  <c r="M119"/>
  <c r="M118"/>
  <c r="M117"/>
  <c r="M116"/>
  <c r="M115"/>
  <c r="M114"/>
  <c r="M113"/>
  <c r="M112"/>
  <c r="M111"/>
  <c r="M110"/>
  <c r="M109"/>
  <c r="M108"/>
  <c r="M107"/>
  <c r="M106"/>
  <c r="M105"/>
  <c r="M104"/>
  <c r="M103"/>
  <c r="M102"/>
  <c r="M101"/>
  <c r="M100"/>
  <c r="M99"/>
  <c r="M98"/>
  <c r="M97"/>
  <c r="M96"/>
  <c r="M95"/>
  <c r="M94"/>
  <c r="M93"/>
  <c r="M92"/>
  <c r="M91"/>
  <c r="M90"/>
  <c r="M89"/>
  <c r="M88"/>
  <c r="M87"/>
  <c r="M86"/>
  <c r="M85"/>
  <c r="M84"/>
  <c r="M83"/>
  <c r="M82"/>
  <c r="M81"/>
  <c r="M80"/>
  <c r="M79"/>
  <c r="M78"/>
  <c r="M77"/>
  <c r="M76"/>
  <c r="M75"/>
  <c r="M74"/>
  <c r="M73"/>
  <c r="M72"/>
  <c r="M71"/>
  <c r="M70"/>
  <c r="M69"/>
  <c r="M68"/>
  <c r="M67"/>
  <c r="M66"/>
  <c r="M65"/>
  <c r="M64"/>
  <c r="M63"/>
  <c r="M62"/>
  <c r="M61"/>
  <c r="M60"/>
  <c r="M59"/>
  <c r="M58"/>
  <c r="M57"/>
  <c r="M56"/>
  <c r="M55"/>
  <c r="M54"/>
  <c r="M53"/>
  <c r="M52"/>
  <c r="M51"/>
  <c r="M50"/>
  <c r="M49"/>
  <c r="M48"/>
  <c r="M47"/>
  <c r="M46"/>
  <c r="M45"/>
  <c r="M44"/>
  <c r="M43"/>
  <c r="M42"/>
  <c r="M41"/>
  <c r="M40"/>
  <c r="M39"/>
  <c r="M38"/>
  <c r="M37"/>
  <c r="M36"/>
  <c r="M35"/>
  <c r="M34"/>
  <c r="M33"/>
  <c r="M32"/>
  <c r="M31"/>
  <c r="M30"/>
  <c r="M29"/>
  <c r="M28"/>
  <c r="M27"/>
  <c r="M26"/>
  <c r="M25"/>
  <c r="M24"/>
  <c r="M23"/>
  <c r="M22"/>
  <c r="M21"/>
  <c r="M20"/>
  <c r="M19"/>
  <c r="M18"/>
  <c r="M17"/>
  <c r="M16"/>
  <c r="M15"/>
  <c r="M14"/>
  <c r="M13"/>
  <c r="M12"/>
  <c r="M11"/>
  <c r="M10"/>
  <c r="M9"/>
  <c r="M8"/>
  <c r="M7"/>
  <c r="M6"/>
  <c r="M5"/>
  <c r="M124" i="32"/>
  <c r="M123"/>
  <c r="M122"/>
  <c r="M121"/>
  <c r="M120"/>
  <c r="M119"/>
  <c r="M118"/>
  <c r="M117"/>
  <c r="M116"/>
  <c r="M115"/>
  <c r="M114"/>
  <c r="M113"/>
  <c r="M112"/>
  <c r="M111"/>
  <c r="M110"/>
  <c r="M109"/>
  <c r="M108"/>
  <c r="M107"/>
  <c r="M106"/>
  <c r="M105"/>
  <c r="M104"/>
  <c r="M103"/>
  <c r="M102"/>
  <c r="M101"/>
  <c r="M100"/>
  <c r="M99"/>
  <c r="M98"/>
  <c r="M97"/>
  <c r="M96"/>
  <c r="M95"/>
  <c r="M94"/>
  <c r="M93"/>
  <c r="M92"/>
  <c r="M91"/>
  <c r="M90"/>
  <c r="M89"/>
  <c r="M88"/>
  <c r="M87"/>
  <c r="M86"/>
  <c r="M85"/>
  <c r="M84"/>
  <c r="M83"/>
  <c r="M82"/>
  <c r="M81"/>
  <c r="M80"/>
  <c r="M79"/>
  <c r="M78"/>
  <c r="M77"/>
  <c r="M76"/>
  <c r="M75"/>
  <c r="M74"/>
  <c r="M73"/>
  <c r="M72"/>
  <c r="M71"/>
  <c r="M70"/>
  <c r="M69"/>
  <c r="M68"/>
  <c r="M67"/>
  <c r="M66"/>
  <c r="M65"/>
  <c r="M64"/>
  <c r="M63"/>
  <c r="M62"/>
  <c r="M61"/>
  <c r="M60"/>
  <c r="M59"/>
  <c r="M58"/>
  <c r="M57"/>
  <c r="M56"/>
  <c r="M55"/>
  <c r="M54"/>
  <c r="M53"/>
  <c r="M52"/>
  <c r="M51"/>
  <c r="M50"/>
  <c r="M49"/>
  <c r="M48"/>
  <c r="M47"/>
  <c r="M46"/>
  <c r="M45"/>
  <c r="M44"/>
  <c r="M43"/>
  <c r="M42"/>
  <c r="M41"/>
  <c r="M40"/>
  <c r="M39"/>
  <c r="M38"/>
  <c r="M37"/>
  <c r="M36"/>
  <c r="M35"/>
  <c r="M34"/>
  <c r="M33"/>
  <c r="M32"/>
  <c r="M31"/>
  <c r="M30"/>
  <c r="M29"/>
  <c r="M28"/>
  <c r="M27"/>
  <c r="M26"/>
  <c r="M25"/>
  <c r="M24"/>
  <c r="M23"/>
  <c r="M22"/>
  <c r="M21"/>
  <c r="M20"/>
  <c r="M19"/>
  <c r="M18"/>
  <c r="M17"/>
  <c r="M16"/>
  <c r="M15"/>
  <c r="M14"/>
  <c r="M13"/>
  <c r="M12"/>
  <c r="M11"/>
  <c r="M10"/>
  <c r="M9"/>
  <c r="M8"/>
  <c r="M7"/>
  <c r="M6"/>
  <c r="M5"/>
  <c r="H41" i="1"/>
  <c r="G41"/>
  <c r="AA130" i="86"/>
  <c r="AA129"/>
  <c r="AA128"/>
  <c r="AA127"/>
  <c r="AA126"/>
  <c r="F124" i="57"/>
  <c r="E124"/>
  <c r="F123"/>
  <c r="E123"/>
  <c r="F122"/>
  <c r="E122"/>
  <c r="F121"/>
  <c r="E121"/>
  <c r="F120"/>
  <c r="E120"/>
  <c r="F119"/>
  <c r="D119"/>
  <c r="E119"/>
  <c r="F118"/>
  <c r="E118"/>
  <c r="F117"/>
  <c r="D117" s="1"/>
  <c r="E117"/>
  <c r="F116"/>
  <c r="E116"/>
  <c r="F115"/>
  <c r="E115"/>
  <c r="D115" s="1"/>
  <c r="F114"/>
  <c r="E114"/>
  <c r="F113"/>
  <c r="E113"/>
  <c r="D113" s="1"/>
  <c r="F112"/>
  <c r="E112"/>
  <c r="F111"/>
  <c r="D111"/>
  <c r="E111"/>
  <c r="F110"/>
  <c r="E110"/>
  <c r="F109"/>
  <c r="D109" s="1"/>
  <c r="E109"/>
  <c r="F108"/>
  <c r="E108"/>
  <c r="F107"/>
  <c r="E107"/>
  <c r="D107" s="1"/>
  <c r="F106"/>
  <c r="E106"/>
  <c r="F105"/>
  <c r="E105"/>
  <c r="D105" s="1"/>
  <c r="F104"/>
  <c r="E104"/>
  <c r="F103"/>
  <c r="D103"/>
  <c r="E103"/>
  <c r="F102"/>
  <c r="E102"/>
  <c r="F101"/>
  <c r="D101" s="1"/>
  <c r="E101"/>
  <c r="F100"/>
  <c r="E100"/>
  <c r="F99"/>
  <c r="E99"/>
  <c r="D99" s="1"/>
  <c r="F98"/>
  <c r="E98"/>
  <c r="F97"/>
  <c r="E97"/>
  <c r="D97" s="1"/>
  <c r="F96"/>
  <c r="E96"/>
  <c r="F95"/>
  <c r="D95"/>
  <c r="E95"/>
  <c r="F94"/>
  <c r="E94"/>
  <c r="F93"/>
  <c r="D93" s="1"/>
  <c r="E93"/>
  <c r="F92"/>
  <c r="E92"/>
  <c r="F91"/>
  <c r="E91"/>
  <c r="D91" s="1"/>
  <c r="F90"/>
  <c r="E90"/>
  <c r="F89"/>
  <c r="E89"/>
  <c r="D89" s="1"/>
  <c r="F88"/>
  <c r="E88"/>
  <c r="F87"/>
  <c r="D87"/>
  <c r="E87"/>
  <c r="F86"/>
  <c r="E86"/>
  <c r="F85"/>
  <c r="D85" s="1"/>
  <c r="E85"/>
  <c r="F84"/>
  <c r="E84"/>
  <c r="F83"/>
  <c r="E83"/>
  <c r="D83" s="1"/>
  <c r="F82"/>
  <c r="E82"/>
  <c r="F81"/>
  <c r="E81"/>
  <c r="D81" s="1"/>
  <c r="F80"/>
  <c r="E80"/>
  <c r="F79"/>
  <c r="E79"/>
  <c r="D79" s="1"/>
  <c r="F78"/>
  <c r="E78"/>
  <c r="F77"/>
  <c r="D77" s="1"/>
  <c r="E77"/>
  <c r="F76"/>
  <c r="E76"/>
  <c r="D76" s="1"/>
  <c r="F75"/>
  <c r="E75"/>
  <c r="D75" s="1"/>
  <c r="F74"/>
  <c r="E74"/>
  <c r="D74" s="1"/>
  <c r="F73"/>
  <c r="D73" s="1"/>
  <c r="E73"/>
  <c r="F72"/>
  <c r="E72"/>
  <c r="D72" s="1"/>
  <c r="F71"/>
  <c r="E71"/>
  <c r="D71" s="1"/>
  <c r="F70"/>
  <c r="E70"/>
  <c r="D70" s="1"/>
  <c r="F69"/>
  <c r="D69" s="1"/>
  <c r="E69"/>
  <c r="F68"/>
  <c r="E68"/>
  <c r="D68" s="1"/>
  <c r="F67"/>
  <c r="E67"/>
  <c r="D67" s="1"/>
  <c r="F66"/>
  <c r="E66"/>
  <c r="D66" s="1"/>
  <c r="F65"/>
  <c r="D65" s="1"/>
  <c r="E65"/>
  <c r="F64"/>
  <c r="E64"/>
  <c r="D64" s="1"/>
  <c r="F63"/>
  <c r="E63"/>
  <c r="D63" s="1"/>
  <c r="F62"/>
  <c r="E62"/>
  <c r="D62" s="1"/>
  <c r="F61"/>
  <c r="D61" s="1"/>
  <c r="E61"/>
  <c r="F60"/>
  <c r="E60"/>
  <c r="D60" s="1"/>
  <c r="F59"/>
  <c r="E59"/>
  <c r="D59" s="1"/>
  <c r="F58"/>
  <c r="E58"/>
  <c r="D58" s="1"/>
  <c r="F57"/>
  <c r="D57" s="1"/>
  <c r="E57"/>
  <c r="F56"/>
  <c r="E56"/>
  <c r="D56" s="1"/>
  <c r="F55"/>
  <c r="E55"/>
  <c r="D55" s="1"/>
  <c r="F54"/>
  <c r="E54"/>
  <c r="D54" s="1"/>
  <c r="F53"/>
  <c r="D53" s="1"/>
  <c r="E53"/>
  <c r="F52"/>
  <c r="E52"/>
  <c r="D52" s="1"/>
  <c r="F51"/>
  <c r="E51"/>
  <c r="D51" s="1"/>
  <c r="F50"/>
  <c r="E50"/>
  <c r="D50" s="1"/>
  <c r="F49"/>
  <c r="D49" s="1"/>
  <c r="E49"/>
  <c r="F48"/>
  <c r="E48"/>
  <c r="D48" s="1"/>
  <c r="F47"/>
  <c r="E47"/>
  <c r="D47" s="1"/>
  <c r="F46"/>
  <c r="E46"/>
  <c r="D46" s="1"/>
  <c r="F45"/>
  <c r="D45" s="1"/>
  <c r="E45"/>
  <c r="F44"/>
  <c r="E44"/>
  <c r="D44" s="1"/>
  <c r="F43"/>
  <c r="E43"/>
  <c r="D43" s="1"/>
  <c r="F42"/>
  <c r="E42"/>
  <c r="D42" s="1"/>
  <c r="F41"/>
  <c r="D41" s="1"/>
  <c r="E41"/>
  <c r="F40"/>
  <c r="E40"/>
  <c r="D40" s="1"/>
  <c r="F39"/>
  <c r="E39"/>
  <c r="D39" s="1"/>
  <c r="F38"/>
  <c r="E38"/>
  <c r="D38" s="1"/>
  <c r="F37"/>
  <c r="D37" s="1"/>
  <c r="E37"/>
  <c r="F36"/>
  <c r="E36"/>
  <c r="D36" s="1"/>
  <c r="F35"/>
  <c r="E35"/>
  <c r="D35" s="1"/>
  <c r="F34"/>
  <c r="E34"/>
  <c r="D34" s="1"/>
  <c r="F33"/>
  <c r="D33" s="1"/>
  <c r="E33"/>
  <c r="F32"/>
  <c r="E32"/>
  <c r="D32" s="1"/>
  <c r="F31"/>
  <c r="E31"/>
  <c r="D31" s="1"/>
  <c r="F30"/>
  <c r="E30"/>
  <c r="D30" s="1"/>
  <c r="F29"/>
  <c r="D29" s="1"/>
  <c r="E29"/>
  <c r="F28"/>
  <c r="E28"/>
  <c r="D28" s="1"/>
  <c r="F27"/>
  <c r="E27"/>
  <c r="D27" s="1"/>
  <c r="F26"/>
  <c r="E26"/>
  <c r="D26" s="1"/>
  <c r="F25"/>
  <c r="D25" s="1"/>
  <c r="E25"/>
  <c r="F24"/>
  <c r="E24"/>
  <c r="D24" s="1"/>
  <c r="F23"/>
  <c r="E23"/>
  <c r="D23" s="1"/>
  <c r="F22"/>
  <c r="E22"/>
  <c r="D22" s="1"/>
  <c r="F21"/>
  <c r="D21" s="1"/>
  <c r="E21"/>
  <c r="F20"/>
  <c r="E20"/>
  <c r="D20" s="1"/>
  <c r="F19"/>
  <c r="E19"/>
  <c r="D19" s="1"/>
  <c r="F18"/>
  <c r="E18"/>
  <c r="D18" s="1"/>
  <c r="F17"/>
  <c r="D17" s="1"/>
  <c r="E17"/>
  <c r="F16"/>
  <c r="E16"/>
  <c r="D16" s="1"/>
  <c r="F15"/>
  <c r="E15"/>
  <c r="D15" s="1"/>
  <c r="F14"/>
  <c r="E14"/>
  <c r="D14" s="1"/>
  <c r="F13"/>
  <c r="D13" s="1"/>
  <c r="E13"/>
  <c r="F12"/>
  <c r="E12"/>
  <c r="D12" s="1"/>
  <c r="F11"/>
  <c r="E11"/>
  <c r="D11" s="1"/>
  <c r="F10"/>
  <c r="E10"/>
  <c r="D10" s="1"/>
  <c r="F9"/>
  <c r="D9" s="1"/>
  <c r="E9"/>
  <c r="F8"/>
  <c r="E8"/>
  <c r="D8" s="1"/>
  <c r="F7"/>
  <c r="E7"/>
  <c r="D7" s="1"/>
  <c r="F6"/>
  <c r="E6"/>
  <c r="D6" s="1"/>
  <c r="F5"/>
  <c r="E5"/>
  <c r="D5" s="1"/>
  <c r="D78"/>
  <c r="D80"/>
  <c r="D82"/>
  <c r="D84"/>
  <c r="D86"/>
  <c r="D88"/>
  <c r="D90"/>
  <c r="D92"/>
  <c r="D94"/>
  <c r="D96"/>
  <c r="D98"/>
  <c r="D100"/>
  <c r="D102"/>
  <c r="D104"/>
  <c r="D106"/>
  <c r="D108"/>
  <c r="D110"/>
  <c r="D112"/>
  <c r="D114"/>
  <c r="D116"/>
  <c r="D118"/>
  <c r="D120"/>
  <c r="D122"/>
  <c r="D124"/>
  <c r="D121"/>
  <c r="D123"/>
  <c r="D2" i="4"/>
  <c r="E2" s="1"/>
  <c r="J100" i="6"/>
  <c r="I100"/>
  <c r="J99"/>
  <c r="I99"/>
  <c r="J98"/>
  <c r="I98"/>
  <c r="J125"/>
  <c r="I125"/>
  <c r="J124"/>
  <c r="I124"/>
  <c r="J97"/>
  <c r="I97"/>
  <c r="J96"/>
  <c r="I96"/>
  <c r="J95"/>
  <c r="I95"/>
  <c r="J123"/>
  <c r="I123"/>
  <c r="J94"/>
  <c r="I94"/>
  <c r="J93"/>
  <c r="I93"/>
  <c r="J122"/>
  <c r="I122"/>
  <c r="J91"/>
  <c r="I91"/>
  <c r="J90"/>
  <c r="I90"/>
  <c r="J89"/>
  <c r="I89"/>
  <c r="J88"/>
  <c r="I88"/>
  <c r="J87"/>
  <c r="I87"/>
  <c r="J86"/>
  <c r="I86"/>
  <c r="J85"/>
  <c r="I85"/>
  <c r="J84"/>
  <c r="I84"/>
  <c r="J83"/>
  <c r="I83"/>
  <c r="J82"/>
  <c r="I82"/>
  <c r="J121"/>
  <c r="I121"/>
  <c r="J81"/>
  <c r="I81"/>
  <c r="J120"/>
  <c r="I120"/>
  <c r="J80"/>
  <c r="I80"/>
  <c r="J119"/>
  <c r="I119"/>
  <c r="J79"/>
  <c r="I79"/>
  <c r="J78"/>
  <c r="I78"/>
  <c r="J77"/>
  <c r="I77"/>
  <c r="J76"/>
  <c r="I76"/>
  <c r="J75"/>
  <c r="I75"/>
  <c r="J118"/>
  <c r="I118"/>
  <c r="J74"/>
  <c r="I74"/>
  <c r="J117"/>
  <c r="I117"/>
  <c r="J73"/>
  <c r="I73"/>
  <c r="J72"/>
  <c r="I72"/>
  <c r="J71"/>
  <c r="I71"/>
  <c r="J70"/>
  <c r="I70"/>
  <c r="J116"/>
  <c r="I116"/>
  <c r="J69"/>
  <c r="I69"/>
  <c r="J68"/>
  <c r="I68"/>
  <c r="J115"/>
  <c r="I115"/>
  <c r="J114"/>
  <c r="I114"/>
  <c r="J67"/>
  <c r="I67"/>
  <c r="J66"/>
  <c r="I66"/>
  <c r="J65"/>
  <c r="I65"/>
  <c r="J64"/>
  <c r="I64"/>
  <c r="J63"/>
  <c r="I63"/>
  <c r="J62"/>
  <c r="I62"/>
  <c r="J113"/>
  <c r="I113"/>
  <c r="J112"/>
  <c r="I112"/>
  <c r="J61"/>
  <c r="I61"/>
  <c r="J111"/>
  <c r="I111"/>
  <c r="J60"/>
  <c r="I60"/>
  <c r="J59"/>
  <c r="I59"/>
  <c r="J58"/>
  <c r="I58"/>
  <c r="J57"/>
  <c r="I57"/>
  <c r="J56"/>
  <c r="I56"/>
  <c r="J55"/>
  <c r="I55"/>
  <c r="J54"/>
  <c r="I54"/>
  <c r="J53"/>
  <c r="I53"/>
  <c r="J52"/>
  <c r="I52"/>
  <c r="J51"/>
  <c r="I51"/>
  <c r="J110"/>
  <c r="I110"/>
  <c r="J50"/>
  <c r="I50"/>
  <c r="J49"/>
  <c r="I49"/>
  <c r="J48"/>
  <c r="I48"/>
  <c r="J47"/>
  <c r="I47"/>
  <c r="J109"/>
  <c r="I109"/>
  <c r="J46"/>
  <c r="I46"/>
  <c r="J45"/>
  <c r="I45"/>
  <c r="J44"/>
  <c r="I44"/>
  <c r="J43"/>
  <c r="I43"/>
  <c r="J42"/>
  <c r="I42"/>
  <c r="J41"/>
  <c r="I41"/>
  <c r="J40"/>
  <c r="I40"/>
  <c r="J108"/>
  <c r="I108"/>
  <c r="J107"/>
  <c r="I107"/>
  <c r="J39"/>
  <c r="I39"/>
  <c r="J38"/>
  <c r="I38"/>
  <c r="J106"/>
  <c r="I106"/>
  <c r="J37"/>
  <c r="I37"/>
  <c r="J36"/>
  <c r="I36"/>
  <c r="J35"/>
  <c r="I35"/>
  <c r="J34"/>
  <c r="I34"/>
  <c r="J33"/>
  <c r="I33"/>
  <c r="J32"/>
  <c r="I32"/>
  <c r="J31"/>
  <c r="I31"/>
  <c r="J105"/>
  <c r="I105"/>
  <c r="J30"/>
  <c r="I30"/>
  <c r="J29"/>
  <c r="I29"/>
  <c r="J28"/>
  <c r="I28"/>
  <c r="J27"/>
  <c r="I27"/>
  <c r="J26"/>
  <c r="I26"/>
  <c r="J104"/>
  <c r="I104"/>
  <c r="J103"/>
  <c r="I103"/>
  <c r="J25"/>
  <c r="I25"/>
  <c r="J23"/>
  <c r="I23"/>
  <c r="J22"/>
  <c r="I22"/>
  <c r="J21"/>
  <c r="I21"/>
  <c r="J20"/>
  <c r="I20"/>
  <c r="J19"/>
  <c r="I19"/>
  <c r="J18"/>
  <c r="I18"/>
  <c r="J102"/>
  <c r="I102"/>
  <c r="J17"/>
  <c r="I17"/>
  <c r="J16"/>
  <c r="I16"/>
  <c r="J15"/>
  <c r="I15"/>
  <c r="J14"/>
  <c r="I14"/>
  <c r="J13"/>
  <c r="I13"/>
  <c r="J12"/>
  <c r="I12"/>
  <c r="J11"/>
  <c r="I11"/>
  <c r="J10"/>
  <c r="I10"/>
  <c r="J9"/>
  <c r="I9"/>
  <c r="J8"/>
  <c r="I8"/>
  <c r="J101"/>
  <c r="I101"/>
  <c r="J7"/>
  <c r="I7"/>
  <c r="J6"/>
  <c r="I6"/>
  <c r="J5"/>
  <c r="I5"/>
  <c r="N133" i="75"/>
  <c r="Q133" s="1"/>
  <c r="M133"/>
  <c r="P133" s="1"/>
  <c r="L133"/>
  <c r="I133"/>
  <c r="G133"/>
  <c r="J133" s="1"/>
  <c r="F133"/>
  <c r="E133"/>
  <c r="N132"/>
  <c r="M132"/>
  <c r="L132"/>
  <c r="P132" s="1"/>
  <c r="G132"/>
  <c r="J132" s="1"/>
  <c r="F132"/>
  <c r="I132" s="1"/>
  <c r="E132"/>
  <c r="N131"/>
  <c r="Q131" s="1"/>
  <c r="M131"/>
  <c r="P131" s="1"/>
  <c r="L131"/>
  <c r="I131"/>
  <c r="G131"/>
  <c r="J131" s="1"/>
  <c r="F131"/>
  <c r="E131"/>
  <c r="N130"/>
  <c r="Q130" s="1"/>
  <c r="M130"/>
  <c r="L130"/>
  <c r="P130" s="1"/>
  <c r="G130"/>
  <c r="J130" s="1"/>
  <c r="F130"/>
  <c r="I130" s="1"/>
  <c r="E130"/>
  <c r="N129"/>
  <c r="Q129" s="1"/>
  <c r="M129"/>
  <c r="P129" s="1"/>
  <c r="L129"/>
  <c r="I129"/>
  <c r="G129"/>
  <c r="J129" s="1"/>
  <c r="F129"/>
  <c r="E129"/>
  <c r="Q126"/>
  <c r="P126"/>
  <c r="J126"/>
  <c r="I126"/>
  <c r="Q125"/>
  <c r="P125"/>
  <c r="J125"/>
  <c r="I125"/>
  <c r="Q124"/>
  <c r="P124"/>
  <c r="J124"/>
  <c r="I124"/>
  <c r="Q123"/>
  <c r="P123"/>
  <c r="J123"/>
  <c r="I123"/>
  <c r="Q122"/>
  <c r="P122"/>
  <c r="J122"/>
  <c r="I122"/>
  <c r="Q121"/>
  <c r="P121"/>
  <c r="J121"/>
  <c r="I121"/>
  <c r="Q120"/>
  <c r="P120"/>
  <c r="J120"/>
  <c r="I120"/>
  <c r="Q119"/>
  <c r="P119"/>
  <c r="J119"/>
  <c r="I119"/>
  <c r="Q118"/>
  <c r="P118"/>
  <c r="J118"/>
  <c r="I118"/>
  <c r="Q117"/>
  <c r="P117"/>
  <c r="J117"/>
  <c r="I117"/>
  <c r="Q116"/>
  <c r="P116"/>
  <c r="J116"/>
  <c r="I116"/>
  <c r="Q115"/>
  <c r="P115"/>
  <c r="J115"/>
  <c r="I115"/>
  <c r="Q114"/>
  <c r="P114"/>
  <c r="J114"/>
  <c r="I114"/>
  <c r="Q113"/>
  <c r="P113"/>
  <c r="J113"/>
  <c r="I113"/>
  <c r="Q112"/>
  <c r="P112"/>
  <c r="J112"/>
  <c r="I112"/>
  <c r="Q111"/>
  <c r="P111"/>
  <c r="J111"/>
  <c r="I111"/>
  <c r="Q110"/>
  <c r="P110"/>
  <c r="J110"/>
  <c r="I110"/>
  <c r="Q109"/>
  <c r="P109"/>
  <c r="J109"/>
  <c r="I109"/>
  <c r="Q108"/>
  <c r="P108"/>
  <c r="J108"/>
  <c r="I108"/>
  <c r="Q107"/>
  <c r="P107"/>
  <c r="J107"/>
  <c r="I107"/>
  <c r="Q106"/>
  <c r="P106"/>
  <c r="J106"/>
  <c r="I106"/>
  <c r="Q105"/>
  <c r="P105"/>
  <c r="J105"/>
  <c r="I105"/>
  <c r="Q104"/>
  <c r="P104"/>
  <c r="J104"/>
  <c r="I104"/>
  <c r="Q103"/>
  <c r="P103"/>
  <c r="J103"/>
  <c r="I103"/>
  <c r="Q102"/>
  <c r="P102"/>
  <c r="J102"/>
  <c r="I102"/>
  <c r="Q101"/>
  <c r="P101"/>
  <c r="J101"/>
  <c r="I101"/>
  <c r="Q100"/>
  <c r="P100"/>
  <c r="J100"/>
  <c r="I100"/>
  <c r="Q99"/>
  <c r="P99"/>
  <c r="J99"/>
  <c r="I99"/>
  <c r="Q98"/>
  <c r="P98"/>
  <c r="J98"/>
  <c r="I98"/>
  <c r="Q97"/>
  <c r="P97"/>
  <c r="J97"/>
  <c r="I97"/>
  <c r="Q96"/>
  <c r="P96"/>
  <c r="J96"/>
  <c r="I96"/>
  <c r="Q95"/>
  <c r="P95"/>
  <c r="J95"/>
  <c r="I95"/>
  <c r="Q94"/>
  <c r="P94"/>
  <c r="J94"/>
  <c r="I94"/>
  <c r="Q93"/>
  <c r="P93"/>
  <c r="J93"/>
  <c r="I93"/>
  <c r="Q92"/>
  <c r="P92"/>
  <c r="J92"/>
  <c r="I92"/>
  <c r="Q91"/>
  <c r="P91"/>
  <c r="J91"/>
  <c r="I91"/>
  <c r="Q90"/>
  <c r="P90"/>
  <c r="J90"/>
  <c r="I90"/>
  <c r="Q89"/>
  <c r="P89"/>
  <c r="J89"/>
  <c r="I89"/>
  <c r="Q88"/>
  <c r="P88"/>
  <c r="J88"/>
  <c r="I88"/>
  <c r="Q87"/>
  <c r="P87"/>
  <c r="J87"/>
  <c r="I87"/>
  <c r="Q86"/>
  <c r="P86"/>
  <c r="J86"/>
  <c r="I86"/>
  <c r="Q85"/>
  <c r="P85"/>
  <c r="J85"/>
  <c r="I85"/>
  <c r="Q84"/>
  <c r="P84"/>
  <c r="J84"/>
  <c r="I84"/>
  <c r="Q83"/>
  <c r="P83"/>
  <c r="J83"/>
  <c r="I83"/>
  <c r="Q82"/>
  <c r="P82"/>
  <c r="J82"/>
  <c r="I82"/>
  <c r="Q81"/>
  <c r="P81"/>
  <c r="J81"/>
  <c r="I81"/>
  <c r="Q80"/>
  <c r="P80"/>
  <c r="J80"/>
  <c r="I80"/>
  <c r="Q79"/>
  <c r="P79"/>
  <c r="J79"/>
  <c r="I79"/>
  <c r="Q78"/>
  <c r="P78"/>
  <c r="J78"/>
  <c r="I78"/>
  <c r="Q77"/>
  <c r="P77"/>
  <c r="J77"/>
  <c r="I77"/>
  <c r="Q76"/>
  <c r="P76"/>
  <c r="J76"/>
  <c r="I76"/>
  <c r="Q75"/>
  <c r="P75"/>
  <c r="J75"/>
  <c r="I75"/>
  <c r="Q74"/>
  <c r="P74"/>
  <c r="J74"/>
  <c r="I74"/>
  <c r="Q73"/>
  <c r="P73"/>
  <c r="J73"/>
  <c r="I73"/>
  <c r="Q72"/>
  <c r="P72"/>
  <c r="J72"/>
  <c r="I72"/>
  <c r="Q71"/>
  <c r="P71"/>
  <c r="J71"/>
  <c r="I71"/>
  <c r="Q70"/>
  <c r="P70"/>
  <c r="J70"/>
  <c r="I70"/>
  <c r="Q69"/>
  <c r="P69"/>
  <c r="J69"/>
  <c r="I69"/>
  <c r="Q68"/>
  <c r="P68"/>
  <c r="J68"/>
  <c r="I68"/>
  <c r="Q67"/>
  <c r="P67"/>
  <c r="J67"/>
  <c r="I67"/>
  <c r="Q66"/>
  <c r="P66"/>
  <c r="J66"/>
  <c r="I66"/>
  <c r="Q65"/>
  <c r="P65"/>
  <c r="J65"/>
  <c r="I65"/>
  <c r="Q64"/>
  <c r="P64"/>
  <c r="J64"/>
  <c r="I64"/>
  <c r="Q63"/>
  <c r="P63"/>
  <c r="J63"/>
  <c r="I63"/>
  <c r="Q62"/>
  <c r="P62"/>
  <c r="J62"/>
  <c r="I62"/>
  <c r="Q61"/>
  <c r="P61"/>
  <c r="J61"/>
  <c r="I61"/>
  <c r="Q60"/>
  <c r="P60"/>
  <c r="J60"/>
  <c r="I60"/>
  <c r="Q59"/>
  <c r="P59"/>
  <c r="J59"/>
  <c r="I59"/>
  <c r="Q58"/>
  <c r="P58"/>
  <c r="J58"/>
  <c r="I58"/>
  <c r="Q57"/>
  <c r="P57"/>
  <c r="J57"/>
  <c r="I57"/>
  <c r="Q56"/>
  <c r="P56"/>
  <c r="J56"/>
  <c r="I56"/>
  <c r="Q55"/>
  <c r="P55"/>
  <c r="J55"/>
  <c r="I55"/>
  <c r="Q54"/>
  <c r="P54"/>
  <c r="J54"/>
  <c r="I54"/>
  <c r="Q53"/>
  <c r="P53"/>
  <c r="J53"/>
  <c r="I53"/>
  <c r="Q52"/>
  <c r="P52"/>
  <c r="J52"/>
  <c r="I52"/>
  <c r="Q51"/>
  <c r="P51"/>
  <c r="J51"/>
  <c r="I51"/>
  <c r="Q50"/>
  <c r="P50"/>
  <c r="J50"/>
  <c r="I50"/>
  <c r="Q49"/>
  <c r="P49"/>
  <c r="J49"/>
  <c r="I49"/>
  <c r="Q48"/>
  <c r="P48"/>
  <c r="J48"/>
  <c r="I48"/>
  <c r="Q47"/>
  <c r="P47"/>
  <c r="J47"/>
  <c r="I47"/>
  <c r="Q46"/>
  <c r="P46"/>
  <c r="J46"/>
  <c r="I46"/>
  <c r="Q45"/>
  <c r="P45"/>
  <c r="J45"/>
  <c r="I45"/>
  <c r="Q44"/>
  <c r="P44"/>
  <c r="J44"/>
  <c r="I44"/>
  <c r="Q43"/>
  <c r="P43"/>
  <c r="J43"/>
  <c r="I43"/>
  <c r="Q42"/>
  <c r="P42"/>
  <c r="J42"/>
  <c r="I42"/>
  <c r="Q41"/>
  <c r="P41"/>
  <c r="J41"/>
  <c r="I41"/>
  <c r="Q40"/>
  <c r="P40"/>
  <c r="J40"/>
  <c r="I40"/>
  <c r="Q39"/>
  <c r="P39"/>
  <c r="J39"/>
  <c r="I39"/>
  <c r="Q38"/>
  <c r="P38"/>
  <c r="J38"/>
  <c r="I38"/>
  <c r="Q37"/>
  <c r="P37"/>
  <c r="J37"/>
  <c r="I37"/>
  <c r="Q36"/>
  <c r="P36"/>
  <c r="J36"/>
  <c r="I36"/>
  <c r="Q35"/>
  <c r="P35"/>
  <c r="J35"/>
  <c r="I35"/>
  <c r="Q34"/>
  <c r="P34"/>
  <c r="J34"/>
  <c r="I34"/>
  <c r="Q33"/>
  <c r="P33"/>
  <c r="J33"/>
  <c r="I33"/>
  <c r="Q32"/>
  <c r="P32"/>
  <c r="J32"/>
  <c r="I32"/>
  <c r="Q31"/>
  <c r="P31"/>
  <c r="J31"/>
  <c r="I31"/>
  <c r="Q30"/>
  <c r="P30"/>
  <c r="J30"/>
  <c r="I30"/>
  <c r="Q29"/>
  <c r="P29"/>
  <c r="J29"/>
  <c r="I29"/>
  <c r="Q28"/>
  <c r="P28"/>
  <c r="J28"/>
  <c r="I28"/>
  <c r="Q27"/>
  <c r="P27"/>
  <c r="J27"/>
  <c r="I27"/>
  <c r="Q26"/>
  <c r="P26"/>
  <c r="J26"/>
  <c r="I26"/>
  <c r="Q25"/>
  <c r="P25"/>
  <c r="J25"/>
  <c r="I25"/>
  <c r="Q24"/>
  <c r="P24"/>
  <c r="J24"/>
  <c r="I24"/>
  <c r="Q23"/>
  <c r="P23"/>
  <c r="J23"/>
  <c r="I23"/>
  <c r="Q22"/>
  <c r="P22"/>
  <c r="J22"/>
  <c r="I22"/>
  <c r="Q21"/>
  <c r="P21"/>
  <c r="J21"/>
  <c r="I21"/>
  <c r="Q20"/>
  <c r="P20"/>
  <c r="J20"/>
  <c r="I20"/>
  <c r="Q19"/>
  <c r="P19"/>
  <c r="J19"/>
  <c r="I19"/>
  <c r="Q18"/>
  <c r="P18"/>
  <c r="J18"/>
  <c r="I18"/>
  <c r="Q17"/>
  <c r="P17"/>
  <c r="J17"/>
  <c r="I17"/>
  <c r="Q16"/>
  <c r="P16"/>
  <c r="J16"/>
  <c r="I16"/>
  <c r="Q15"/>
  <c r="P15"/>
  <c r="J15"/>
  <c r="I15"/>
  <c r="Q14"/>
  <c r="P14"/>
  <c r="J14"/>
  <c r="I14"/>
  <c r="Q13"/>
  <c r="P13"/>
  <c r="J13"/>
  <c r="I13"/>
  <c r="Q12"/>
  <c r="P12"/>
  <c r="J12"/>
  <c r="I12"/>
  <c r="Q11"/>
  <c r="P11"/>
  <c r="J11"/>
  <c r="I11"/>
  <c r="Q10"/>
  <c r="P10"/>
  <c r="J10"/>
  <c r="I10"/>
  <c r="Q9"/>
  <c r="P9"/>
  <c r="J9"/>
  <c r="I9"/>
  <c r="Q8"/>
  <c r="P8"/>
  <c r="J8"/>
  <c r="I8"/>
  <c r="Q7"/>
  <c r="P7"/>
  <c r="J7"/>
  <c r="I7"/>
  <c r="Q6"/>
  <c r="P6"/>
  <c r="J6"/>
  <c r="I6"/>
  <c r="K133" i="73"/>
  <c r="O133" s="1"/>
  <c r="J133"/>
  <c r="N133" s="1"/>
  <c r="I133"/>
  <c r="H133"/>
  <c r="G133"/>
  <c r="F133"/>
  <c r="E133"/>
  <c r="M133" s="1"/>
  <c r="D133"/>
  <c r="L133" s="1"/>
  <c r="K132"/>
  <c r="O132" s="1"/>
  <c r="J132"/>
  <c r="N132" s="1"/>
  <c r="I132"/>
  <c r="M132" s="1"/>
  <c r="H132"/>
  <c r="G132"/>
  <c r="F132"/>
  <c r="E132"/>
  <c r="D132"/>
  <c r="L132" s="1"/>
  <c r="K131"/>
  <c r="O131" s="1"/>
  <c r="J131"/>
  <c r="N131" s="1"/>
  <c r="I131"/>
  <c r="M131" s="1"/>
  <c r="H131"/>
  <c r="G131"/>
  <c r="F131"/>
  <c r="E131"/>
  <c r="D131"/>
  <c r="L131" s="1"/>
  <c r="K130"/>
  <c r="O130" s="1"/>
  <c r="J130"/>
  <c r="N130" s="1"/>
  <c r="I130"/>
  <c r="M130" s="1"/>
  <c r="H130"/>
  <c r="G130"/>
  <c r="F130"/>
  <c r="E130"/>
  <c r="D130"/>
  <c r="L130" s="1"/>
  <c r="K129"/>
  <c r="O129" s="1"/>
  <c r="J129"/>
  <c r="N129" s="1"/>
  <c r="I129"/>
  <c r="M129" s="1"/>
  <c r="H129"/>
  <c r="G129"/>
  <c r="F129"/>
  <c r="E129"/>
  <c r="D129"/>
  <c r="L129" s="1"/>
  <c r="O126"/>
  <c r="N126"/>
  <c r="M126"/>
  <c r="L126"/>
  <c r="O125"/>
  <c r="N125"/>
  <c r="M125"/>
  <c r="L125"/>
  <c r="O124"/>
  <c r="N124"/>
  <c r="M124"/>
  <c r="L124"/>
  <c r="O123"/>
  <c r="N123"/>
  <c r="M123"/>
  <c r="L123"/>
  <c r="O122"/>
  <c r="N122"/>
  <c r="M122"/>
  <c r="L122"/>
  <c r="O121"/>
  <c r="N121"/>
  <c r="M121"/>
  <c r="L121"/>
  <c r="O120"/>
  <c r="N120"/>
  <c r="M120"/>
  <c r="L120"/>
  <c r="O119"/>
  <c r="N119"/>
  <c r="M119"/>
  <c r="L119"/>
  <c r="O118"/>
  <c r="N118"/>
  <c r="M118"/>
  <c r="L118"/>
  <c r="O117"/>
  <c r="N117"/>
  <c r="M117"/>
  <c r="L117"/>
  <c r="O116"/>
  <c r="N116"/>
  <c r="M116"/>
  <c r="L116"/>
  <c r="O115"/>
  <c r="N115"/>
  <c r="M115"/>
  <c r="L115"/>
  <c r="O114"/>
  <c r="N114"/>
  <c r="M114"/>
  <c r="L114"/>
  <c r="O113"/>
  <c r="N113"/>
  <c r="M113"/>
  <c r="L113"/>
  <c r="O112"/>
  <c r="N112"/>
  <c r="M112"/>
  <c r="L112"/>
  <c r="O111"/>
  <c r="N111"/>
  <c r="M111"/>
  <c r="L111"/>
  <c r="O110"/>
  <c r="N110"/>
  <c r="M110"/>
  <c r="L110"/>
  <c r="O109"/>
  <c r="N109"/>
  <c r="M109"/>
  <c r="L109"/>
  <c r="O108"/>
  <c r="N108"/>
  <c r="M108"/>
  <c r="L108"/>
  <c r="O107"/>
  <c r="N107"/>
  <c r="M107"/>
  <c r="L107"/>
  <c r="O106"/>
  <c r="N106"/>
  <c r="M106"/>
  <c r="L106"/>
  <c r="O105"/>
  <c r="N105"/>
  <c r="M105"/>
  <c r="L105"/>
  <c r="O104"/>
  <c r="N104"/>
  <c r="M104"/>
  <c r="L104"/>
  <c r="O103"/>
  <c r="N103"/>
  <c r="M103"/>
  <c r="L103"/>
  <c r="O102"/>
  <c r="N102"/>
  <c r="M102"/>
  <c r="L102"/>
  <c r="O101"/>
  <c r="N101"/>
  <c r="M101"/>
  <c r="L101"/>
  <c r="O100"/>
  <c r="N100"/>
  <c r="M100"/>
  <c r="L100"/>
  <c r="O99"/>
  <c r="N99"/>
  <c r="M99"/>
  <c r="L99"/>
  <c r="O98"/>
  <c r="N98"/>
  <c r="M98"/>
  <c r="L98"/>
  <c r="O97"/>
  <c r="N97"/>
  <c r="M97"/>
  <c r="L97"/>
  <c r="O96"/>
  <c r="N96"/>
  <c r="M96"/>
  <c r="L96"/>
  <c r="O95"/>
  <c r="N95"/>
  <c r="M95"/>
  <c r="L95"/>
  <c r="O94"/>
  <c r="N94"/>
  <c r="M94"/>
  <c r="L94"/>
  <c r="O93"/>
  <c r="N93"/>
  <c r="M93"/>
  <c r="L93"/>
  <c r="O92"/>
  <c r="N92"/>
  <c r="M92"/>
  <c r="L92"/>
  <c r="O91"/>
  <c r="N91"/>
  <c r="M91"/>
  <c r="L91"/>
  <c r="O90"/>
  <c r="N90"/>
  <c r="M90"/>
  <c r="L90"/>
  <c r="O89"/>
  <c r="N89"/>
  <c r="M89"/>
  <c r="L89"/>
  <c r="O88"/>
  <c r="N88"/>
  <c r="M88"/>
  <c r="L88"/>
  <c r="O87"/>
  <c r="N87"/>
  <c r="M87"/>
  <c r="L87"/>
  <c r="O86"/>
  <c r="N86"/>
  <c r="M86"/>
  <c r="L86"/>
  <c r="O85"/>
  <c r="N85"/>
  <c r="M85"/>
  <c r="L85"/>
  <c r="O84"/>
  <c r="N84"/>
  <c r="M84"/>
  <c r="L84"/>
  <c r="O83"/>
  <c r="N83"/>
  <c r="M83"/>
  <c r="L83"/>
  <c r="O82"/>
  <c r="N82"/>
  <c r="M82"/>
  <c r="L82"/>
  <c r="O81"/>
  <c r="N81"/>
  <c r="M81"/>
  <c r="L81"/>
  <c r="O80"/>
  <c r="N80"/>
  <c r="M80"/>
  <c r="L80"/>
  <c r="O79"/>
  <c r="N79"/>
  <c r="M79"/>
  <c r="L79"/>
  <c r="O78"/>
  <c r="N78"/>
  <c r="M78"/>
  <c r="L78"/>
  <c r="O77"/>
  <c r="N77"/>
  <c r="M77"/>
  <c r="L77"/>
  <c r="O76"/>
  <c r="N76"/>
  <c r="M76"/>
  <c r="L76"/>
  <c r="O75"/>
  <c r="N75"/>
  <c r="M75"/>
  <c r="L75"/>
  <c r="O74"/>
  <c r="N74"/>
  <c r="M74"/>
  <c r="L74"/>
  <c r="O73"/>
  <c r="N73"/>
  <c r="M73"/>
  <c r="L73"/>
  <c r="O72"/>
  <c r="N72"/>
  <c r="M72"/>
  <c r="L72"/>
  <c r="O71"/>
  <c r="N71"/>
  <c r="M71"/>
  <c r="L71"/>
  <c r="O70"/>
  <c r="N70"/>
  <c r="M70"/>
  <c r="L70"/>
  <c r="O69"/>
  <c r="N69"/>
  <c r="M69"/>
  <c r="L69"/>
  <c r="O68"/>
  <c r="N68"/>
  <c r="M68"/>
  <c r="L68"/>
  <c r="O67"/>
  <c r="N67"/>
  <c r="M67"/>
  <c r="L67"/>
  <c r="O66"/>
  <c r="N66"/>
  <c r="M66"/>
  <c r="L66"/>
  <c r="O65"/>
  <c r="N65"/>
  <c r="M65"/>
  <c r="L65"/>
  <c r="O64"/>
  <c r="N64"/>
  <c r="M64"/>
  <c r="L64"/>
  <c r="O63"/>
  <c r="N63"/>
  <c r="M63"/>
  <c r="L63"/>
  <c r="O62"/>
  <c r="N62"/>
  <c r="M62"/>
  <c r="L62"/>
  <c r="O61"/>
  <c r="N61"/>
  <c r="M61"/>
  <c r="L61"/>
  <c r="O60"/>
  <c r="N60"/>
  <c r="M60"/>
  <c r="L60"/>
  <c r="O59"/>
  <c r="N59"/>
  <c r="M59"/>
  <c r="L59"/>
  <c r="O58"/>
  <c r="N58"/>
  <c r="M58"/>
  <c r="L58"/>
  <c r="O57"/>
  <c r="N57"/>
  <c r="M57"/>
  <c r="L57"/>
  <c r="O56"/>
  <c r="N56"/>
  <c r="M56"/>
  <c r="L56"/>
  <c r="O55"/>
  <c r="N55"/>
  <c r="M55"/>
  <c r="L55"/>
  <c r="O54"/>
  <c r="N54"/>
  <c r="M54"/>
  <c r="L54"/>
  <c r="O53"/>
  <c r="N53"/>
  <c r="M53"/>
  <c r="L53"/>
  <c r="O52"/>
  <c r="N52"/>
  <c r="M52"/>
  <c r="L52"/>
  <c r="O51"/>
  <c r="N51"/>
  <c r="M51"/>
  <c r="L51"/>
  <c r="O50"/>
  <c r="N50"/>
  <c r="M50"/>
  <c r="L50"/>
  <c r="O49"/>
  <c r="N49"/>
  <c r="M49"/>
  <c r="L49"/>
  <c r="O48"/>
  <c r="N48"/>
  <c r="M48"/>
  <c r="L48"/>
  <c r="O47"/>
  <c r="N47"/>
  <c r="M47"/>
  <c r="L47"/>
  <c r="O46"/>
  <c r="N46"/>
  <c r="M46"/>
  <c r="L46"/>
  <c r="O45"/>
  <c r="N45"/>
  <c r="M45"/>
  <c r="L45"/>
  <c r="O44"/>
  <c r="N44"/>
  <c r="M44"/>
  <c r="L44"/>
  <c r="O43"/>
  <c r="N43"/>
  <c r="M43"/>
  <c r="L43"/>
  <c r="O42"/>
  <c r="N42"/>
  <c r="M42"/>
  <c r="L42"/>
  <c r="O41"/>
  <c r="N41"/>
  <c r="M41"/>
  <c r="L41"/>
  <c r="O40"/>
  <c r="N40"/>
  <c r="M40"/>
  <c r="L40"/>
  <c r="O39"/>
  <c r="N39"/>
  <c r="M39"/>
  <c r="L39"/>
  <c r="O38"/>
  <c r="N38"/>
  <c r="M38"/>
  <c r="L38"/>
  <c r="O37"/>
  <c r="N37"/>
  <c r="M37"/>
  <c r="L37"/>
  <c r="O36"/>
  <c r="N36"/>
  <c r="M36"/>
  <c r="L36"/>
  <c r="O35"/>
  <c r="N35"/>
  <c r="M35"/>
  <c r="L35"/>
  <c r="O34"/>
  <c r="N34"/>
  <c r="M34"/>
  <c r="L34"/>
  <c r="O33"/>
  <c r="N33"/>
  <c r="M33"/>
  <c r="L33"/>
  <c r="O32"/>
  <c r="N32"/>
  <c r="M32"/>
  <c r="L32"/>
  <c r="O31"/>
  <c r="N31"/>
  <c r="M31"/>
  <c r="L31"/>
  <c r="O30"/>
  <c r="N30"/>
  <c r="M30"/>
  <c r="L30"/>
  <c r="O29"/>
  <c r="N29"/>
  <c r="M29"/>
  <c r="L29"/>
  <c r="O28"/>
  <c r="N28"/>
  <c r="M28"/>
  <c r="L28"/>
  <c r="O27"/>
  <c r="N27"/>
  <c r="M27"/>
  <c r="L27"/>
  <c r="O26"/>
  <c r="N26"/>
  <c r="M26"/>
  <c r="L26"/>
  <c r="O25"/>
  <c r="N25"/>
  <c r="M25"/>
  <c r="L25"/>
  <c r="O24"/>
  <c r="N24"/>
  <c r="M24"/>
  <c r="L24"/>
  <c r="O23"/>
  <c r="N23"/>
  <c r="M23"/>
  <c r="L23"/>
  <c r="O22"/>
  <c r="N22"/>
  <c r="M22"/>
  <c r="L22"/>
  <c r="O21"/>
  <c r="N21"/>
  <c r="M21"/>
  <c r="L21"/>
  <c r="O20"/>
  <c r="N20"/>
  <c r="M20"/>
  <c r="L20"/>
  <c r="O19"/>
  <c r="N19"/>
  <c r="M19"/>
  <c r="L19"/>
  <c r="O18"/>
  <c r="N18"/>
  <c r="M18"/>
  <c r="L18"/>
  <c r="O17"/>
  <c r="N17"/>
  <c r="M17"/>
  <c r="L17"/>
  <c r="O16"/>
  <c r="N16"/>
  <c r="M16"/>
  <c r="L16"/>
  <c r="O15"/>
  <c r="N15"/>
  <c r="M15"/>
  <c r="L15"/>
  <c r="O14"/>
  <c r="N14"/>
  <c r="M14"/>
  <c r="L14"/>
  <c r="O13"/>
  <c r="N13"/>
  <c r="M13"/>
  <c r="L13"/>
  <c r="O12"/>
  <c r="N12"/>
  <c r="M12"/>
  <c r="L12"/>
  <c r="O11"/>
  <c r="N11"/>
  <c r="M11"/>
  <c r="L11"/>
  <c r="O10"/>
  <c r="N10"/>
  <c r="M10"/>
  <c r="L10"/>
  <c r="O9"/>
  <c r="N9"/>
  <c r="M9"/>
  <c r="L9"/>
  <c r="O8"/>
  <c r="N8"/>
  <c r="M8"/>
  <c r="L8"/>
  <c r="O7"/>
  <c r="N7"/>
  <c r="M7"/>
  <c r="L7"/>
  <c r="O6"/>
  <c r="N6"/>
  <c r="M6"/>
  <c r="L6"/>
  <c r="S126" i="72"/>
  <c r="R126"/>
  <c r="Q126"/>
  <c r="P126"/>
  <c r="S125"/>
  <c r="R125"/>
  <c r="Q125"/>
  <c r="P125"/>
  <c r="S124"/>
  <c r="R124"/>
  <c r="Q124"/>
  <c r="P124"/>
  <c r="S123"/>
  <c r="R123"/>
  <c r="Q123"/>
  <c r="P123"/>
  <c r="S122"/>
  <c r="R122"/>
  <c r="Q122"/>
  <c r="P122"/>
  <c r="S121"/>
  <c r="R121"/>
  <c r="Q121"/>
  <c r="P121"/>
  <c r="S120"/>
  <c r="R120"/>
  <c r="Q120"/>
  <c r="P120"/>
  <c r="S119"/>
  <c r="R119"/>
  <c r="Q119"/>
  <c r="P119"/>
  <c r="S118"/>
  <c r="R118"/>
  <c r="Q118"/>
  <c r="P118"/>
  <c r="S117"/>
  <c r="R117"/>
  <c r="Q117"/>
  <c r="P117"/>
  <c r="S116"/>
  <c r="R116"/>
  <c r="Q116"/>
  <c r="P116"/>
  <c r="S115"/>
  <c r="R115"/>
  <c r="Q115"/>
  <c r="P115"/>
  <c r="S114"/>
  <c r="R114"/>
  <c r="Q114"/>
  <c r="P114"/>
  <c r="S113"/>
  <c r="R113"/>
  <c r="Q113"/>
  <c r="P113"/>
  <c r="S112"/>
  <c r="R112"/>
  <c r="Q112"/>
  <c r="P112"/>
  <c r="S111"/>
  <c r="R111"/>
  <c r="Q111"/>
  <c r="P111"/>
  <c r="S110"/>
  <c r="R110"/>
  <c r="Q110"/>
  <c r="P110"/>
  <c r="S109"/>
  <c r="R109"/>
  <c r="Q109"/>
  <c r="P109"/>
  <c r="S108"/>
  <c r="R108"/>
  <c r="Q108"/>
  <c r="P108"/>
  <c r="S107"/>
  <c r="R107"/>
  <c r="Q107"/>
  <c r="P107"/>
  <c r="S106"/>
  <c r="R106"/>
  <c r="Q106"/>
  <c r="P106"/>
  <c r="S105"/>
  <c r="R105"/>
  <c r="Q105"/>
  <c r="P105"/>
  <c r="S104"/>
  <c r="R104"/>
  <c r="Q104"/>
  <c r="P104"/>
  <c r="S103"/>
  <c r="R103"/>
  <c r="Q103"/>
  <c r="P103"/>
  <c r="S102"/>
  <c r="R102"/>
  <c r="Q102"/>
  <c r="P102"/>
  <c r="S101"/>
  <c r="R101"/>
  <c r="Q101"/>
  <c r="P101"/>
  <c r="S100"/>
  <c r="R100"/>
  <c r="Q100"/>
  <c r="P100"/>
  <c r="S99"/>
  <c r="R99"/>
  <c r="Q99"/>
  <c r="P99"/>
  <c r="S98"/>
  <c r="R98"/>
  <c r="Q98"/>
  <c r="P98"/>
  <c r="S97"/>
  <c r="R97"/>
  <c r="Q97"/>
  <c r="P97"/>
  <c r="S96"/>
  <c r="R96"/>
  <c r="Q96"/>
  <c r="P96"/>
  <c r="S95"/>
  <c r="R95"/>
  <c r="Q95"/>
  <c r="P95"/>
  <c r="S94"/>
  <c r="R94"/>
  <c r="Q94"/>
  <c r="P94"/>
  <c r="S93"/>
  <c r="R93"/>
  <c r="Q93"/>
  <c r="P93"/>
  <c r="S92"/>
  <c r="R92"/>
  <c r="Q92"/>
  <c r="P92"/>
  <c r="S91"/>
  <c r="R91"/>
  <c r="Q91"/>
  <c r="P91"/>
  <c r="S90"/>
  <c r="R90"/>
  <c r="Q90"/>
  <c r="P90"/>
  <c r="S89"/>
  <c r="R89"/>
  <c r="Q89"/>
  <c r="P89"/>
  <c r="S88"/>
  <c r="R88"/>
  <c r="Q88"/>
  <c r="P88"/>
  <c r="S87"/>
  <c r="R87"/>
  <c r="Q87"/>
  <c r="P87"/>
  <c r="S86"/>
  <c r="R86"/>
  <c r="Q86"/>
  <c r="P86"/>
  <c r="S85"/>
  <c r="R85"/>
  <c r="Q85"/>
  <c r="P85"/>
  <c r="S84"/>
  <c r="R84"/>
  <c r="Q84"/>
  <c r="P84"/>
  <c r="S83"/>
  <c r="R83"/>
  <c r="Q83"/>
  <c r="P83"/>
  <c r="S82"/>
  <c r="R82"/>
  <c r="Q82"/>
  <c r="P82"/>
  <c r="S81"/>
  <c r="R81"/>
  <c r="Q81"/>
  <c r="P81"/>
  <c r="S80"/>
  <c r="R80"/>
  <c r="Q80"/>
  <c r="P80"/>
  <c r="S79"/>
  <c r="R79"/>
  <c r="Q79"/>
  <c r="P79"/>
  <c r="S78"/>
  <c r="R78"/>
  <c r="Q78"/>
  <c r="P78"/>
  <c r="S77"/>
  <c r="R77"/>
  <c r="Q77"/>
  <c r="P77"/>
  <c r="S76"/>
  <c r="R76"/>
  <c r="Q76"/>
  <c r="P76"/>
  <c r="S75"/>
  <c r="R75"/>
  <c r="Q75"/>
  <c r="P75"/>
  <c r="S74"/>
  <c r="R74"/>
  <c r="Q74"/>
  <c r="P74"/>
  <c r="S73"/>
  <c r="R73"/>
  <c r="Q73"/>
  <c r="P73"/>
  <c r="S72"/>
  <c r="R72"/>
  <c r="Q72"/>
  <c r="P72"/>
  <c r="S71"/>
  <c r="R71"/>
  <c r="Q71"/>
  <c r="P71"/>
  <c r="S70"/>
  <c r="R70"/>
  <c r="Q70"/>
  <c r="P70"/>
  <c r="S69"/>
  <c r="R69"/>
  <c r="Q69"/>
  <c r="P69"/>
  <c r="S68"/>
  <c r="R68"/>
  <c r="Q68"/>
  <c r="P68"/>
  <c r="S67"/>
  <c r="R67"/>
  <c r="Q67"/>
  <c r="P67"/>
  <c r="S66"/>
  <c r="R66"/>
  <c r="Q66"/>
  <c r="P66"/>
  <c r="S65"/>
  <c r="R65"/>
  <c r="Q65"/>
  <c r="P65"/>
  <c r="S64"/>
  <c r="R64"/>
  <c r="Q64"/>
  <c r="P64"/>
  <c r="S63"/>
  <c r="R63"/>
  <c r="Q63"/>
  <c r="P63"/>
  <c r="S62"/>
  <c r="R62"/>
  <c r="Q62"/>
  <c r="P62"/>
  <c r="S61"/>
  <c r="R61"/>
  <c r="Q61"/>
  <c r="P61"/>
  <c r="S60"/>
  <c r="R60"/>
  <c r="Q60"/>
  <c r="P60"/>
  <c r="S59"/>
  <c r="R59"/>
  <c r="Q59"/>
  <c r="P59"/>
  <c r="S58"/>
  <c r="R58"/>
  <c r="Q58"/>
  <c r="P58"/>
  <c r="S57"/>
  <c r="R57"/>
  <c r="Q57"/>
  <c r="P57"/>
  <c r="S56"/>
  <c r="R56"/>
  <c r="Q56"/>
  <c r="P56"/>
  <c r="S55"/>
  <c r="R55"/>
  <c r="Q55"/>
  <c r="P55"/>
  <c r="S54"/>
  <c r="R54"/>
  <c r="Q54"/>
  <c r="P54"/>
  <c r="S53"/>
  <c r="R53"/>
  <c r="Q53"/>
  <c r="P53"/>
  <c r="S52"/>
  <c r="R52"/>
  <c r="Q52"/>
  <c r="P52"/>
  <c r="S51"/>
  <c r="R51"/>
  <c r="Q51"/>
  <c r="P51"/>
  <c r="S50"/>
  <c r="R50"/>
  <c r="Q50"/>
  <c r="P50"/>
  <c r="S49"/>
  <c r="R49"/>
  <c r="Q49"/>
  <c r="P49"/>
  <c r="S48"/>
  <c r="R48"/>
  <c r="Q48"/>
  <c r="P48"/>
  <c r="S47"/>
  <c r="R47"/>
  <c r="Q47"/>
  <c r="P47"/>
  <c r="S46"/>
  <c r="R46"/>
  <c r="Q46"/>
  <c r="P46"/>
  <c r="S45"/>
  <c r="R45"/>
  <c r="Q45"/>
  <c r="P45"/>
  <c r="S44"/>
  <c r="R44"/>
  <c r="Q44"/>
  <c r="P44"/>
  <c r="S43"/>
  <c r="R43"/>
  <c r="Q43"/>
  <c r="P43"/>
  <c r="S42"/>
  <c r="R42"/>
  <c r="Q42"/>
  <c r="P42"/>
  <c r="S41"/>
  <c r="R41"/>
  <c r="Q41"/>
  <c r="P41"/>
  <c r="S40"/>
  <c r="R40"/>
  <c r="Q40"/>
  <c r="P40"/>
  <c r="S39"/>
  <c r="R39"/>
  <c r="Q39"/>
  <c r="P39"/>
  <c r="S38"/>
  <c r="R38"/>
  <c r="Q38"/>
  <c r="P38"/>
  <c r="S37"/>
  <c r="R37"/>
  <c r="Q37"/>
  <c r="P37"/>
  <c r="S36"/>
  <c r="R36"/>
  <c r="Q36"/>
  <c r="P36"/>
  <c r="S35"/>
  <c r="R35"/>
  <c r="Q35"/>
  <c r="P35"/>
  <c r="S34"/>
  <c r="R34"/>
  <c r="Q34"/>
  <c r="P34"/>
  <c r="S33"/>
  <c r="R33"/>
  <c r="Q33"/>
  <c r="P33"/>
  <c r="S32"/>
  <c r="R32"/>
  <c r="Q32"/>
  <c r="P32"/>
  <c r="S31"/>
  <c r="R31"/>
  <c r="Q31"/>
  <c r="P31"/>
  <c r="S30"/>
  <c r="R30"/>
  <c r="Q30"/>
  <c r="P30"/>
  <c r="S29"/>
  <c r="R29"/>
  <c r="Q29"/>
  <c r="P29"/>
  <c r="S28"/>
  <c r="R28"/>
  <c r="Q28"/>
  <c r="P28"/>
  <c r="S27"/>
  <c r="R27"/>
  <c r="Q27"/>
  <c r="P27"/>
  <c r="S26"/>
  <c r="R26"/>
  <c r="Q26"/>
  <c r="P26"/>
  <c r="S25"/>
  <c r="R25"/>
  <c r="Q25"/>
  <c r="P25"/>
  <c r="S24"/>
  <c r="R24"/>
  <c r="Q24"/>
  <c r="P24"/>
  <c r="S23"/>
  <c r="R23"/>
  <c r="Q23"/>
  <c r="P23"/>
  <c r="S22"/>
  <c r="R22"/>
  <c r="Q22"/>
  <c r="P22"/>
  <c r="S21"/>
  <c r="R21"/>
  <c r="Q21"/>
  <c r="P21"/>
  <c r="S20"/>
  <c r="R20"/>
  <c r="Q20"/>
  <c r="P20"/>
  <c r="S19"/>
  <c r="R19"/>
  <c r="Q19"/>
  <c r="P19"/>
  <c r="S18"/>
  <c r="R18"/>
  <c r="Q18"/>
  <c r="P18"/>
  <c r="S17"/>
  <c r="R17"/>
  <c r="Q17"/>
  <c r="P17"/>
  <c r="S16"/>
  <c r="R16"/>
  <c r="Q16"/>
  <c r="P16"/>
  <c r="S15"/>
  <c r="R15"/>
  <c r="Q15"/>
  <c r="P15"/>
  <c r="S14"/>
  <c r="R14"/>
  <c r="Q14"/>
  <c r="P14"/>
  <c r="S13"/>
  <c r="R13"/>
  <c r="Q13"/>
  <c r="P13"/>
  <c r="S12"/>
  <c r="R12"/>
  <c r="Q12"/>
  <c r="P12"/>
  <c r="S11"/>
  <c r="R11"/>
  <c r="Q11"/>
  <c r="P11"/>
  <c r="S10"/>
  <c r="R10"/>
  <c r="Q10"/>
  <c r="P10"/>
  <c r="S9"/>
  <c r="R9"/>
  <c r="Q9"/>
  <c r="P9"/>
  <c r="S8"/>
  <c r="R8"/>
  <c r="Q8"/>
  <c r="P8"/>
  <c r="S7"/>
  <c r="R7"/>
  <c r="Q7"/>
  <c r="P7"/>
  <c r="S6"/>
  <c r="R6"/>
  <c r="Q6"/>
  <c r="P6"/>
  <c r="AI126" i="85"/>
  <c r="AH126"/>
  <c r="AG126"/>
  <c r="AF126"/>
  <c r="AE126"/>
  <c r="AD126"/>
  <c r="Y126"/>
  <c r="R126"/>
  <c r="K126"/>
  <c r="AI125"/>
  <c r="AH125"/>
  <c r="AG125"/>
  <c r="AF125"/>
  <c r="AE125"/>
  <c r="AD125"/>
  <c r="Y125"/>
  <c r="R125"/>
  <c r="K125"/>
  <c r="AA125" s="1"/>
  <c r="AI124"/>
  <c r="AH124"/>
  <c r="AG124"/>
  <c r="AF124"/>
  <c r="AE124"/>
  <c r="AD124"/>
  <c r="Y124"/>
  <c r="R124"/>
  <c r="K124"/>
  <c r="AI123"/>
  <c r="AH123"/>
  <c r="AG123"/>
  <c r="AF123"/>
  <c r="AE123"/>
  <c r="AD123"/>
  <c r="Y123"/>
  <c r="R123"/>
  <c r="K123"/>
  <c r="AI122"/>
  <c r="AH122"/>
  <c r="AG122"/>
  <c r="AF122"/>
  <c r="AE122"/>
  <c r="AD122"/>
  <c r="Y122"/>
  <c r="R122"/>
  <c r="K122"/>
  <c r="AI121"/>
  <c r="AH121"/>
  <c r="AG121"/>
  <c r="AF121"/>
  <c r="AE121"/>
  <c r="AD121"/>
  <c r="Y121"/>
  <c r="R121"/>
  <c r="K121"/>
  <c r="AI120"/>
  <c r="AH120"/>
  <c r="AG120"/>
  <c r="AF120"/>
  <c r="AE120"/>
  <c r="AD120"/>
  <c r="Y120"/>
  <c r="R120"/>
  <c r="K120"/>
  <c r="AI119"/>
  <c r="AH119"/>
  <c r="AG119"/>
  <c r="AF119"/>
  <c r="AE119"/>
  <c r="AD119"/>
  <c r="Y119"/>
  <c r="R119"/>
  <c r="K119"/>
  <c r="AI118"/>
  <c r="AH118"/>
  <c r="AG118"/>
  <c r="AF118"/>
  <c r="AE118"/>
  <c r="AD118"/>
  <c r="Y118"/>
  <c r="R118"/>
  <c r="K118"/>
  <c r="AI117"/>
  <c r="AH117"/>
  <c r="AG117"/>
  <c r="AF117"/>
  <c r="AE117"/>
  <c r="AD117"/>
  <c r="Y117"/>
  <c r="R117"/>
  <c r="K117"/>
  <c r="AA117" s="1"/>
  <c r="AI116"/>
  <c r="AH116"/>
  <c r="AG116"/>
  <c r="AF116"/>
  <c r="AE116"/>
  <c r="AD116"/>
  <c r="Y116"/>
  <c r="R116"/>
  <c r="K116"/>
  <c r="AI115"/>
  <c r="AH115"/>
  <c r="AG115"/>
  <c r="AF115"/>
  <c r="AE115"/>
  <c r="AD115"/>
  <c r="Y115"/>
  <c r="R115"/>
  <c r="K115"/>
  <c r="AI114"/>
  <c r="AH114"/>
  <c r="AG114"/>
  <c r="AF114"/>
  <c r="AE114"/>
  <c r="AD114"/>
  <c r="Y114"/>
  <c r="R114"/>
  <c r="K114"/>
  <c r="AI113"/>
  <c r="AH113"/>
  <c r="AG113"/>
  <c r="AF113"/>
  <c r="AE113"/>
  <c r="AD113"/>
  <c r="Y113"/>
  <c r="R113"/>
  <c r="K113"/>
  <c r="AI112"/>
  <c r="AH112"/>
  <c r="AG112"/>
  <c r="AF112"/>
  <c r="AE112"/>
  <c r="AD112"/>
  <c r="Y112"/>
  <c r="R112"/>
  <c r="K112"/>
  <c r="AI111"/>
  <c r="AH111"/>
  <c r="AG111"/>
  <c r="AF111"/>
  <c r="AE111"/>
  <c r="AD111"/>
  <c r="Y111"/>
  <c r="R111"/>
  <c r="K111"/>
  <c r="AA111" s="1"/>
  <c r="AI110"/>
  <c r="AH110"/>
  <c r="AG110"/>
  <c r="AF110"/>
  <c r="AE110"/>
  <c r="AD110"/>
  <c r="Y110"/>
  <c r="R110"/>
  <c r="Z110" s="1"/>
  <c r="K110"/>
  <c r="AI109"/>
  <c r="AH109"/>
  <c r="AG109"/>
  <c r="AF109"/>
  <c r="AE109"/>
  <c r="AD109"/>
  <c r="Y109"/>
  <c r="R109"/>
  <c r="K109"/>
  <c r="AI108"/>
  <c r="AH108"/>
  <c r="AG108"/>
  <c r="AF108"/>
  <c r="AE108"/>
  <c r="AD108"/>
  <c r="Y108"/>
  <c r="R108"/>
  <c r="K108"/>
  <c r="AI107"/>
  <c r="AH107"/>
  <c r="AG107"/>
  <c r="AF107"/>
  <c r="AE107"/>
  <c r="AD107"/>
  <c r="Y107"/>
  <c r="R107"/>
  <c r="K107"/>
  <c r="AI106"/>
  <c r="AH106"/>
  <c r="AG106"/>
  <c r="AF106"/>
  <c r="AE106"/>
  <c r="AD106"/>
  <c r="Y106"/>
  <c r="R106"/>
  <c r="K106"/>
  <c r="AI105"/>
  <c r="AH105"/>
  <c r="AG105"/>
  <c r="AF105"/>
  <c r="AE105"/>
  <c r="AD105"/>
  <c r="Y105"/>
  <c r="R105"/>
  <c r="K105"/>
  <c r="AI104"/>
  <c r="AH104"/>
  <c r="AG104"/>
  <c r="AF104"/>
  <c r="AE104"/>
  <c r="AD104"/>
  <c r="Y104"/>
  <c r="R104"/>
  <c r="K104"/>
  <c r="AI103"/>
  <c r="AH103"/>
  <c r="AG103"/>
  <c r="AF103"/>
  <c r="AE103"/>
  <c r="AD103"/>
  <c r="Y103"/>
  <c r="R103"/>
  <c r="K103"/>
  <c r="AI102"/>
  <c r="AH102"/>
  <c r="AG102"/>
  <c r="AF102"/>
  <c r="AE102"/>
  <c r="AD102"/>
  <c r="Y102"/>
  <c r="R102"/>
  <c r="Z102" s="1"/>
  <c r="K102"/>
  <c r="AI101"/>
  <c r="AH101"/>
  <c r="AG101"/>
  <c r="AF101"/>
  <c r="AE101"/>
  <c r="AD101"/>
  <c r="Y101"/>
  <c r="R101"/>
  <c r="K101"/>
  <c r="AA101" s="1"/>
  <c r="AI100"/>
  <c r="AH100"/>
  <c r="AG100"/>
  <c r="AF100"/>
  <c r="AE100"/>
  <c r="AD100"/>
  <c r="Y100"/>
  <c r="R100"/>
  <c r="K100"/>
  <c r="AI99"/>
  <c r="AH99"/>
  <c r="AG99"/>
  <c r="AF99"/>
  <c r="AE99"/>
  <c r="AD99"/>
  <c r="Y99"/>
  <c r="R99"/>
  <c r="K99"/>
  <c r="Z99" s="1"/>
  <c r="AI98"/>
  <c r="AH98"/>
  <c r="AG98"/>
  <c r="AF98"/>
  <c r="AE98"/>
  <c r="AD98"/>
  <c r="Y98"/>
  <c r="R98"/>
  <c r="K98"/>
  <c r="AI97"/>
  <c r="AH97"/>
  <c r="AG97"/>
  <c r="AF97"/>
  <c r="AE97"/>
  <c r="AD97"/>
  <c r="Y97"/>
  <c r="R97"/>
  <c r="K97"/>
  <c r="AI96"/>
  <c r="AH96"/>
  <c r="AG96"/>
  <c r="AF96"/>
  <c r="AE96"/>
  <c r="AD96"/>
  <c r="Y96"/>
  <c r="R96"/>
  <c r="K96"/>
  <c r="Z96" s="1"/>
  <c r="AI95"/>
  <c r="AH95"/>
  <c r="AG95"/>
  <c r="AF95"/>
  <c r="AE95"/>
  <c r="AD95"/>
  <c r="Y95"/>
  <c r="R95"/>
  <c r="K95"/>
  <c r="AI94"/>
  <c r="AH94"/>
  <c r="AG94"/>
  <c r="AF94"/>
  <c r="AE94"/>
  <c r="AD94"/>
  <c r="Y94"/>
  <c r="R94"/>
  <c r="Z94" s="1"/>
  <c r="K94"/>
  <c r="AI93"/>
  <c r="AH93"/>
  <c r="AG93"/>
  <c r="AF93"/>
  <c r="AE93"/>
  <c r="AD93"/>
  <c r="Y93"/>
  <c r="R93"/>
  <c r="K93"/>
  <c r="AA93" s="1"/>
  <c r="AI92"/>
  <c r="AH92"/>
  <c r="AG92"/>
  <c r="AF92"/>
  <c r="AE92"/>
  <c r="AD92"/>
  <c r="Y92"/>
  <c r="R92"/>
  <c r="K92"/>
  <c r="AI91"/>
  <c r="AH91"/>
  <c r="AG91"/>
  <c r="AF91"/>
  <c r="AE91"/>
  <c r="AD91"/>
  <c r="Y91"/>
  <c r="R91"/>
  <c r="K91"/>
  <c r="AI90"/>
  <c r="AH90"/>
  <c r="AG90"/>
  <c r="AF90"/>
  <c r="AE90"/>
  <c r="AD90"/>
  <c r="Y90"/>
  <c r="R90"/>
  <c r="K90"/>
  <c r="AI89"/>
  <c r="AH89"/>
  <c r="AG89"/>
  <c r="AF89"/>
  <c r="AE89"/>
  <c r="AD89"/>
  <c r="Y89"/>
  <c r="R89"/>
  <c r="K89"/>
  <c r="AI88"/>
  <c r="AH88"/>
  <c r="AG88"/>
  <c r="AF88"/>
  <c r="AE88"/>
  <c r="AD88"/>
  <c r="Y88"/>
  <c r="R88"/>
  <c r="K88"/>
  <c r="AI87"/>
  <c r="AH87"/>
  <c r="AG87"/>
  <c r="AF87"/>
  <c r="AE87"/>
  <c r="AD87"/>
  <c r="Y87"/>
  <c r="R87"/>
  <c r="K87"/>
  <c r="AI86"/>
  <c r="AH86"/>
  <c r="AG86"/>
  <c r="AF86"/>
  <c r="AE86"/>
  <c r="AD86"/>
  <c r="Y86"/>
  <c r="R86"/>
  <c r="Z86" s="1"/>
  <c r="K86"/>
  <c r="AI85"/>
  <c r="AH85"/>
  <c r="AG85"/>
  <c r="AF85"/>
  <c r="AE85"/>
  <c r="AD85"/>
  <c r="Y85"/>
  <c r="R85"/>
  <c r="K85"/>
  <c r="AI84"/>
  <c r="AH84"/>
  <c r="AG84"/>
  <c r="AF84"/>
  <c r="AE84"/>
  <c r="AD84"/>
  <c r="Y84"/>
  <c r="R84"/>
  <c r="K84"/>
  <c r="AI83"/>
  <c r="AH83"/>
  <c r="AG83"/>
  <c r="AF83"/>
  <c r="AE83"/>
  <c r="AD83"/>
  <c r="Y83"/>
  <c r="R83"/>
  <c r="K83"/>
  <c r="AI82"/>
  <c r="AH82"/>
  <c r="AG82"/>
  <c r="AF82"/>
  <c r="AE82"/>
  <c r="AD82"/>
  <c r="Y82"/>
  <c r="R82"/>
  <c r="K82"/>
  <c r="AI81"/>
  <c r="AH81"/>
  <c r="AG81"/>
  <c r="AF81"/>
  <c r="AE81"/>
  <c r="AD81"/>
  <c r="Y81"/>
  <c r="R81"/>
  <c r="K81"/>
  <c r="AI80"/>
  <c r="AH80"/>
  <c r="AG80"/>
  <c r="AF80"/>
  <c r="AE80"/>
  <c r="AD80"/>
  <c r="Y80"/>
  <c r="R80"/>
  <c r="K80"/>
  <c r="Z80" s="1"/>
  <c r="AI79"/>
  <c r="AH79"/>
  <c r="AG79"/>
  <c r="AF79"/>
  <c r="AE79"/>
  <c r="AD79"/>
  <c r="Y79"/>
  <c r="R79"/>
  <c r="K79"/>
  <c r="AI78"/>
  <c r="AH78"/>
  <c r="AG78"/>
  <c r="AF78"/>
  <c r="AE78"/>
  <c r="AD78"/>
  <c r="Y78"/>
  <c r="R78"/>
  <c r="K78"/>
  <c r="AI77"/>
  <c r="AH77"/>
  <c r="AG77"/>
  <c r="AF77"/>
  <c r="AE77"/>
  <c r="AD77"/>
  <c r="Y77"/>
  <c r="R77"/>
  <c r="K77"/>
  <c r="AA77" s="1"/>
  <c r="AI76"/>
  <c r="AH76"/>
  <c r="AG76"/>
  <c r="AF76"/>
  <c r="AE76"/>
  <c r="AD76"/>
  <c r="Y76"/>
  <c r="R76"/>
  <c r="K76"/>
  <c r="AI75"/>
  <c r="AH75"/>
  <c r="AG75"/>
  <c r="AF75"/>
  <c r="AE75"/>
  <c r="AD75"/>
  <c r="Y75"/>
  <c r="R75"/>
  <c r="K75"/>
  <c r="AI74"/>
  <c r="AH74"/>
  <c r="AG74"/>
  <c r="AF74"/>
  <c r="AE74"/>
  <c r="AD74"/>
  <c r="Y74"/>
  <c r="R74"/>
  <c r="K74"/>
  <c r="AI73"/>
  <c r="AH73"/>
  <c r="AG73"/>
  <c r="AF73"/>
  <c r="AE73"/>
  <c r="AD73"/>
  <c r="Y73"/>
  <c r="R73"/>
  <c r="K73"/>
  <c r="AI72"/>
  <c r="AH72"/>
  <c r="AG72"/>
  <c r="AF72"/>
  <c r="AE72"/>
  <c r="AD72"/>
  <c r="Y72"/>
  <c r="R72"/>
  <c r="K72"/>
  <c r="AI71"/>
  <c r="AH71"/>
  <c r="AG71"/>
  <c r="AF71"/>
  <c r="AE71"/>
  <c r="AD71"/>
  <c r="Y71"/>
  <c r="R71"/>
  <c r="K71"/>
  <c r="AJ71" s="1"/>
  <c r="AI70"/>
  <c r="AH70"/>
  <c r="AG70"/>
  <c r="AF70"/>
  <c r="AE70"/>
  <c r="AD70"/>
  <c r="Y70"/>
  <c r="R70"/>
  <c r="K70"/>
  <c r="AI69"/>
  <c r="AH69"/>
  <c r="AG69"/>
  <c r="AF69"/>
  <c r="AE69"/>
  <c r="AD69"/>
  <c r="Y69"/>
  <c r="R69"/>
  <c r="K69"/>
  <c r="AA69" s="1"/>
  <c r="AI68"/>
  <c r="AH68"/>
  <c r="AG68"/>
  <c r="AF68"/>
  <c r="AE68"/>
  <c r="AD68"/>
  <c r="Y68"/>
  <c r="R68"/>
  <c r="K68"/>
  <c r="AI67"/>
  <c r="AH67"/>
  <c r="AG67"/>
  <c r="AF67"/>
  <c r="AE67"/>
  <c r="AD67"/>
  <c r="Y67"/>
  <c r="R67"/>
  <c r="K67"/>
  <c r="AI66"/>
  <c r="AH66"/>
  <c r="AG66"/>
  <c r="AF66"/>
  <c r="AE66"/>
  <c r="AD66"/>
  <c r="Y66"/>
  <c r="R66"/>
  <c r="K66"/>
  <c r="AI65"/>
  <c r="AH65"/>
  <c r="AG65"/>
  <c r="AF65"/>
  <c r="AE65"/>
  <c r="AD65"/>
  <c r="Y65"/>
  <c r="R65"/>
  <c r="K65"/>
  <c r="AI64"/>
  <c r="AH64"/>
  <c r="AG64"/>
  <c r="AF64"/>
  <c r="AE64"/>
  <c r="AD64"/>
  <c r="Y64"/>
  <c r="R64"/>
  <c r="K64"/>
  <c r="AI63"/>
  <c r="AH63"/>
  <c r="AG63"/>
  <c r="AF63"/>
  <c r="AE63"/>
  <c r="AD63"/>
  <c r="Y63"/>
  <c r="R63"/>
  <c r="K63"/>
  <c r="AI62"/>
  <c r="AH62"/>
  <c r="AG62"/>
  <c r="AF62"/>
  <c r="AE62"/>
  <c r="AD62"/>
  <c r="Y62"/>
  <c r="R62"/>
  <c r="Z62" s="1"/>
  <c r="K62"/>
  <c r="AI61"/>
  <c r="AH61"/>
  <c r="AG61"/>
  <c r="AF61"/>
  <c r="AE61"/>
  <c r="AD61"/>
  <c r="Y61"/>
  <c r="R61"/>
  <c r="K61"/>
  <c r="AA61" s="1"/>
  <c r="AI60"/>
  <c r="AH60"/>
  <c r="AG60"/>
  <c r="AF60"/>
  <c r="AE60"/>
  <c r="AD60"/>
  <c r="Y60"/>
  <c r="R60"/>
  <c r="K60"/>
  <c r="AI59"/>
  <c r="AH59"/>
  <c r="AG59"/>
  <c r="AF59"/>
  <c r="AE59"/>
  <c r="AD59"/>
  <c r="Y59"/>
  <c r="R59"/>
  <c r="K59"/>
  <c r="AI58"/>
  <c r="AH58"/>
  <c r="AG58"/>
  <c r="AF58"/>
  <c r="AE58"/>
  <c r="AD58"/>
  <c r="Y58"/>
  <c r="R58"/>
  <c r="K58"/>
  <c r="AI57"/>
  <c r="AH57"/>
  <c r="AG57"/>
  <c r="AF57"/>
  <c r="AE57"/>
  <c r="AD57"/>
  <c r="Y57"/>
  <c r="R57"/>
  <c r="K57"/>
  <c r="AI56"/>
  <c r="AH56"/>
  <c r="AG56"/>
  <c r="AF56"/>
  <c r="AE56"/>
  <c r="AD56"/>
  <c r="Y56"/>
  <c r="R56"/>
  <c r="K56"/>
  <c r="AI55"/>
  <c r="AH55"/>
  <c r="AG55"/>
  <c r="AF55"/>
  <c r="AE55"/>
  <c r="AD55"/>
  <c r="Y55"/>
  <c r="R55"/>
  <c r="K55"/>
  <c r="AI54"/>
  <c r="AH54"/>
  <c r="AG54"/>
  <c r="AF54"/>
  <c r="AE54"/>
  <c r="AD54"/>
  <c r="Y54"/>
  <c r="R54"/>
  <c r="Z54" s="1"/>
  <c r="K54"/>
  <c r="AI53"/>
  <c r="AH53"/>
  <c r="AG53"/>
  <c r="AF53"/>
  <c r="AE53"/>
  <c r="AD53"/>
  <c r="Y53"/>
  <c r="R53"/>
  <c r="K53"/>
  <c r="AA53" s="1"/>
  <c r="AI52"/>
  <c r="AH52"/>
  <c r="AG52"/>
  <c r="AF52"/>
  <c r="AE52"/>
  <c r="AD52"/>
  <c r="Y52"/>
  <c r="R52"/>
  <c r="K52"/>
  <c r="AI51"/>
  <c r="AH51"/>
  <c r="AG51"/>
  <c r="AF51"/>
  <c r="AE51"/>
  <c r="AD51"/>
  <c r="Y51"/>
  <c r="R51"/>
  <c r="K51"/>
  <c r="AI50"/>
  <c r="AH50"/>
  <c r="AG50"/>
  <c r="AF50"/>
  <c r="AE50"/>
  <c r="AD50"/>
  <c r="Y50"/>
  <c r="R50"/>
  <c r="K50"/>
  <c r="AI49"/>
  <c r="AH49"/>
  <c r="AG49"/>
  <c r="AF49"/>
  <c r="AE49"/>
  <c r="AD49"/>
  <c r="Y49"/>
  <c r="R49"/>
  <c r="K49"/>
  <c r="AI48"/>
  <c r="AH48"/>
  <c r="AG48"/>
  <c r="AF48"/>
  <c r="AE48"/>
  <c r="AD48"/>
  <c r="Y48"/>
  <c r="R48"/>
  <c r="K48"/>
  <c r="Z48" s="1"/>
  <c r="AI47"/>
  <c r="AH47"/>
  <c r="AG47"/>
  <c r="AF47"/>
  <c r="AE47"/>
  <c r="AD47"/>
  <c r="Y47"/>
  <c r="R47"/>
  <c r="K47"/>
  <c r="AI46"/>
  <c r="AH46"/>
  <c r="AG46"/>
  <c r="AF46"/>
  <c r="AE46"/>
  <c r="AD46"/>
  <c r="Y46"/>
  <c r="R46"/>
  <c r="K46"/>
  <c r="AI45"/>
  <c r="AH45"/>
  <c r="AG45"/>
  <c r="AF45"/>
  <c r="AE45"/>
  <c r="AD45"/>
  <c r="Y45"/>
  <c r="R45"/>
  <c r="K45"/>
  <c r="AI44"/>
  <c r="AH44"/>
  <c r="AG44"/>
  <c r="AF44"/>
  <c r="AE44"/>
  <c r="AD44"/>
  <c r="Y44"/>
  <c r="R44"/>
  <c r="K44"/>
  <c r="AA44" s="1"/>
  <c r="AI43"/>
  <c r="AH43"/>
  <c r="AG43"/>
  <c r="AF43"/>
  <c r="AE43"/>
  <c r="AD43"/>
  <c r="Y43"/>
  <c r="R43"/>
  <c r="K43"/>
  <c r="AI42"/>
  <c r="AH42"/>
  <c r="AG42"/>
  <c r="AF42"/>
  <c r="AE42"/>
  <c r="AD42"/>
  <c r="Y42"/>
  <c r="R42"/>
  <c r="K42"/>
  <c r="AI41"/>
  <c r="AH41"/>
  <c r="AG41"/>
  <c r="AF41"/>
  <c r="AE41"/>
  <c r="AD41"/>
  <c r="Y41"/>
  <c r="R41"/>
  <c r="K41"/>
  <c r="AI40"/>
  <c r="AH40"/>
  <c r="AG40"/>
  <c r="AF40"/>
  <c r="AE40"/>
  <c r="AD40"/>
  <c r="Y40"/>
  <c r="R40"/>
  <c r="K40"/>
  <c r="AI39"/>
  <c r="AH39"/>
  <c r="AG39"/>
  <c r="AF39"/>
  <c r="AE39"/>
  <c r="AD39"/>
  <c r="Y39"/>
  <c r="R39"/>
  <c r="K39"/>
  <c r="AI38"/>
  <c r="AH38"/>
  <c r="AG38"/>
  <c r="AF38"/>
  <c r="AE38"/>
  <c r="AD38"/>
  <c r="Y38"/>
  <c r="R38"/>
  <c r="K38"/>
  <c r="AI37"/>
  <c r="AH37"/>
  <c r="AG37"/>
  <c r="AF37"/>
  <c r="AE37"/>
  <c r="AD37"/>
  <c r="Y37"/>
  <c r="R37"/>
  <c r="K37"/>
  <c r="AI36"/>
  <c r="AH36"/>
  <c r="AG36"/>
  <c r="AF36"/>
  <c r="AE36"/>
  <c r="AD36"/>
  <c r="Y36"/>
  <c r="R36"/>
  <c r="K36"/>
  <c r="AI35"/>
  <c r="AH35"/>
  <c r="AG35"/>
  <c r="AF35"/>
  <c r="AE35"/>
  <c r="AD35"/>
  <c r="Y35"/>
  <c r="R35"/>
  <c r="K35"/>
  <c r="AI34"/>
  <c r="AH34"/>
  <c r="AG34"/>
  <c r="AF34"/>
  <c r="AE34"/>
  <c r="AD34"/>
  <c r="Y34"/>
  <c r="R34"/>
  <c r="K34"/>
  <c r="AI33"/>
  <c r="AH33"/>
  <c r="AG33"/>
  <c r="AF33"/>
  <c r="AE33"/>
  <c r="AD33"/>
  <c r="Y33"/>
  <c r="R33"/>
  <c r="K33"/>
  <c r="AI32"/>
  <c r="AH32"/>
  <c r="AG32"/>
  <c r="AF32"/>
  <c r="AE32"/>
  <c r="AD32"/>
  <c r="Y32"/>
  <c r="R32"/>
  <c r="K32"/>
  <c r="AI31"/>
  <c r="AH31"/>
  <c r="AG31"/>
  <c r="AF31"/>
  <c r="AE31"/>
  <c r="AD31"/>
  <c r="Y31"/>
  <c r="R31"/>
  <c r="K31"/>
  <c r="Z31" s="1"/>
  <c r="AI30"/>
  <c r="AH30"/>
  <c r="AG30"/>
  <c r="AF30"/>
  <c r="AE30"/>
  <c r="AD30"/>
  <c r="Y30"/>
  <c r="R30"/>
  <c r="K30"/>
  <c r="AI29"/>
  <c r="AH29"/>
  <c r="AG29"/>
  <c r="AF29"/>
  <c r="AE29"/>
  <c r="AD29"/>
  <c r="Y29"/>
  <c r="R29"/>
  <c r="K29"/>
  <c r="AA29" s="1"/>
  <c r="AI28"/>
  <c r="AH28"/>
  <c r="AG28"/>
  <c r="AF28"/>
  <c r="AE28"/>
  <c r="AD28"/>
  <c r="Y28"/>
  <c r="R28"/>
  <c r="K28"/>
  <c r="AI27"/>
  <c r="AH27"/>
  <c r="AG27"/>
  <c r="AF27"/>
  <c r="AE27"/>
  <c r="AD27"/>
  <c r="Y27"/>
  <c r="R27"/>
  <c r="K27"/>
  <c r="AI26"/>
  <c r="AH26"/>
  <c r="AG26"/>
  <c r="AF26"/>
  <c r="AE26"/>
  <c r="AD26"/>
  <c r="Y26"/>
  <c r="R26"/>
  <c r="K26"/>
  <c r="AI25"/>
  <c r="AH25"/>
  <c r="AG25"/>
  <c r="AF25"/>
  <c r="AE25"/>
  <c r="AD25"/>
  <c r="Y25"/>
  <c r="R25"/>
  <c r="K25"/>
  <c r="AI24"/>
  <c r="AH24"/>
  <c r="AG24"/>
  <c r="AF24"/>
  <c r="AE24"/>
  <c r="AD24"/>
  <c r="Y24"/>
  <c r="R24"/>
  <c r="K24"/>
  <c r="Z24" s="1"/>
  <c r="AI23"/>
  <c r="AH23"/>
  <c r="AG23"/>
  <c r="AF23"/>
  <c r="AE23"/>
  <c r="AD23"/>
  <c r="Y23"/>
  <c r="R23"/>
  <c r="K23"/>
  <c r="AI22"/>
  <c r="AH22"/>
  <c r="AG22"/>
  <c r="AF22"/>
  <c r="AE22"/>
  <c r="AD22"/>
  <c r="Y22"/>
  <c r="R22"/>
  <c r="K22"/>
  <c r="AI21"/>
  <c r="AH21"/>
  <c r="AG21"/>
  <c r="AF21"/>
  <c r="AE21"/>
  <c r="AD21"/>
  <c r="Y21"/>
  <c r="R21"/>
  <c r="K21"/>
  <c r="AA21" s="1"/>
  <c r="AI20"/>
  <c r="AH20"/>
  <c r="AG20"/>
  <c r="AF20"/>
  <c r="AE20"/>
  <c r="AD20"/>
  <c r="Y20"/>
  <c r="R20"/>
  <c r="K20"/>
  <c r="AI19"/>
  <c r="AH19"/>
  <c r="AG19"/>
  <c r="AF19"/>
  <c r="AE19"/>
  <c r="AD19"/>
  <c r="Y19"/>
  <c r="R19"/>
  <c r="K19"/>
  <c r="AI18"/>
  <c r="AH18"/>
  <c r="AG18"/>
  <c r="AF18"/>
  <c r="AE18"/>
  <c r="AD18"/>
  <c r="Y18"/>
  <c r="R18"/>
  <c r="K18"/>
  <c r="AI17"/>
  <c r="AH17"/>
  <c r="AG17"/>
  <c r="AF17"/>
  <c r="AE17"/>
  <c r="AD17"/>
  <c r="Y17"/>
  <c r="R17"/>
  <c r="K17"/>
  <c r="AI16"/>
  <c r="AH16"/>
  <c r="AG16"/>
  <c r="AF16"/>
  <c r="AE16"/>
  <c r="AD16"/>
  <c r="Y16"/>
  <c r="R16"/>
  <c r="K16"/>
  <c r="AI15"/>
  <c r="AH15"/>
  <c r="AG15"/>
  <c r="AF15"/>
  <c r="AE15"/>
  <c r="AD15"/>
  <c r="Y15"/>
  <c r="R15"/>
  <c r="K15"/>
  <c r="AI14"/>
  <c r="AH14"/>
  <c r="AG14"/>
  <c r="AF14"/>
  <c r="AE14"/>
  <c r="AD14"/>
  <c r="Y14"/>
  <c r="R14"/>
  <c r="K14"/>
  <c r="AI13"/>
  <c r="AH13"/>
  <c r="AG13"/>
  <c r="AF13"/>
  <c r="AE13"/>
  <c r="AD13"/>
  <c r="Y13"/>
  <c r="R13"/>
  <c r="K13"/>
  <c r="AI12"/>
  <c r="AH12"/>
  <c r="AG12"/>
  <c r="AF12"/>
  <c r="AE12"/>
  <c r="AD12"/>
  <c r="Y12"/>
  <c r="R12"/>
  <c r="K12"/>
  <c r="AI11"/>
  <c r="AH11"/>
  <c r="AG11"/>
  <c r="AF11"/>
  <c r="AE11"/>
  <c r="AD11"/>
  <c r="Y11"/>
  <c r="R11"/>
  <c r="K11"/>
  <c r="AI10"/>
  <c r="AH10"/>
  <c r="AG10"/>
  <c r="AF10"/>
  <c r="AE10"/>
  <c r="AD10"/>
  <c r="Y10"/>
  <c r="R10"/>
  <c r="K10"/>
  <c r="AI9"/>
  <c r="AH9"/>
  <c r="AG9"/>
  <c r="AF9"/>
  <c r="AE9"/>
  <c r="AD9"/>
  <c r="Y9"/>
  <c r="R9"/>
  <c r="K9"/>
  <c r="AI8"/>
  <c r="AH8"/>
  <c r="AG8"/>
  <c r="AF8"/>
  <c r="AE8"/>
  <c r="AD8"/>
  <c r="Y8"/>
  <c r="R8"/>
  <c r="K8"/>
  <c r="AI7"/>
  <c r="AH7"/>
  <c r="AG7"/>
  <c r="AF7"/>
  <c r="AE7"/>
  <c r="AD7"/>
  <c r="Y7"/>
  <c r="R7"/>
  <c r="K7"/>
  <c r="X6"/>
  <c r="W6"/>
  <c r="V6"/>
  <c r="U6"/>
  <c r="Y6" s="1"/>
  <c r="T6"/>
  <c r="S6"/>
  <c r="Q6"/>
  <c r="P6"/>
  <c r="O6"/>
  <c r="N6"/>
  <c r="M6"/>
  <c r="L6"/>
  <c r="J6"/>
  <c r="I6"/>
  <c r="H6"/>
  <c r="AI6" s="1"/>
  <c r="J130" i="1" s="1"/>
  <c r="G6" i="85"/>
  <c r="F6"/>
  <c r="E6"/>
  <c r="D125" i="46"/>
  <c r="C123"/>
  <c r="F122"/>
  <c r="E122"/>
  <c r="D122"/>
  <c r="F121"/>
  <c r="E121"/>
  <c r="D121"/>
  <c r="F120"/>
  <c r="E120"/>
  <c r="D120"/>
  <c r="F119"/>
  <c r="E119"/>
  <c r="D119"/>
  <c r="F118"/>
  <c r="E118"/>
  <c r="D118"/>
  <c r="F117"/>
  <c r="E117"/>
  <c r="D117"/>
  <c r="F116"/>
  <c r="E116"/>
  <c r="D116"/>
  <c r="F115"/>
  <c r="E115"/>
  <c r="D115"/>
  <c r="F114"/>
  <c r="E114"/>
  <c r="D114"/>
  <c r="F113"/>
  <c r="E113"/>
  <c r="D113"/>
  <c r="F112"/>
  <c r="E112"/>
  <c r="D112"/>
  <c r="F111"/>
  <c r="E111"/>
  <c r="D111"/>
  <c r="F110"/>
  <c r="E110"/>
  <c r="D110"/>
  <c r="F109"/>
  <c r="E109"/>
  <c r="D109"/>
  <c r="F108"/>
  <c r="E108"/>
  <c r="D108"/>
  <c r="F107"/>
  <c r="E107"/>
  <c r="D107"/>
  <c r="F106"/>
  <c r="E106"/>
  <c r="D106"/>
  <c r="F105"/>
  <c r="E105"/>
  <c r="D105"/>
  <c r="F104"/>
  <c r="E104"/>
  <c r="D104"/>
  <c r="F103"/>
  <c r="E103"/>
  <c r="D103"/>
  <c r="F102"/>
  <c r="E102"/>
  <c r="D102"/>
  <c r="F101"/>
  <c r="E101"/>
  <c r="D101"/>
  <c r="F100"/>
  <c r="E100"/>
  <c r="D100"/>
  <c r="F99"/>
  <c r="E99"/>
  <c r="D99"/>
  <c r="F98"/>
  <c r="E98"/>
  <c r="D98"/>
  <c r="F97"/>
  <c r="E97"/>
  <c r="D97"/>
  <c r="F96"/>
  <c r="E96"/>
  <c r="D96"/>
  <c r="F95"/>
  <c r="E95"/>
  <c r="D95"/>
  <c r="F94"/>
  <c r="E94"/>
  <c r="D94"/>
  <c r="F93"/>
  <c r="E93"/>
  <c r="D93"/>
  <c r="F92"/>
  <c r="E92"/>
  <c r="D92"/>
  <c r="F91"/>
  <c r="E91"/>
  <c r="D91"/>
  <c r="F90"/>
  <c r="E90"/>
  <c r="D90"/>
  <c r="F89"/>
  <c r="E89"/>
  <c r="D89"/>
  <c r="F88"/>
  <c r="E88"/>
  <c r="D88"/>
  <c r="F87"/>
  <c r="E87"/>
  <c r="D87"/>
  <c r="F86"/>
  <c r="E86"/>
  <c r="D86"/>
  <c r="F85"/>
  <c r="E85"/>
  <c r="D85"/>
  <c r="F84"/>
  <c r="E84"/>
  <c r="D84"/>
  <c r="F83"/>
  <c r="E83"/>
  <c r="D83"/>
  <c r="F82"/>
  <c r="E82"/>
  <c r="D82"/>
  <c r="F81"/>
  <c r="E81"/>
  <c r="D81"/>
  <c r="F80"/>
  <c r="E80"/>
  <c r="D80"/>
  <c r="F79"/>
  <c r="E79"/>
  <c r="D79"/>
  <c r="F78"/>
  <c r="E78"/>
  <c r="D78"/>
  <c r="F77"/>
  <c r="E77"/>
  <c r="D77"/>
  <c r="F76"/>
  <c r="E76"/>
  <c r="D76"/>
  <c r="F75"/>
  <c r="E75"/>
  <c r="D75"/>
  <c r="F74"/>
  <c r="E74"/>
  <c r="D74"/>
  <c r="F73"/>
  <c r="E73"/>
  <c r="D73"/>
  <c r="F72"/>
  <c r="E72"/>
  <c r="D72"/>
  <c r="F71"/>
  <c r="E71"/>
  <c r="D71"/>
  <c r="F70"/>
  <c r="E70"/>
  <c r="D70"/>
  <c r="F69"/>
  <c r="E69"/>
  <c r="D69"/>
  <c r="F68"/>
  <c r="E68"/>
  <c r="D68"/>
  <c r="F67"/>
  <c r="E67"/>
  <c r="D67"/>
  <c r="F66"/>
  <c r="E66"/>
  <c r="D66"/>
  <c r="F65"/>
  <c r="E65"/>
  <c r="D65"/>
  <c r="F64"/>
  <c r="E64"/>
  <c r="D64"/>
  <c r="F63"/>
  <c r="E63"/>
  <c r="D63"/>
  <c r="F62"/>
  <c r="E62"/>
  <c r="D62"/>
  <c r="F61"/>
  <c r="E61"/>
  <c r="D61"/>
  <c r="F60"/>
  <c r="E60"/>
  <c r="D60"/>
  <c r="F59"/>
  <c r="E59"/>
  <c r="D59"/>
  <c r="F58"/>
  <c r="E58"/>
  <c r="D58"/>
  <c r="F57"/>
  <c r="E57"/>
  <c r="D57"/>
  <c r="F56"/>
  <c r="E56"/>
  <c r="D56"/>
  <c r="F55"/>
  <c r="E55"/>
  <c r="D55"/>
  <c r="F54"/>
  <c r="E54"/>
  <c r="D54"/>
  <c r="F53"/>
  <c r="E53"/>
  <c r="D53"/>
  <c r="F52"/>
  <c r="E52"/>
  <c r="D52"/>
  <c r="F51"/>
  <c r="E51"/>
  <c r="D51"/>
  <c r="F50"/>
  <c r="E50"/>
  <c r="D50"/>
  <c r="F49"/>
  <c r="E49"/>
  <c r="D49"/>
  <c r="F48"/>
  <c r="E48"/>
  <c r="D48"/>
  <c r="F47"/>
  <c r="E47"/>
  <c r="D47"/>
  <c r="F46"/>
  <c r="E46"/>
  <c r="D46"/>
  <c r="F45"/>
  <c r="E45"/>
  <c r="D45"/>
  <c r="F44"/>
  <c r="E44"/>
  <c r="D44"/>
  <c r="F43"/>
  <c r="E43"/>
  <c r="D43"/>
  <c r="F42"/>
  <c r="E42"/>
  <c r="D42"/>
  <c r="F41"/>
  <c r="E41"/>
  <c r="D41"/>
  <c r="F40"/>
  <c r="E40"/>
  <c r="D40"/>
  <c r="F39"/>
  <c r="E39"/>
  <c r="D39"/>
  <c r="F38"/>
  <c r="E38"/>
  <c r="D38"/>
  <c r="F37"/>
  <c r="E37"/>
  <c r="D37"/>
  <c r="F36"/>
  <c r="E36"/>
  <c r="D36"/>
  <c r="F35"/>
  <c r="E35"/>
  <c r="D35"/>
  <c r="F34"/>
  <c r="E34"/>
  <c r="D34"/>
  <c r="F33"/>
  <c r="E33"/>
  <c r="D33"/>
  <c r="F32"/>
  <c r="E32"/>
  <c r="D32"/>
  <c r="F31"/>
  <c r="E31"/>
  <c r="D31"/>
  <c r="F30"/>
  <c r="E30"/>
  <c r="D30"/>
  <c r="F29"/>
  <c r="E29"/>
  <c r="D29"/>
  <c r="F28"/>
  <c r="E28"/>
  <c r="D28"/>
  <c r="F27"/>
  <c r="E27"/>
  <c r="D27"/>
  <c r="F26"/>
  <c r="E26"/>
  <c r="D26"/>
  <c r="F25"/>
  <c r="E25"/>
  <c r="D25"/>
  <c r="F24"/>
  <c r="E24"/>
  <c r="D24"/>
  <c r="F23"/>
  <c r="E23"/>
  <c r="D23"/>
  <c r="F22"/>
  <c r="E22"/>
  <c r="D22"/>
  <c r="F21"/>
  <c r="E21"/>
  <c r="D21"/>
  <c r="F20"/>
  <c r="E20"/>
  <c r="D20"/>
  <c r="F19"/>
  <c r="E19"/>
  <c r="D19"/>
  <c r="F18"/>
  <c r="E18"/>
  <c r="D18"/>
  <c r="F17"/>
  <c r="E17"/>
  <c r="D17"/>
  <c r="F16"/>
  <c r="E16"/>
  <c r="D16"/>
  <c r="F15"/>
  <c r="E15"/>
  <c r="D15"/>
  <c r="F14"/>
  <c r="E14"/>
  <c r="D14"/>
  <c r="F13"/>
  <c r="E13"/>
  <c r="D13"/>
  <c r="F12"/>
  <c r="E12"/>
  <c r="D12"/>
  <c r="F11"/>
  <c r="E11"/>
  <c r="D11"/>
  <c r="F10"/>
  <c r="E10"/>
  <c r="D10"/>
  <c r="F9"/>
  <c r="E9"/>
  <c r="D9"/>
  <c r="F8"/>
  <c r="E8"/>
  <c r="D8"/>
  <c r="F7"/>
  <c r="E7"/>
  <c r="D7"/>
  <c r="F6"/>
  <c r="E6"/>
  <c r="D6"/>
  <c r="F5"/>
  <c r="E5"/>
  <c r="D5"/>
  <c r="F4"/>
  <c r="E4"/>
  <c r="D4"/>
  <c r="F3"/>
  <c r="F123" s="1"/>
  <c r="E3"/>
  <c r="E123" s="1"/>
  <c r="D3"/>
  <c r="D123" s="1"/>
  <c r="H125" i="62"/>
  <c r="G125"/>
  <c r="F125" s="1"/>
  <c r="E125"/>
  <c r="D125"/>
  <c r="H124"/>
  <c r="G124"/>
  <c r="E124"/>
  <c r="D124"/>
  <c r="H123"/>
  <c r="G123"/>
  <c r="E123"/>
  <c r="D123"/>
  <c r="H122"/>
  <c r="G122"/>
  <c r="E122"/>
  <c r="D122"/>
  <c r="H121"/>
  <c r="G121"/>
  <c r="E121"/>
  <c r="D121"/>
  <c r="H120"/>
  <c r="G120"/>
  <c r="F120" s="1"/>
  <c r="E120"/>
  <c r="D120"/>
  <c r="H119"/>
  <c r="G119"/>
  <c r="E119"/>
  <c r="D119"/>
  <c r="H118"/>
  <c r="G118"/>
  <c r="F118" s="1"/>
  <c r="E118"/>
  <c r="D118"/>
  <c r="H117"/>
  <c r="G117"/>
  <c r="E117"/>
  <c r="D117"/>
  <c r="H116"/>
  <c r="G116"/>
  <c r="F116"/>
  <c r="E116"/>
  <c r="D116"/>
  <c r="H115"/>
  <c r="G115"/>
  <c r="E115"/>
  <c r="D115"/>
  <c r="H114"/>
  <c r="G114"/>
  <c r="F114" s="1"/>
  <c r="E114"/>
  <c r="D114"/>
  <c r="H113"/>
  <c r="G113"/>
  <c r="F113" s="1"/>
  <c r="E113"/>
  <c r="D113"/>
  <c r="H112"/>
  <c r="G112"/>
  <c r="F112" s="1"/>
  <c r="E112"/>
  <c r="D112"/>
  <c r="H111"/>
  <c r="G111"/>
  <c r="F111"/>
  <c r="E111"/>
  <c r="D111"/>
  <c r="H110"/>
  <c r="G110"/>
  <c r="E110"/>
  <c r="D110"/>
  <c r="H109"/>
  <c r="G109"/>
  <c r="E109"/>
  <c r="D109"/>
  <c r="H108"/>
  <c r="G108"/>
  <c r="F108" s="1"/>
  <c r="E108"/>
  <c r="D108"/>
  <c r="H107"/>
  <c r="G107"/>
  <c r="E107"/>
  <c r="D107"/>
  <c r="H106"/>
  <c r="G106"/>
  <c r="F106" s="1"/>
  <c r="E106"/>
  <c r="D106"/>
  <c r="H105"/>
  <c r="G105"/>
  <c r="F105" s="1"/>
  <c r="E105"/>
  <c r="D105"/>
  <c r="H104"/>
  <c r="G104"/>
  <c r="F104"/>
  <c r="E104"/>
  <c r="D104"/>
  <c r="H103"/>
  <c r="G103"/>
  <c r="F103" s="1"/>
  <c r="E103"/>
  <c r="D103"/>
  <c r="H102"/>
  <c r="G102"/>
  <c r="E102"/>
  <c r="D102"/>
  <c r="H101"/>
  <c r="G101"/>
  <c r="E101"/>
  <c r="D101"/>
  <c r="H100"/>
  <c r="G100"/>
  <c r="F100" s="1"/>
  <c r="E100"/>
  <c r="D100"/>
  <c r="H99"/>
  <c r="G99"/>
  <c r="E99"/>
  <c r="D99"/>
  <c r="H98"/>
  <c r="G98"/>
  <c r="F98" s="1"/>
  <c r="E98"/>
  <c r="D98"/>
  <c r="H97"/>
  <c r="G97"/>
  <c r="F97"/>
  <c r="E97"/>
  <c r="D97"/>
  <c r="H96"/>
  <c r="G96"/>
  <c r="F96" s="1"/>
  <c r="E96"/>
  <c r="D96"/>
  <c r="H95"/>
  <c r="G95"/>
  <c r="E95"/>
  <c r="D95"/>
  <c r="H94"/>
  <c r="G94"/>
  <c r="E94"/>
  <c r="D94"/>
  <c r="H93"/>
  <c r="G93"/>
  <c r="E93"/>
  <c r="D93"/>
  <c r="H92"/>
  <c r="G92"/>
  <c r="F92" s="1"/>
  <c r="E92"/>
  <c r="D92"/>
  <c r="H91"/>
  <c r="G91"/>
  <c r="E91"/>
  <c r="D91"/>
  <c r="H90"/>
  <c r="G90"/>
  <c r="E90"/>
  <c r="D90"/>
  <c r="H89"/>
  <c r="G89"/>
  <c r="F89" s="1"/>
  <c r="E89"/>
  <c r="D89"/>
  <c r="H88"/>
  <c r="G88"/>
  <c r="F88"/>
  <c r="E88"/>
  <c r="D88"/>
  <c r="H87"/>
  <c r="G87"/>
  <c r="E87"/>
  <c r="D87"/>
  <c r="H86"/>
  <c r="G86"/>
  <c r="E86"/>
  <c r="D86"/>
  <c r="H85"/>
  <c r="G85"/>
  <c r="E85"/>
  <c r="D85"/>
  <c r="H84"/>
  <c r="G84"/>
  <c r="E84"/>
  <c r="D84"/>
  <c r="H83"/>
  <c r="G83"/>
  <c r="F83" s="1"/>
  <c r="E83"/>
  <c r="D83"/>
  <c r="H82"/>
  <c r="G82"/>
  <c r="F82" s="1"/>
  <c r="E82"/>
  <c r="D82"/>
  <c r="H81"/>
  <c r="G81"/>
  <c r="F81" s="1"/>
  <c r="E81"/>
  <c r="D81"/>
  <c r="H80"/>
  <c r="G80"/>
  <c r="F80"/>
  <c r="E80"/>
  <c r="D80"/>
  <c r="H79"/>
  <c r="G79"/>
  <c r="E79"/>
  <c r="D79"/>
  <c r="H78"/>
  <c r="G78"/>
  <c r="E78"/>
  <c r="D78"/>
  <c r="H77"/>
  <c r="G77"/>
  <c r="E77"/>
  <c r="D77"/>
  <c r="H76"/>
  <c r="G76"/>
  <c r="F76" s="1"/>
  <c r="E76"/>
  <c r="D76"/>
  <c r="H75"/>
  <c r="G75"/>
  <c r="E75"/>
  <c r="D75"/>
  <c r="H74"/>
  <c r="G74"/>
  <c r="E74"/>
  <c r="D74"/>
  <c r="H73"/>
  <c r="G73"/>
  <c r="E73"/>
  <c r="D73"/>
  <c r="H72"/>
  <c r="G72"/>
  <c r="E72"/>
  <c r="D72"/>
  <c r="H71"/>
  <c r="G71"/>
  <c r="E71"/>
  <c r="D71"/>
  <c r="H70"/>
  <c r="G70"/>
  <c r="E70"/>
  <c r="D70"/>
  <c r="H69"/>
  <c r="G69"/>
  <c r="E69"/>
  <c r="D69"/>
  <c r="H68"/>
  <c r="G68"/>
  <c r="E68"/>
  <c r="D68"/>
  <c r="H67"/>
  <c r="G67"/>
  <c r="E67"/>
  <c r="D67"/>
  <c r="H66"/>
  <c r="G66"/>
  <c r="E66"/>
  <c r="D66"/>
  <c r="H65"/>
  <c r="G65"/>
  <c r="E65"/>
  <c r="D65"/>
  <c r="H64"/>
  <c r="G64"/>
  <c r="E64"/>
  <c r="D64"/>
  <c r="H63"/>
  <c r="G63"/>
  <c r="E63"/>
  <c r="D63"/>
  <c r="H62"/>
  <c r="G62"/>
  <c r="E62"/>
  <c r="D62"/>
  <c r="H61"/>
  <c r="G61"/>
  <c r="E61"/>
  <c r="D61"/>
  <c r="H60"/>
  <c r="G60"/>
  <c r="E60"/>
  <c r="D60"/>
  <c r="H59"/>
  <c r="G59"/>
  <c r="F59" s="1"/>
  <c r="E59"/>
  <c r="D59"/>
  <c r="H58"/>
  <c r="G58"/>
  <c r="F58" s="1"/>
  <c r="E58"/>
  <c r="D58"/>
  <c r="H57"/>
  <c r="G57"/>
  <c r="F57"/>
  <c r="E57"/>
  <c r="D57"/>
  <c r="H56"/>
  <c r="G56"/>
  <c r="F56" s="1"/>
  <c r="E56"/>
  <c r="D56"/>
  <c r="H55"/>
  <c r="G55"/>
  <c r="E55"/>
  <c r="D55"/>
  <c r="H54"/>
  <c r="G54"/>
  <c r="E54"/>
  <c r="D54"/>
  <c r="H53"/>
  <c r="G53"/>
  <c r="E53"/>
  <c r="D53"/>
  <c r="H52"/>
  <c r="G52"/>
  <c r="E52"/>
  <c r="D52"/>
  <c r="H51"/>
  <c r="G51"/>
  <c r="F51" s="1"/>
  <c r="E51"/>
  <c r="D51"/>
  <c r="H50"/>
  <c r="G50"/>
  <c r="F50" s="1"/>
  <c r="E50"/>
  <c r="D50"/>
  <c r="H49"/>
  <c r="G49"/>
  <c r="F49"/>
  <c r="E49"/>
  <c r="D49"/>
  <c r="H48"/>
  <c r="G48"/>
  <c r="F48" s="1"/>
  <c r="E48"/>
  <c r="D48"/>
  <c r="H47"/>
  <c r="G47"/>
  <c r="E47"/>
  <c r="D47"/>
  <c r="H46"/>
  <c r="G46"/>
  <c r="E46"/>
  <c r="D46"/>
  <c r="H45"/>
  <c r="G45"/>
  <c r="E45"/>
  <c r="D45"/>
  <c r="H44"/>
  <c r="G44"/>
  <c r="F44" s="1"/>
  <c r="E44"/>
  <c r="D44"/>
  <c r="H43"/>
  <c r="G43"/>
  <c r="E43"/>
  <c r="D43"/>
  <c r="H42"/>
  <c r="G42"/>
  <c r="E42"/>
  <c r="D42"/>
  <c r="H41"/>
  <c r="G41"/>
  <c r="E41"/>
  <c r="D41"/>
  <c r="H40"/>
  <c r="G40"/>
  <c r="E40"/>
  <c r="D40"/>
  <c r="H39"/>
  <c r="G39"/>
  <c r="E39"/>
  <c r="D39"/>
  <c r="H38"/>
  <c r="G38"/>
  <c r="E38"/>
  <c r="D38"/>
  <c r="H37"/>
  <c r="G37"/>
  <c r="E37"/>
  <c r="D37"/>
  <c r="H36"/>
  <c r="G36"/>
  <c r="E36"/>
  <c r="D36"/>
  <c r="H35"/>
  <c r="G35"/>
  <c r="E35"/>
  <c r="D35"/>
  <c r="H34"/>
  <c r="G34"/>
  <c r="E34"/>
  <c r="D34"/>
  <c r="H33"/>
  <c r="G33"/>
  <c r="E33"/>
  <c r="D33"/>
  <c r="H32"/>
  <c r="G32"/>
  <c r="F32" s="1"/>
  <c r="E32"/>
  <c r="D32"/>
  <c r="H31"/>
  <c r="G31"/>
  <c r="E31"/>
  <c r="D31"/>
  <c r="H30"/>
  <c r="G30"/>
  <c r="E30"/>
  <c r="D30"/>
  <c r="H29"/>
  <c r="G29"/>
  <c r="E29"/>
  <c r="D29"/>
  <c r="H28"/>
  <c r="G28"/>
  <c r="F28"/>
  <c r="E28"/>
  <c r="D28"/>
  <c r="H27"/>
  <c r="G27"/>
  <c r="E27"/>
  <c r="D27"/>
  <c r="H26"/>
  <c r="G26"/>
  <c r="F26" s="1"/>
  <c r="E26"/>
  <c r="D26"/>
  <c r="H25"/>
  <c r="G25"/>
  <c r="E25"/>
  <c r="D25"/>
  <c r="H24"/>
  <c r="G24"/>
  <c r="F24" s="1"/>
  <c r="E24"/>
  <c r="D24"/>
  <c r="H23"/>
  <c r="G23"/>
  <c r="E23"/>
  <c r="D23"/>
  <c r="H22"/>
  <c r="G22"/>
  <c r="E22"/>
  <c r="D22"/>
  <c r="H21"/>
  <c r="G21"/>
  <c r="E21"/>
  <c r="D21"/>
  <c r="H20"/>
  <c r="G20"/>
  <c r="E20"/>
  <c r="D20"/>
  <c r="H19"/>
  <c r="G19"/>
  <c r="F19" s="1"/>
  <c r="E19"/>
  <c r="D19"/>
  <c r="H18"/>
  <c r="G18"/>
  <c r="F18"/>
  <c r="E18"/>
  <c r="D18"/>
  <c r="H17"/>
  <c r="G17"/>
  <c r="E17"/>
  <c r="D17"/>
  <c r="H16"/>
  <c r="G16"/>
  <c r="F16" s="1"/>
  <c r="E16"/>
  <c r="D16"/>
  <c r="H15"/>
  <c r="G15"/>
  <c r="E15"/>
  <c r="D15"/>
  <c r="H14"/>
  <c r="H5" s="1"/>
  <c r="G14"/>
  <c r="F14" s="1"/>
  <c r="E14"/>
  <c r="D14"/>
  <c r="H13"/>
  <c r="G13"/>
  <c r="E13"/>
  <c r="D13"/>
  <c r="H12"/>
  <c r="G12"/>
  <c r="F12" s="1"/>
  <c r="E12"/>
  <c r="D12"/>
  <c r="H11"/>
  <c r="G11"/>
  <c r="E11"/>
  <c r="D11"/>
  <c r="H10"/>
  <c r="G10"/>
  <c r="E10"/>
  <c r="D10"/>
  <c r="H9"/>
  <c r="G9"/>
  <c r="E9"/>
  <c r="D9"/>
  <c r="H8"/>
  <c r="G8"/>
  <c r="E8"/>
  <c r="D8"/>
  <c r="H7"/>
  <c r="G7"/>
  <c r="E7"/>
  <c r="D7"/>
  <c r="H6"/>
  <c r="G6"/>
  <c r="E6"/>
  <c r="D6"/>
  <c r="AF5"/>
  <c r="AE5"/>
  <c r="AD5"/>
  <c r="AC5"/>
  <c r="AB5"/>
  <c r="AA5"/>
  <c r="Z5"/>
  <c r="Y5"/>
  <c r="X5"/>
  <c r="W5"/>
  <c r="V5"/>
  <c r="U5"/>
  <c r="T5"/>
  <c r="S5"/>
  <c r="R5"/>
  <c r="Q5"/>
  <c r="P5"/>
  <c r="O5"/>
  <c r="N5"/>
  <c r="M5"/>
  <c r="L5"/>
  <c r="K5"/>
  <c r="J5"/>
  <c r="I5"/>
  <c r="E5"/>
  <c r="D5"/>
  <c r="H124" i="61"/>
  <c r="G124"/>
  <c r="E124"/>
  <c r="D124"/>
  <c r="H123"/>
  <c r="G123"/>
  <c r="E123"/>
  <c r="D123"/>
  <c r="H122"/>
  <c r="G122"/>
  <c r="E122"/>
  <c r="D122"/>
  <c r="H121"/>
  <c r="G121"/>
  <c r="E121"/>
  <c r="D121"/>
  <c r="H120"/>
  <c r="G120"/>
  <c r="E120"/>
  <c r="D120"/>
  <c r="H119"/>
  <c r="G119"/>
  <c r="E119"/>
  <c r="D119"/>
  <c r="H118"/>
  <c r="G118"/>
  <c r="F118"/>
  <c r="E118"/>
  <c r="D118"/>
  <c r="H117"/>
  <c r="G117"/>
  <c r="E117"/>
  <c r="D117"/>
  <c r="H116"/>
  <c r="G116"/>
  <c r="F116" s="1"/>
  <c r="E116"/>
  <c r="D116"/>
  <c r="H115"/>
  <c r="G115"/>
  <c r="F115" s="1"/>
  <c r="E115"/>
  <c r="D115"/>
  <c r="H114"/>
  <c r="G114"/>
  <c r="F114" s="1"/>
  <c r="E114"/>
  <c r="D114"/>
  <c r="H113"/>
  <c r="G113"/>
  <c r="E113"/>
  <c r="D113"/>
  <c r="H112"/>
  <c r="G112"/>
  <c r="E112"/>
  <c r="D112"/>
  <c r="H111"/>
  <c r="G111"/>
  <c r="E111"/>
  <c r="D111"/>
  <c r="H110"/>
  <c r="G110"/>
  <c r="E110"/>
  <c r="D110"/>
  <c r="H109"/>
  <c r="G109"/>
  <c r="E109"/>
  <c r="D109"/>
  <c r="H108"/>
  <c r="G108"/>
  <c r="E108"/>
  <c r="D108"/>
  <c r="H107"/>
  <c r="G107"/>
  <c r="E107"/>
  <c r="D107"/>
  <c r="H106"/>
  <c r="G106"/>
  <c r="E106"/>
  <c r="D106"/>
  <c r="H105"/>
  <c r="G105"/>
  <c r="E105"/>
  <c r="D105"/>
  <c r="H104"/>
  <c r="G104"/>
  <c r="E104"/>
  <c r="D104"/>
  <c r="H103"/>
  <c r="G103"/>
  <c r="E103"/>
  <c r="D103"/>
  <c r="H102"/>
  <c r="G102"/>
  <c r="E102"/>
  <c r="D102"/>
  <c r="H101"/>
  <c r="G101"/>
  <c r="E101"/>
  <c r="D101"/>
  <c r="H100"/>
  <c r="G100"/>
  <c r="E100"/>
  <c r="D100"/>
  <c r="H99"/>
  <c r="G99"/>
  <c r="E99"/>
  <c r="D99"/>
  <c r="H98"/>
  <c r="G98"/>
  <c r="F98"/>
  <c r="E98"/>
  <c r="D98"/>
  <c r="H97"/>
  <c r="G97"/>
  <c r="F97" s="1"/>
  <c r="E97"/>
  <c r="D97"/>
  <c r="H96"/>
  <c r="G96"/>
  <c r="F96" s="1"/>
  <c r="E96"/>
  <c r="D96"/>
  <c r="H95"/>
  <c r="G95"/>
  <c r="F95" s="1"/>
  <c r="E95"/>
  <c r="D95"/>
  <c r="H94"/>
  <c r="G94"/>
  <c r="F94"/>
  <c r="E94"/>
  <c r="D94"/>
  <c r="H93"/>
  <c r="G93"/>
  <c r="E93"/>
  <c r="D93"/>
  <c r="H92"/>
  <c r="G92"/>
  <c r="E92"/>
  <c r="D92"/>
  <c r="H91"/>
  <c r="G91"/>
  <c r="E91"/>
  <c r="D91"/>
  <c r="H90"/>
  <c r="G90"/>
  <c r="E90"/>
  <c r="D90"/>
  <c r="H89"/>
  <c r="G89"/>
  <c r="F89" s="1"/>
  <c r="E89"/>
  <c r="D89"/>
  <c r="H88"/>
  <c r="G88"/>
  <c r="F88" s="1"/>
  <c r="E88"/>
  <c r="D88"/>
  <c r="H87"/>
  <c r="G87"/>
  <c r="E87"/>
  <c r="D87"/>
  <c r="H86"/>
  <c r="G86"/>
  <c r="F86" s="1"/>
  <c r="E86"/>
  <c r="D86"/>
  <c r="H85"/>
  <c r="G85"/>
  <c r="E85"/>
  <c r="D85"/>
  <c r="H84"/>
  <c r="G84"/>
  <c r="E84"/>
  <c r="D84"/>
  <c r="H83"/>
  <c r="G83"/>
  <c r="E83"/>
  <c r="D83"/>
  <c r="H82"/>
  <c r="G82"/>
  <c r="F82"/>
  <c r="E82"/>
  <c r="D82"/>
  <c r="H81"/>
  <c r="G81"/>
  <c r="E81"/>
  <c r="D81"/>
  <c r="H80"/>
  <c r="G80"/>
  <c r="E80"/>
  <c r="D80"/>
  <c r="H79"/>
  <c r="G79"/>
  <c r="E79"/>
  <c r="D79"/>
  <c r="H78"/>
  <c r="G78"/>
  <c r="E78"/>
  <c r="D78"/>
  <c r="H77"/>
  <c r="G77"/>
  <c r="E77"/>
  <c r="D77"/>
  <c r="H76"/>
  <c r="G76"/>
  <c r="E76"/>
  <c r="D76"/>
  <c r="H75"/>
  <c r="G75"/>
  <c r="E75"/>
  <c r="D75"/>
  <c r="H74"/>
  <c r="G74"/>
  <c r="F74" s="1"/>
  <c r="E74"/>
  <c r="D74"/>
  <c r="H73"/>
  <c r="G73"/>
  <c r="E73"/>
  <c r="D73"/>
  <c r="H72"/>
  <c r="G72"/>
  <c r="E72"/>
  <c r="D72"/>
  <c r="H71"/>
  <c r="G71"/>
  <c r="E71"/>
  <c r="D71"/>
  <c r="H70"/>
  <c r="G70"/>
  <c r="E70"/>
  <c r="D70"/>
  <c r="H69"/>
  <c r="G69"/>
  <c r="E69"/>
  <c r="D69"/>
  <c r="H68"/>
  <c r="G68"/>
  <c r="F68" s="1"/>
  <c r="E68"/>
  <c r="D68"/>
  <c r="H67"/>
  <c r="G67"/>
  <c r="F67" s="1"/>
  <c r="E67"/>
  <c r="D67"/>
  <c r="H66"/>
  <c r="G66"/>
  <c r="E66"/>
  <c r="D66"/>
  <c r="H65"/>
  <c r="G65"/>
  <c r="E65"/>
  <c r="D65"/>
  <c r="H64"/>
  <c r="G64"/>
  <c r="E64"/>
  <c r="D64"/>
  <c r="H63"/>
  <c r="G63"/>
  <c r="F63"/>
  <c r="E63"/>
  <c r="D63"/>
  <c r="H62"/>
  <c r="G62"/>
  <c r="F62"/>
  <c r="E62"/>
  <c r="D62"/>
  <c r="H61"/>
  <c r="G61"/>
  <c r="F61" s="1"/>
  <c r="E61"/>
  <c r="D61"/>
  <c r="H60"/>
  <c r="G60"/>
  <c r="E60"/>
  <c r="D60"/>
  <c r="H59"/>
  <c r="G59"/>
  <c r="F59" s="1"/>
  <c r="E59"/>
  <c r="D59"/>
  <c r="H58"/>
  <c r="G58"/>
  <c r="E58"/>
  <c r="D58"/>
  <c r="H57"/>
  <c r="G57"/>
  <c r="E57"/>
  <c r="D57"/>
  <c r="H56"/>
  <c r="G56"/>
  <c r="E56"/>
  <c r="D56"/>
  <c r="H55"/>
  <c r="G55"/>
  <c r="E55"/>
  <c r="D55"/>
  <c r="H54"/>
  <c r="G54"/>
  <c r="F54"/>
  <c r="E54"/>
  <c r="D54"/>
  <c r="H53"/>
  <c r="G53"/>
  <c r="F53"/>
  <c r="E53"/>
  <c r="D53"/>
  <c r="H52"/>
  <c r="G52"/>
  <c r="E52"/>
  <c r="D52"/>
  <c r="H51"/>
  <c r="G51"/>
  <c r="F51" s="1"/>
  <c r="E51"/>
  <c r="D51"/>
  <c r="H50"/>
  <c r="G50"/>
  <c r="E50"/>
  <c r="D50"/>
  <c r="H49"/>
  <c r="G49"/>
  <c r="E49"/>
  <c r="D49"/>
  <c r="H48"/>
  <c r="F48" s="1"/>
  <c r="G48"/>
  <c r="E48"/>
  <c r="D48"/>
  <c r="H47"/>
  <c r="G47"/>
  <c r="E47"/>
  <c r="D47"/>
  <c r="H46"/>
  <c r="G46"/>
  <c r="E46"/>
  <c r="D46"/>
  <c r="H45"/>
  <c r="G45"/>
  <c r="E45"/>
  <c r="D45"/>
  <c r="H44"/>
  <c r="G44"/>
  <c r="E44"/>
  <c r="D44"/>
  <c r="H43"/>
  <c r="G43"/>
  <c r="E43"/>
  <c r="D43"/>
  <c r="H42"/>
  <c r="G42"/>
  <c r="E42"/>
  <c r="D42"/>
  <c r="H41"/>
  <c r="G41"/>
  <c r="E41"/>
  <c r="D41"/>
  <c r="H40"/>
  <c r="G40"/>
  <c r="E40"/>
  <c r="D40"/>
  <c r="H39"/>
  <c r="G39"/>
  <c r="E39"/>
  <c r="D39"/>
  <c r="H38"/>
  <c r="G38"/>
  <c r="E38"/>
  <c r="D38"/>
  <c r="H37"/>
  <c r="G37"/>
  <c r="E37"/>
  <c r="D37"/>
  <c r="H36"/>
  <c r="G36"/>
  <c r="E36"/>
  <c r="D36"/>
  <c r="H35"/>
  <c r="G35"/>
  <c r="F35"/>
  <c r="E35"/>
  <c r="D35"/>
  <c r="H34"/>
  <c r="G34"/>
  <c r="F34"/>
  <c r="E34"/>
  <c r="D34"/>
  <c r="H33"/>
  <c r="G33"/>
  <c r="F33" s="1"/>
  <c r="E33"/>
  <c r="D33"/>
  <c r="H32"/>
  <c r="G32"/>
  <c r="F32" s="1"/>
  <c r="E32"/>
  <c r="D32"/>
  <c r="H31"/>
  <c r="G31"/>
  <c r="F31"/>
  <c r="E31"/>
  <c r="D31"/>
  <c r="H30"/>
  <c r="G30"/>
  <c r="E30"/>
  <c r="D30"/>
  <c r="H29"/>
  <c r="G29"/>
  <c r="E29"/>
  <c r="D29"/>
  <c r="H28"/>
  <c r="G28"/>
  <c r="F28"/>
  <c r="E28"/>
  <c r="D28"/>
  <c r="H27"/>
  <c r="G27"/>
  <c r="F27" s="1"/>
  <c r="E27"/>
  <c r="D27"/>
  <c r="H26"/>
  <c r="G26"/>
  <c r="E26"/>
  <c r="D26"/>
  <c r="H25"/>
  <c r="G25"/>
  <c r="E25"/>
  <c r="D25"/>
  <c r="H24"/>
  <c r="G24"/>
  <c r="F24" s="1"/>
  <c r="E24"/>
  <c r="D24"/>
  <c r="H23"/>
  <c r="G23"/>
  <c r="E23"/>
  <c r="D23"/>
  <c r="H22"/>
  <c r="G22"/>
  <c r="E22"/>
  <c r="D22"/>
  <c r="H21"/>
  <c r="G21"/>
  <c r="F21"/>
  <c r="E21"/>
  <c r="D21"/>
  <c r="H20"/>
  <c r="G20"/>
  <c r="F20"/>
  <c r="E20"/>
  <c r="D20"/>
  <c r="H19"/>
  <c r="G19"/>
  <c r="E19"/>
  <c r="D19"/>
  <c r="H18"/>
  <c r="G18"/>
  <c r="E18"/>
  <c r="D18"/>
  <c r="H17"/>
  <c r="G17"/>
  <c r="E17"/>
  <c r="D17"/>
  <c r="H16"/>
  <c r="G16"/>
  <c r="F16" s="1"/>
  <c r="E16"/>
  <c r="D16"/>
  <c r="H15"/>
  <c r="G15"/>
  <c r="E15"/>
  <c r="D15"/>
  <c r="H14"/>
  <c r="G14"/>
  <c r="E14"/>
  <c r="D14"/>
  <c r="H13"/>
  <c r="G13"/>
  <c r="E13"/>
  <c r="D13"/>
  <c r="H12"/>
  <c r="G12"/>
  <c r="E12"/>
  <c r="D12"/>
  <c r="H11"/>
  <c r="G11"/>
  <c r="E11"/>
  <c r="D11"/>
  <c r="H10"/>
  <c r="G10"/>
  <c r="E10"/>
  <c r="D10"/>
  <c r="H9"/>
  <c r="G9"/>
  <c r="E9"/>
  <c r="D9"/>
  <c r="H8"/>
  <c r="G8"/>
  <c r="E8"/>
  <c r="D8"/>
  <c r="H7"/>
  <c r="G7"/>
  <c r="E7"/>
  <c r="D7"/>
  <c r="H6"/>
  <c r="G6"/>
  <c r="E6"/>
  <c r="D6"/>
  <c r="H5"/>
  <c r="H4" s="1"/>
  <c r="G5"/>
  <c r="E5"/>
  <c r="D5"/>
  <c r="D4" s="1"/>
  <c r="AP4"/>
  <c r="AO4"/>
  <c r="AN4"/>
  <c r="AM4"/>
  <c r="AL4"/>
  <c r="AK4"/>
  <c r="AJ4"/>
  <c r="AI4"/>
  <c r="AH4"/>
  <c r="AG4"/>
  <c r="AF4"/>
  <c r="AE4"/>
  <c r="AD4"/>
  <c r="AC4"/>
  <c r="AB4"/>
  <c r="AA4"/>
  <c r="Z4"/>
  <c r="Y4"/>
  <c r="X4"/>
  <c r="W4"/>
  <c r="V4"/>
  <c r="U4"/>
  <c r="T4"/>
  <c r="S4"/>
  <c r="R4"/>
  <c r="Q4"/>
  <c r="P4"/>
  <c r="O4"/>
  <c r="N4"/>
  <c r="M4"/>
  <c r="L4"/>
  <c r="K4"/>
  <c r="J4"/>
  <c r="I4"/>
  <c r="G4"/>
  <c r="E4"/>
  <c r="E4" i="59"/>
  <c r="D4"/>
  <c r="H124" i="60"/>
  <c r="G124"/>
  <c r="E124"/>
  <c r="M126" i="79"/>
  <c r="D124" i="60"/>
  <c r="L126" i="79" s="1"/>
  <c r="H123" i="60"/>
  <c r="F123"/>
  <c r="G123"/>
  <c r="E123"/>
  <c r="M125" i="79" s="1"/>
  <c r="D123" i="60"/>
  <c r="L125" i="79" s="1"/>
  <c r="H122" i="60"/>
  <c r="G122"/>
  <c r="F122" s="1"/>
  <c r="E122"/>
  <c r="M124" i="79" s="1"/>
  <c r="D122" i="60"/>
  <c r="L124" i="79"/>
  <c r="H121" i="60"/>
  <c r="G121"/>
  <c r="F121" s="1"/>
  <c r="E121"/>
  <c r="M123" i="79" s="1"/>
  <c r="D121" i="60"/>
  <c r="L123" i="79" s="1"/>
  <c r="H120" i="60"/>
  <c r="G120"/>
  <c r="F120" s="1"/>
  <c r="E120"/>
  <c r="M122" i="79"/>
  <c r="D120" i="60"/>
  <c r="L122" i="79" s="1"/>
  <c r="H119" i="60"/>
  <c r="G119"/>
  <c r="F119" s="1"/>
  <c r="E119"/>
  <c r="M121" i="79" s="1"/>
  <c r="D119" i="60"/>
  <c r="L121" i="79" s="1"/>
  <c r="H118" i="60"/>
  <c r="G118"/>
  <c r="F118"/>
  <c r="E118"/>
  <c r="M120" i="79" s="1"/>
  <c r="D118" i="60"/>
  <c r="L120" i="79"/>
  <c r="H117" i="60"/>
  <c r="G117"/>
  <c r="F117" s="1"/>
  <c r="E117"/>
  <c r="M119" i="79" s="1"/>
  <c r="D117" i="60"/>
  <c r="L119" i="79" s="1"/>
  <c r="H116" i="60"/>
  <c r="G116"/>
  <c r="F116" s="1"/>
  <c r="E116"/>
  <c r="M118" i="79"/>
  <c r="D116" i="60"/>
  <c r="L118" i="79" s="1"/>
  <c r="H115" i="60"/>
  <c r="G115"/>
  <c r="E115"/>
  <c r="M117" i="79" s="1"/>
  <c r="D115" i="60"/>
  <c r="L117" i="79"/>
  <c r="H114" i="60"/>
  <c r="F114" s="1"/>
  <c r="G114"/>
  <c r="E114"/>
  <c r="M116" i="79" s="1"/>
  <c r="D114" i="60"/>
  <c r="L116" i="79" s="1"/>
  <c r="H113" i="60"/>
  <c r="G113"/>
  <c r="F113" s="1"/>
  <c r="E113"/>
  <c r="M115" i="79"/>
  <c r="D113" i="60"/>
  <c r="L115" i="79" s="1"/>
  <c r="H112" i="60"/>
  <c r="G112"/>
  <c r="F112" s="1"/>
  <c r="E112"/>
  <c r="M114" i="79"/>
  <c r="D112" i="60"/>
  <c r="L114" i="79" s="1"/>
  <c r="H111" i="60"/>
  <c r="G111"/>
  <c r="E111"/>
  <c r="M113" i="79" s="1"/>
  <c r="D111" i="60"/>
  <c r="L113" i="79"/>
  <c r="H110" i="60"/>
  <c r="G110"/>
  <c r="F110" s="1"/>
  <c r="E110"/>
  <c r="M112" i="79"/>
  <c r="D110" i="60"/>
  <c r="L112" i="79" s="1"/>
  <c r="H109" i="60"/>
  <c r="G109"/>
  <c r="E109"/>
  <c r="M111" i="79" s="1"/>
  <c r="D109" i="60"/>
  <c r="L111" i="79"/>
  <c r="H108" i="60"/>
  <c r="G108"/>
  <c r="E108"/>
  <c r="M110" i="79"/>
  <c r="D108" i="60"/>
  <c r="L110" i="79" s="1"/>
  <c r="H107" i="60"/>
  <c r="G107"/>
  <c r="E107"/>
  <c r="M109" i="79" s="1"/>
  <c r="D107" i="60"/>
  <c r="L109" i="79"/>
  <c r="H106" i="60"/>
  <c r="G106"/>
  <c r="F106" s="1"/>
  <c r="E106"/>
  <c r="M108" i="79" s="1"/>
  <c r="D106" i="60"/>
  <c r="L108" i="79"/>
  <c r="H105" i="60"/>
  <c r="G105"/>
  <c r="F105" s="1"/>
  <c r="E105"/>
  <c r="M107" i="79"/>
  <c r="D105" i="60"/>
  <c r="L107" i="79" s="1"/>
  <c r="H104" i="60"/>
  <c r="G104"/>
  <c r="F104" s="1"/>
  <c r="E104"/>
  <c r="M106" i="79"/>
  <c r="D104" i="60"/>
  <c r="L106" i="79" s="1"/>
  <c r="H103" i="60"/>
  <c r="G103"/>
  <c r="F103"/>
  <c r="E103"/>
  <c r="M105" i="79" s="1"/>
  <c r="D103" i="60"/>
  <c r="L105" i="79"/>
  <c r="H102" i="60"/>
  <c r="F102" s="1"/>
  <c r="G102"/>
  <c r="E102"/>
  <c r="M104" i="79" s="1"/>
  <c r="D102" i="60"/>
  <c r="L104" i="79"/>
  <c r="H101" i="60"/>
  <c r="G101"/>
  <c r="E101"/>
  <c r="M103" i="79"/>
  <c r="D101" i="60"/>
  <c r="L103" i="79" s="1"/>
  <c r="H100" i="60"/>
  <c r="G100"/>
  <c r="E100"/>
  <c r="M102" i="79" s="1"/>
  <c r="D100" i="60"/>
  <c r="L102" i="79"/>
  <c r="H99" i="60"/>
  <c r="G99"/>
  <c r="F99" s="1"/>
  <c r="E99"/>
  <c r="M101" i="79"/>
  <c r="D99" i="60"/>
  <c r="L101" i="79" s="1"/>
  <c r="H98" i="60"/>
  <c r="G98"/>
  <c r="F98" s="1"/>
  <c r="N100" i="79" s="1"/>
  <c r="E98" i="60"/>
  <c r="M100" i="79"/>
  <c r="D98" i="60"/>
  <c r="L100" i="79" s="1"/>
  <c r="H97" i="60"/>
  <c r="G97"/>
  <c r="E97"/>
  <c r="M99" i="79" s="1"/>
  <c r="D97" i="60"/>
  <c r="L99" i="79"/>
  <c r="H96" i="60"/>
  <c r="G96"/>
  <c r="E96"/>
  <c r="M98" i="79"/>
  <c r="D96" i="60"/>
  <c r="L98" i="79" s="1"/>
  <c r="H95" i="60"/>
  <c r="G95"/>
  <c r="E95"/>
  <c r="M97" i="79" s="1"/>
  <c r="D95" i="60"/>
  <c r="L97" i="79"/>
  <c r="H94" i="60"/>
  <c r="G94"/>
  <c r="E94"/>
  <c r="M96" i="79"/>
  <c r="D94" i="60"/>
  <c r="L96" i="79" s="1"/>
  <c r="H93" i="60"/>
  <c r="G93"/>
  <c r="E93"/>
  <c r="M95" i="79" s="1"/>
  <c r="D93" i="60"/>
  <c r="L95" i="79"/>
  <c r="H92" i="60"/>
  <c r="G92"/>
  <c r="E92"/>
  <c r="M94" i="79"/>
  <c r="D92" i="60"/>
  <c r="L94" i="79" s="1"/>
  <c r="H91" i="60"/>
  <c r="F91"/>
  <c r="G91"/>
  <c r="E91"/>
  <c r="M93" i="79"/>
  <c r="D91" i="60"/>
  <c r="L93" i="79" s="1"/>
  <c r="H90" i="60"/>
  <c r="G90"/>
  <c r="F90"/>
  <c r="E90"/>
  <c r="M92" i="79" s="1"/>
  <c r="D90" i="60"/>
  <c r="L92" i="79"/>
  <c r="H89" i="60"/>
  <c r="F89" s="1"/>
  <c r="G89"/>
  <c r="E89"/>
  <c r="M91" i="79" s="1"/>
  <c r="D89" i="60"/>
  <c r="L91" i="79"/>
  <c r="H88" i="60"/>
  <c r="G88"/>
  <c r="F88" s="1"/>
  <c r="E88"/>
  <c r="M90" i="79"/>
  <c r="D88" i="60"/>
  <c r="L90" i="79" s="1"/>
  <c r="H87" i="60"/>
  <c r="G87"/>
  <c r="F87" s="1"/>
  <c r="E87"/>
  <c r="M89" i="79"/>
  <c r="D87" i="60"/>
  <c r="L89" i="79" s="1"/>
  <c r="H86" i="60"/>
  <c r="G86"/>
  <c r="F86"/>
  <c r="E86"/>
  <c r="M88" i="79" s="1"/>
  <c r="D86" i="60"/>
  <c r="L88" i="79"/>
  <c r="H85" i="60"/>
  <c r="F85" s="1"/>
  <c r="G85"/>
  <c r="E85"/>
  <c r="M87" i="79" s="1"/>
  <c r="D85" i="60"/>
  <c r="L87" i="79"/>
  <c r="H84" i="60"/>
  <c r="G84"/>
  <c r="F84" s="1"/>
  <c r="E84"/>
  <c r="M86" i="79"/>
  <c r="D84" i="60"/>
  <c r="L86" i="79" s="1"/>
  <c r="H83" i="60"/>
  <c r="G83"/>
  <c r="F83" s="1"/>
  <c r="E83"/>
  <c r="M85" i="79"/>
  <c r="D83" i="60"/>
  <c r="L85" i="79" s="1"/>
  <c r="H82" i="60"/>
  <c r="G82"/>
  <c r="F82"/>
  <c r="E82"/>
  <c r="M84" i="79" s="1"/>
  <c r="D82" i="60"/>
  <c r="L84" i="79"/>
  <c r="H81" i="60"/>
  <c r="F81" s="1"/>
  <c r="G81"/>
  <c r="E81"/>
  <c r="M83" i="79" s="1"/>
  <c r="D81" i="60"/>
  <c r="L83" i="79"/>
  <c r="H80" i="60"/>
  <c r="G80"/>
  <c r="F80" s="1"/>
  <c r="E80"/>
  <c r="M82" i="79"/>
  <c r="D80" i="60"/>
  <c r="L82" i="79" s="1"/>
  <c r="H79" i="60"/>
  <c r="G79"/>
  <c r="F79" s="1"/>
  <c r="E79"/>
  <c r="M81" i="79"/>
  <c r="D79" i="60"/>
  <c r="L81" i="79" s="1"/>
  <c r="H78" i="60"/>
  <c r="G78"/>
  <c r="F78"/>
  <c r="E78"/>
  <c r="M80" i="79" s="1"/>
  <c r="D78" i="60"/>
  <c r="L80" i="79"/>
  <c r="H77" i="60"/>
  <c r="F77" s="1"/>
  <c r="G77"/>
  <c r="E77"/>
  <c r="M79" i="79" s="1"/>
  <c r="D77" i="60"/>
  <c r="L79" i="79"/>
  <c r="H76" i="60"/>
  <c r="G76"/>
  <c r="F76" s="1"/>
  <c r="E76"/>
  <c r="M78" i="79"/>
  <c r="D76" i="60"/>
  <c r="L78" i="79" s="1"/>
  <c r="H75" i="60"/>
  <c r="G75"/>
  <c r="F75" s="1"/>
  <c r="E75"/>
  <c r="M77" i="79"/>
  <c r="D75" i="60"/>
  <c r="L77" i="79" s="1"/>
  <c r="H74" i="60"/>
  <c r="G74"/>
  <c r="F74"/>
  <c r="E74"/>
  <c r="M76" i="79" s="1"/>
  <c r="D74" i="60"/>
  <c r="L76" i="79"/>
  <c r="H73" i="60"/>
  <c r="F73" s="1"/>
  <c r="G73"/>
  <c r="E73"/>
  <c r="M75" i="79" s="1"/>
  <c r="D73" i="60"/>
  <c r="L75" i="79"/>
  <c r="H72" i="60"/>
  <c r="G72"/>
  <c r="F72" s="1"/>
  <c r="E72"/>
  <c r="M74" i="79"/>
  <c r="D72" i="60"/>
  <c r="L74" i="79" s="1"/>
  <c r="H71" i="60"/>
  <c r="G71"/>
  <c r="F71" s="1"/>
  <c r="E71"/>
  <c r="M73" i="79"/>
  <c r="D71" i="60"/>
  <c r="L73" i="79" s="1"/>
  <c r="H70" i="60"/>
  <c r="G70"/>
  <c r="E70"/>
  <c r="M72" i="79" s="1"/>
  <c r="D70" i="60"/>
  <c r="L72" i="79"/>
  <c r="H69" i="60"/>
  <c r="G69"/>
  <c r="E69"/>
  <c r="M71" i="79"/>
  <c r="D69" i="60"/>
  <c r="L71" i="79" s="1"/>
  <c r="H68" i="60"/>
  <c r="G68"/>
  <c r="E68"/>
  <c r="M70" i="79" s="1"/>
  <c r="D68" i="60"/>
  <c r="L70" i="79"/>
  <c r="H67" i="60"/>
  <c r="F67" s="1"/>
  <c r="G67"/>
  <c r="E67"/>
  <c r="M69" i="79"/>
  <c r="D67" i="60"/>
  <c r="L69" i="79" s="1"/>
  <c r="H66" i="60"/>
  <c r="G66"/>
  <c r="F66" s="1"/>
  <c r="E66"/>
  <c r="M68" i="79"/>
  <c r="D66" i="60"/>
  <c r="L68" i="79" s="1"/>
  <c r="H65" i="60"/>
  <c r="G65"/>
  <c r="F65"/>
  <c r="E65"/>
  <c r="M67" i="79" s="1"/>
  <c r="D65" i="60"/>
  <c r="L67" i="79"/>
  <c r="H64" i="60"/>
  <c r="F64" s="1"/>
  <c r="G64"/>
  <c r="E64"/>
  <c r="M66" i="79" s="1"/>
  <c r="D64" i="60"/>
  <c r="L66" i="79"/>
  <c r="H63" i="60"/>
  <c r="G63"/>
  <c r="F63" s="1"/>
  <c r="N65" i="79" s="1"/>
  <c r="E63" i="60"/>
  <c r="M65" i="79" s="1"/>
  <c r="D63" i="60"/>
  <c r="L65" i="79"/>
  <c r="H62" i="60"/>
  <c r="G62"/>
  <c r="E62"/>
  <c r="M64" i="79"/>
  <c r="D62" i="60"/>
  <c r="L64" i="79" s="1"/>
  <c r="H61" i="60"/>
  <c r="G61"/>
  <c r="E61"/>
  <c r="M63" i="79" s="1"/>
  <c r="D61" i="60"/>
  <c r="L63" i="79"/>
  <c r="H60" i="60"/>
  <c r="G60"/>
  <c r="E60"/>
  <c r="M62" i="79"/>
  <c r="D60" i="60"/>
  <c r="L62" i="79" s="1"/>
  <c r="H59" i="60"/>
  <c r="G59"/>
  <c r="F59"/>
  <c r="E59"/>
  <c r="M61" i="79" s="1"/>
  <c r="D59" i="60"/>
  <c r="L61" i="79"/>
  <c r="H58" i="60"/>
  <c r="F58" s="1"/>
  <c r="G58"/>
  <c r="E58"/>
  <c r="M60" i="79" s="1"/>
  <c r="D58" i="60"/>
  <c r="L60" i="79"/>
  <c r="H57" i="60"/>
  <c r="G57"/>
  <c r="F57" s="1"/>
  <c r="E57"/>
  <c r="M59" i="79"/>
  <c r="D57" i="60"/>
  <c r="L59" i="79" s="1"/>
  <c r="H56" i="60"/>
  <c r="G56"/>
  <c r="E56"/>
  <c r="M58" i="79" s="1"/>
  <c r="D56" i="60"/>
  <c r="L58" i="79"/>
  <c r="H55" i="60"/>
  <c r="F55" s="1"/>
  <c r="G55"/>
  <c r="E55"/>
  <c r="M57" i="79" s="1"/>
  <c r="D55" i="60"/>
  <c r="L57" i="79"/>
  <c r="H54" i="60"/>
  <c r="G54"/>
  <c r="F54" s="1"/>
  <c r="E54"/>
  <c r="M56" i="79"/>
  <c r="D54" i="60"/>
  <c r="L56" i="79" s="1"/>
  <c r="H53" i="60"/>
  <c r="G53"/>
  <c r="F53" s="1"/>
  <c r="E53"/>
  <c r="M55" i="79"/>
  <c r="D53" i="60"/>
  <c r="L55" i="79" s="1"/>
  <c r="H52" i="60"/>
  <c r="G52"/>
  <c r="E52"/>
  <c r="M54" i="79" s="1"/>
  <c r="D52" i="60"/>
  <c r="L54" i="79"/>
  <c r="H51" i="60"/>
  <c r="G51"/>
  <c r="F51" s="1"/>
  <c r="E51"/>
  <c r="M53" i="79"/>
  <c r="D51" i="60"/>
  <c r="L53" i="79" s="1"/>
  <c r="H50" i="60"/>
  <c r="G50"/>
  <c r="E50"/>
  <c r="M52" i="79" s="1"/>
  <c r="D50" i="60"/>
  <c r="L52" i="79"/>
  <c r="H49" i="60"/>
  <c r="G49"/>
  <c r="E49"/>
  <c r="M51" i="79"/>
  <c r="D49" i="60"/>
  <c r="L51" i="79" s="1"/>
  <c r="H48" i="60"/>
  <c r="G48"/>
  <c r="E48"/>
  <c r="M50" i="79" s="1"/>
  <c r="D48" i="60"/>
  <c r="L50" i="79"/>
  <c r="H47" i="60"/>
  <c r="G47"/>
  <c r="E47"/>
  <c r="M49" i="79"/>
  <c r="D47" i="60"/>
  <c r="L49" i="79" s="1"/>
  <c r="H46" i="60"/>
  <c r="G46"/>
  <c r="E46"/>
  <c r="M48" i="79" s="1"/>
  <c r="D46" i="60"/>
  <c r="L48" i="79"/>
  <c r="H45" i="60"/>
  <c r="G45"/>
  <c r="E45"/>
  <c r="M47" i="79"/>
  <c r="D45" i="60"/>
  <c r="L47" i="79" s="1"/>
  <c r="H44" i="60"/>
  <c r="G44"/>
  <c r="E44"/>
  <c r="M46" i="79" s="1"/>
  <c r="D44" i="60"/>
  <c r="L46" i="79"/>
  <c r="H43" i="60"/>
  <c r="G43"/>
  <c r="E43"/>
  <c r="M45" i="79"/>
  <c r="D43" i="60"/>
  <c r="L45" i="79" s="1"/>
  <c r="H42" i="60"/>
  <c r="G42"/>
  <c r="E42"/>
  <c r="M44" i="79" s="1"/>
  <c r="D42" i="60"/>
  <c r="L44" i="79"/>
  <c r="H41" i="60"/>
  <c r="G41"/>
  <c r="E41"/>
  <c r="M43" i="79"/>
  <c r="D41" i="60"/>
  <c r="L43" i="79" s="1"/>
  <c r="H40" i="60"/>
  <c r="G40"/>
  <c r="E40"/>
  <c r="M42" i="79" s="1"/>
  <c r="D40" i="60"/>
  <c r="L42" i="79"/>
  <c r="H39" i="60"/>
  <c r="G39"/>
  <c r="E39"/>
  <c r="M41" i="79"/>
  <c r="D39" i="60"/>
  <c r="L41" i="79" s="1"/>
  <c r="H38" i="60"/>
  <c r="G38"/>
  <c r="E38"/>
  <c r="M40" i="79" s="1"/>
  <c r="D38" i="60"/>
  <c r="L40" i="79"/>
  <c r="H37" i="60"/>
  <c r="G37"/>
  <c r="E37"/>
  <c r="M39" i="79"/>
  <c r="D37" i="60"/>
  <c r="L39" i="79" s="1"/>
  <c r="H36" i="60"/>
  <c r="G36"/>
  <c r="E36"/>
  <c r="M38" i="79" s="1"/>
  <c r="D36" i="60"/>
  <c r="L38" i="79"/>
  <c r="H35" i="60"/>
  <c r="G35"/>
  <c r="F35" s="1"/>
  <c r="N37" i="79" s="1"/>
  <c r="E35" i="60"/>
  <c r="M37" i="79" s="1"/>
  <c r="D35" i="60"/>
  <c r="L37" i="79"/>
  <c r="H34" i="60"/>
  <c r="F34" s="1"/>
  <c r="G34"/>
  <c r="E34"/>
  <c r="M36" i="79" s="1"/>
  <c r="D34" i="60"/>
  <c r="L36" i="79"/>
  <c r="H33" i="60"/>
  <c r="G33"/>
  <c r="F33" s="1"/>
  <c r="E33"/>
  <c r="M35" i="79"/>
  <c r="D33" i="60"/>
  <c r="L35" i="79" s="1"/>
  <c r="H32" i="60"/>
  <c r="G32"/>
  <c r="E32"/>
  <c r="M34" i="79" s="1"/>
  <c r="D32" i="60"/>
  <c r="L34" i="79"/>
  <c r="H31" i="60"/>
  <c r="F31" s="1"/>
  <c r="G31"/>
  <c r="E31"/>
  <c r="M33" i="79" s="1"/>
  <c r="D31" i="60"/>
  <c r="L33" i="79"/>
  <c r="H30" i="60"/>
  <c r="G30"/>
  <c r="F30" s="1"/>
  <c r="E30"/>
  <c r="M32" i="79"/>
  <c r="D30" i="60"/>
  <c r="L32" i="79" s="1"/>
  <c r="H29" i="60"/>
  <c r="G29"/>
  <c r="F29" s="1"/>
  <c r="E29"/>
  <c r="M31" i="79"/>
  <c r="D29" i="60"/>
  <c r="L31" i="79" s="1"/>
  <c r="H28" i="60"/>
  <c r="G28"/>
  <c r="E28"/>
  <c r="M30" i="79" s="1"/>
  <c r="D28" i="60"/>
  <c r="L30" i="79"/>
  <c r="H27" i="60"/>
  <c r="G27"/>
  <c r="F27" s="1"/>
  <c r="E27"/>
  <c r="M29" i="79"/>
  <c r="D27" i="60"/>
  <c r="L29" i="79" s="1"/>
  <c r="H26" i="60"/>
  <c r="G26"/>
  <c r="E26"/>
  <c r="M28" i="79" s="1"/>
  <c r="D26" i="60"/>
  <c r="L28" i="79"/>
  <c r="H25" i="60"/>
  <c r="G25"/>
  <c r="E25"/>
  <c r="M27" i="79"/>
  <c r="D25" i="60"/>
  <c r="L27" i="79" s="1"/>
  <c r="H24" i="60"/>
  <c r="G24"/>
  <c r="E24"/>
  <c r="M26" i="79" s="1"/>
  <c r="D24" i="60"/>
  <c r="L26" i="79"/>
  <c r="H23" i="60"/>
  <c r="G23"/>
  <c r="E23"/>
  <c r="M25" i="79"/>
  <c r="D23" i="60"/>
  <c r="L25" i="79" s="1"/>
  <c r="H22" i="60"/>
  <c r="G22"/>
  <c r="E22"/>
  <c r="M24" i="79" s="1"/>
  <c r="D22" i="60"/>
  <c r="L24" i="79"/>
  <c r="H21" i="60"/>
  <c r="G21"/>
  <c r="E21"/>
  <c r="M23" i="79"/>
  <c r="D21" i="60"/>
  <c r="L23" i="79" s="1"/>
  <c r="H20" i="60"/>
  <c r="G20"/>
  <c r="F20" s="1"/>
  <c r="E20"/>
  <c r="M22" i="79"/>
  <c r="D20" i="60"/>
  <c r="L22" i="79" s="1"/>
  <c r="H19" i="60"/>
  <c r="G19"/>
  <c r="E19"/>
  <c r="M21" i="79" s="1"/>
  <c r="D19" i="60"/>
  <c r="L21" i="79"/>
  <c r="H18" i="60"/>
  <c r="G18"/>
  <c r="E18"/>
  <c r="M20" i="79"/>
  <c r="D18" i="60"/>
  <c r="L20" i="79" s="1"/>
  <c r="H17" i="60"/>
  <c r="G17"/>
  <c r="E17"/>
  <c r="M19" i="79" s="1"/>
  <c r="D17" i="60"/>
  <c r="L19" i="79"/>
  <c r="H16" i="60"/>
  <c r="G16"/>
  <c r="E16"/>
  <c r="M18" i="79"/>
  <c r="D16" i="60"/>
  <c r="L18" i="79" s="1"/>
  <c r="H15" i="60"/>
  <c r="G15"/>
  <c r="E15"/>
  <c r="M17" i="79" s="1"/>
  <c r="D15" i="60"/>
  <c r="L17" i="79"/>
  <c r="H14" i="60"/>
  <c r="G14"/>
  <c r="E14"/>
  <c r="M16" i="79"/>
  <c r="D14" i="60"/>
  <c r="L16" i="79" s="1"/>
  <c r="H13" i="60"/>
  <c r="G13"/>
  <c r="E13"/>
  <c r="M15" i="79" s="1"/>
  <c r="D13" i="60"/>
  <c r="L15" i="79"/>
  <c r="H12" i="60"/>
  <c r="G12"/>
  <c r="E12"/>
  <c r="M14" i="79"/>
  <c r="D12" i="60"/>
  <c r="L14" i="79" s="1"/>
  <c r="H11" i="60"/>
  <c r="G11"/>
  <c r="F11"/>
  <c r="E11"/>
  <c r="M13" i="79" s="1"/>
  <c r="D11" i="60"/>
  <c r="L13" i="79"/>
  <c r="H10" i="60"/>
  <c r="G10"/>
  <c r="E10"/>
  <c r="M12" i="79"/>
  <c r="D10" i="60"/>
  <c r="L12" i="79" s="1"/>
  <c r="H9" i="60"/>
  <c r="G9"/>
  <c r="E9"/>
  <c r="M11" i="79" s="1"/>
  <c r="D9" i="60"/>
  <c r="L11" i="79"/>
  <c r="H8" i="60"/>
  <c r="G8"/>
  <c r="E8"/>
  <c r="M10" i="79"/>
  <c r="D8" i="60"/>
  <c r="L10" i="79" s="1"/>
  <c r="H7" i="60"/>
  <c r="G7"/>
  <c r="E7"/>
  <c r="M9" i="79" s="1"/>
  <c r="D7" i="60"/>
  <c r="L9" i="79"/>
  <c r="H6" i="60"/>
  <c r="H4" s="1"/>
  <c r="G6"/>
  <c r="E6"/>
  <c r="M8" i="79"/>
  <c r="D6" i="60"/>
  <c r="L8" i="79" s="1"/>
  <c r="H5" i="60"/>
  <c r="G5"/>
  <c r="E5"/>
  <c r="M7" i="79" s="1"/>
  <c r="D5" i="60"/>
  <c r="L7" i="79"/>
  <c r="AL4" i="60"/>
  <c r="AK4"/>
  <c r="AJ4"/>
  <c r="AI4"/>
  <c r="AH4"/>
  <c r="AG4"/>
  <c r="AF4"/>
  <c r="AE4"/>
  <c r="AD4"/>
  <c r="AC4"/>
  <c r="AB4"/>
  <c r="AA4"/>
  <c r="Z4"/>
  <c r="Y4"/>
  <c r="X4"/>
  <c r="W4"/>
  <c r="V4"/>
  <c r="U4"/>
  <c r="T4"/>
  <c r="S4"/>
  <c r="R4"/>
  <c r="Q4"/>
  <c r="P4"/>
  <c r="O4"/>
  <c r="N4"/>
  <c r="M4"/>
  <c r="L4"/>
  <c r="K4"/>
  <c r="J4"/>
  <c r="I4"/>
  <c r="G4"/>
  <c r="E4"/>
  <c r="G4" i="58"/>
  <c r="F4"/>
  <c r="E4"/>
  <c r="D4"/>
  <c r="L4" i="57"/>
  <c r="K4"/>
  <c r="J4"/>
  <c r="I4"/>
  <c r="H4"/>
  <c r="G4"/>
  <c r="F4"/>
  <c r="E4"/>
  <c r="H125" i="56"/>
  <c r="G125"/>
  <c r="F125" s="1"/>
  <c r="J126" i="79" s="1"/>
  <c r="E125" i="56"/>
  <c r="I126" i="79"/>
  <c r="D125" i="56"/>
  <c r="H126" i="79" s="1"/>
  <c r="H124" i="56"/>
  <c r="G124"/>
  <c r="E124"/>
  <c r="I125" i="79" s="1"/>
  <c r="D124" i="56"/>
  <c r="H125" i="79"/>
  <c r="H123" i="56"/>
  <c r="F123" s="1"/>
  <c r="J124" i="79" s="1"/>
  <c r="G123" i="56"/>
  <c r="E123"/>
  <c r="I124" i="79" s="1"/>
  <c r="D123" i="56"/>
  <c r="H124" i="79"/>
  <c r="H122" i="56"/>
  <c r="G122"/>
  <c r="E122"/>
  <c r="I123" i="79"/>
  <c r="D122" i="56"/>
  <c r="H123" i="79" s="1"/>
  <c r="H121" i="56"/>
  <c r="G121"/>
  <c r="E121"/>
  <c r="I122" i="79" s="1"/>
  <c r="D121" i="56"/>
  <c r="H122" i="79"/>
  <c r="H120" i="56"/>
  <c r="G120"/>
  <c r="E120"/>
  <c r="I121" i="79"/>
  <c r="D120" i="56"/>
  <c r="H121" i="79" s="1"/>
  <c r="H119" i="56"/>
  <c r="G119"/>
  <c r="E119"/>
  <c r="I120" i="79" s="1"/>
  <c r="D119" i="56"/>
  <c r="H120" i="79"/>
  <c r="H118" i="56"/>
  <c r="F118" s="1"/>
  <c r="J119" i="79" s="1"/>
  <c r="G118" i="56"/>
  <c r="E118"/>
  <c r="I119" i="79" s="1"/>
  <c r="D118" i="56"/>
  <c r="H119" i="79"/>
  <c r="H117" i="56"/>
  <c r="F117" s="1"/>
  <c r="J118" i="79" s="1"/>
  <c r="G117" i="56"/>
  <c r="E117"/>
  <c r="I118" i="79" s="1"/>
  <c r="D117" i="56"/>
  <c r="H118" i="79"/>
  <c r="H116" i="56"/>
  <c r="G116"/>
  <c r="E116"/>
  <c r="I117" i="79"/>
  <c r="D116" i="56"/>
  <c r="H117" i="79" s="1"/>
  <c r="H115" i="56"/>
  <c r="G115"/>
  <c r="F115"/>
  <c r="J116" i="79" s="1"/>
  <c r="E115" i="56"/>
  <c r="I116" i="79"/>
  <c r="D115" i="56"/>
  <c r="H116" i="79" s="1"/>
  <c r="H114" i="56"/>
  <c r="G114"/>
  <c r="E114"/>
  <c r="I115" i="79" s="1"/>
  <c r="D114" i="56"/>
  <c r="H115" i="79"/>
  <c r="H113" i="56"/>
  <c r="G113"/>
  <c r="E113"/>
  <c r="I114" i="79"/>
  <c r="D113" i="56"/>
  <c r="H114" i="79" s="1"/>
  <c r="H112" i="56"/>
  <c r="G112"/>
  <c r="E112"/>
  <c r="I113" i="79" s="1"/>
  <c r="D112" i="56"/>
  <c r="H113" i="79"/>
  <c r="H111" i="56"/>
  <c r="F111" s="1"/>
  <c r="J112" i="79" s="1"/>
  <c r="G111" i="56"/>
  <c r="E111"/>
  <c r="I112" i="79" s="1"/>
  <c r="D111" i="56"/>
  <c r="H112" i="79"/>
  <c r="H110" i="56"/>
  <c r="G110"/>
  <c r="E110"/>
  <c r="I111" i="79"/>
  <c r="D110" i="56"/>
  <c r="H111" i="79" s="1"/>
  <c r="H109" i="56"/>
  <c r="G109"/>
  <c r="E109"/>
  <c r="I110" i="79" s="1"/>
  <c r="D109" i="56"/>
  <c r="H110" i="79"/>
  <c r="H108" i="56"/>
  <c r="G108"/>
  <c r="E108"/>
  <c r="I109" i="79"/>
  <c r="D108" i="56"/>
  <c r="H109" i="79" s="1"/>
  <c r="H107" i="56"/>
  <c r="G107"/>
  <c r="E107"/>
  <c r="I108" i="79" s="1"/>
  <c r="D107" i="56"/>
  <c r="H108" i="79" s="1"/>
  <c r="H106" i="56"/>
  <c r="G106"/>
  <c r="E106"/>
  <c r="I107" i="79" s="1"/>
  <c r="D106" i="56"/>
  <c r="H107" i="79" s="1"/>
  <c r="H105" i="56"/>
  <c r="G105"/>
  <c r="E105"/>
  <c r="I106" i="79" s="1"/>
  <c r="D105" i="56"/>
  <c r="H106" i="79" s="1"/>
  <c r="H104" i="56"/>
  <c r="G104"/>
  <c r="E104"/>
  <c r="I105" i="79" s="1"/>
  <c r="D104" i="56"/>
  <c r="H105" i="79" s="1"/>
  <c r="H103" i="56"/>
  <c r="F103" s="1"/>
  <c r="J104" i="79" s="1"/>
  <c r="G103" i="56"/>
  <c r="E103"/>
  <c r="I104" i="79" s="1"/>
  <c r="D103" i="56"/>
  <c r="H104" i="79" s="1"/>
  <c r="H102" i="56"/>
  <c r="G102"/>
  <c r="E102"/>
  <c r="I103" i="79" s="1"/>
  <c r="D102" i="56"/>
  <c r="H103" i="79" s="1"/>
  <c r="H101" i="56"/>
  <c r="G101"/>
  <c r="E101"/>
  <c r="I102" i="79" s="1"/>
  <c r="D101" i="56"/>
  <c r="H102" i="79" s="1"/>
  <c r="H100" i="56"/>
  <c r="G100"/>
  <c r="E100"/>
  <c r="I101" i="79" s="1"/>
  <c r="D100" i="56"/>
  <c r="H101" i="79" s="1"/>
  <c r="H99" i="56"/>
  <c r="G99"/>
  <c r="E99"/>
  <c r="I100" i="79" s="1"/>
  <c r="D99" i="56"/>
  <c r="H100" i="79" s="1"/>
  <c r="H98" i="56"/>
  <c r="G98"/>
  <c r="E98"/>
  <c r="I99" i="79" s="1"/>
  <c r="D98" i="56"/>
  <c r="H99" i="79" s="1"/>
  <c r="H97" i="56"/>
  <c r="G97"/>
  <c r="E97"/>
  <c r="I98" i="79" s="1"/>
  <c r="D97" i="56"/>
  <c r="H98" i="79" s="1"/>
  <c r="H96" i="56"/>
  <c r="G96"/>
  <c r="E96"/>
  <c r="I97" i="79" s="1"/>
  <c r="D96" i="56"/>
  <c r="H97" i="79" s="1"/>
  <c r="H95" i="56"/>
  <c r="F95" s="1"/>
  <c r="J96" i="79" s="1"/>
  <c r="G95" i="56"/>
  <c r="E95"/>
  <c r="I96" i="79" s="1"/>
  <c r="D95" i="56"/>
  <c r="H96" i="79" s="1"/>
  <c r="H94" i="56"/>
  <c r="F94" s="1"/>
  <c r="J95" i="79" s="1"/>
  <c r="G94" i="56"/>
  <c r="E94"/>
  <c r="I95" i="79" s="1"/>
  <c r="D94" i="56"/>
  <c r="H95" i="79" s="1"/>
  <c r="H93" i="56"/>
  <c r="F93" s="1"/>
  <c r="J94" i="79" s="1"/>
  <c r="G93" i="56"/>
  <c r="E93"/>
  <c r="I94" i="79" s="1"/>
  <c r="D93" i="56"/>
  <c r="H94" i="79" s="1"/>
  <c r="H92" i="56"/>
  <c r="F92" s="1"/>
  <c r="J93" i="79" s="1"/>
  <c r="G92" i="56"/>
  <c r="E92"/>
  <c r="I93" i="79" s="1"/>
  <c r="D92" i="56"/>
  <c r="H93" i="79" s="1"/>
  <c r="H91" i="56"/>
  <c r="F91" s="1"/>
  <c r="J92" i="79" s="1"/>
  <c r="G91" i="56"/>
  <c r="E91"/>
  <c r="I92" i="79" s="1"/>
  <c r="D91" i="56"/>
  <c r="H92" i="79" s="1"/>
  <c r="H90" i="56"/>
  <c r="G90"/>
  <c r="E90"/>
  <c r="I91" i="79" s="1"/>
  <c r="D90" i="56"/>
  <c r="H91" i="79" s="1"/>
  <c r="H89" i="56"/>
  <c r="G89"/>
  <c r="E89"/>
  <c r="I90" i="79" s="1"/>
  <c r="D89" i="56"/>
  <c r="H90" i="79" s="1"/>
  <c r="H88" i="56"/>
  <c r="G88"/>
  <c r="E88"/>
  <c r="I89" i="79" s="1"/>
  <c r="D88" i="56"/>
  <c r="H89" i="79" s="1"/>
  <c r="H87" i="56"/>
  <c r="G87"/>
  <c r="E87"/>
  <c r="I88" i="79" s="1"/>
  <c r="D87" i="56"/>
  <c r="H88" i="79" s="1"/>
  <c r="H86" i="56"/>
  <c r="F86" s="1"/>
  <c r="J87" i="79" s="1"/>
  <c r="G86" i="56"/>
  <c r="E86"/>
  <c r="I87" i="79" s="1"/>
  <c r="D86" i="56"/>
  <c r="H87" i="79" s="1"/>
  <c r="H85" i="56"/>
  <c r="F85" s="1"/>
  <c r="J86" i="79" s="1"/>
  <c r="G85" i="56"/>
  <c r="E85"/>
  <c r="I86" i="79" s="1"/>
  <c r="D85" i="56"/>
  <c r="H86" i="79" s="1"/>
  <c r="H84" i="56"/>
  <c r="F84" s="1"/>
  <c r="J85" i="79" s="1"/>
  <c r="G84" i="56"/>
  <c r="E84"/>
  <c r="I85" i="79" s="1"/>
  <c r="D84" i="56"/>
  <c r="H85" i="79" s="1"/>
  <c r="H83" i="56"/>
  <c r="F83" s="1"/>
  <c r="J84" i="79" s="1"/>
  <c r="G83" i="56"/>
  <c r="E83"/>
  <c r="I84" i="79" s="1"/>
  <c r="D83" i="56"/>
  <c r="H84" i="79" s="1"/>
  <c r="H82" i="56"/>
  <c r="G82"/>
  <c r="E82"/>
  <c r="I83" i="79" s="1"/>
  <c r="D82" i="56"/>
  <c r="H83" i="79" s="1"/>
  <c r="H81" i="56"/>
  <c r="G81"/>
  <c r="E81"/>
  <c r="I82" i="79" s="1"/>
  <c r="D81" i="56"/>
  <c r="H82" i="79" s="1"/>
  <c r="H80" i="56"/>
  <c r="G80"/>
  <c r="E80"/>
  <c r="I81" i="79" s="1"/>
  <c r="D80" i="56"/>
  <c r="H81" i="79" s="1"/>
  <c r="H79" i="56"/>
  <c r="G79"/>
  <c r="F79"/>
  <c r="J80" i="79" s="1"/>
  <c r="E79" i="56"/>
  <c r="I80" i="79" s="1"/>
  <c r="D79" i="56"/>
  <c r="H80" i="79" s="1"/>
  <c r="H78" i="56"/>
  <c r="G78"/>
  <c r="E78"/>
  <c r="I79" i="79" s="1"/>
  <c r="D78" i="56"/>
  <c r="H79" i="79" s="1"/>
  <c r="H77" i="56"/>
  <c r="G77"/>
  <c r="E77"/>
  <c r="I78" i="79" s="1"/>
  <c r="D77" i="56"/>
  <c r="H78" i="79" s="1"/>
  <c r="H76" i="56"/>
  <c r="G76"/>
  <c r="E76"/>
  <c r="I77" i="79" s="1"/>
  <c r="D76" i="56"/>
  <c r="H77" i="79" s="1"/>
  <c r="H75" i="56"/>
  <c r="G75"/>
  <c r="E75"/>
  <c r="I76" i="79" s="1"/>
  <c r="D75" i="56"/>
  <c r="H76" i="79" s="1"/>
  <c r="H74" i="56"/>
  <c r="G74"/>
  <c r="E74"/>
  <c r="I75" i="79" s="1"/>
  <c r="D74" i="56"/>
  <c r="H75" i="79" s="1"/>
  <c r="H73" i="56"/>
  <c r="G73"/>
  <c r="E73"/>
  <c r="I74" i="79" s="1"/>
  <c r="D73" i="56"/>
  <c r="H74" i="79" s="1"/>
  <c r="H72" i="56"/>
  <c r="G72"/>
  <c r="E72"/>
  <c r="I73" i="79" s="1"/>
  <c r="D72" i="56"/>
  <c r="H73" i="79" s="1"/>
  <c r="H71" i="56"/>
  <c r="G71"/>
  <c r="F71" s="1"/>
  <c r="J72" i="79" s="1"/>
  <c r="E71" i="56"/>
  <c r="I72" i="79" s="1"/>
  <c r="D71" i="56"/>
  <c r="H72" i="79" s="1"/>
  <c r="H70" i="56"/>
  <c r="G70"/>
  <c r="E70"/>
  <c r="I71" i="79" s="1"/>
  <c r="D70" i="56"/>
  <c r="H71" i="79" s="1"/>
  <c r="H69" i="56"/>
  <c r="G69"/>
  <c r="E69"/>
  <c r="I70" i="79" s="1"/>
  <c r="D69" i="56"/>
  <c r="H70" i="79" s="1"/>
  <c r="H68" i="56"/>
  <c r="F68" s="1"/>
  <c r="J69" i="79" s="1"/>
  <c r="G68" i="56"/>
  <c r="E68"/>
  <c r="I69" i="79" s="1"/>
  <c r="D68" i="56"/>
  <c r="H69" i="79" s="1"/>
  <c r="H67" i="56"/>
  <c r="F67" s="1"/>
  <c r="J68" i="79" s="1"/>
  <c r="G67" i="56"/>
  <c r="E67"/>
  <c r="I68" i="79" s="1"/>
  <c r="D67" i="56"/>
  <c r="H68" i="79" s="1"/>
  <c r="H66" i="56"/>
  <c r="G66"/>
  <c r="E66"/>
  <c r="I67" i="79" s="1"/>
  <c r="D66" i="56"/>
  <c r="H67" i="79" s="1"/>
  <c r="H65" i="56"/>
  <c r="G65"/>
  <c r="E65"/>
  <c r="I66" i="79" s="1"/>
  <c r="D65" i="56"/>
  <c r="H66" i="79" s="1"/>
  <c r="H64" i="56"/>
  <c r="F64" s="1"/>
  <c r="J65" i="79" s="1"/>
  <c r="G64" i="56"/>
  <c r="E64"/>
  <c r="I65" i="79" s="1"/>
  <c r="D64" i="56"/>
  <c r="H65" i="79" s="1"/>
  <c r="H63" i="56"/>
  <c r="F63" s="1"/>
  <c r="J64" i="79" s="1"/>
  <c r="G63" i="56"/>
  <c r="E63"/>
  <c r="I64" i="79" s="1"/>
  <c r="D63" i="56"/>
  <c r="H64" i="79" s="1"/>
  <c r="H62" i="56"/>
  <c r="G62"/>
  <c r="E62"/>
  <c r="I63" i="79" s="1"/>
  <c r="D62" i="56"/>
  <c r="H63" i="79" s="1"/>
  <c r="H61" i="56"/>
  <c r="G61"/>
  <c r="E61"/>
  <c r="I62" i="79" s="1"/>
  <c r="D61" i="56"/>
  <c r="H62" i="79" s="1"/>
  <c r="H60" i="56"/>
  <c r="G60"/>
  <c r="E60"/>
  <c r="I61" i="79" s="1"/>
  <c r="D60" i="56"/>
  <c r="H61" i="79" s="1"/>
  <c r="H59" i="56"/>
  <c r="G59"/>
  <c r="F59"/>
  <c r="J60" i="79" s="1"/>
  <c r="E59" i="56"/>
  <c r="I60" i="79" s="1"/>
  <c r="D59" i="56"/>
  <c r="H60" i="79" s="1"/>
  <c r="H58" i="56"/>
  <c r="G58"/>
  <c r="E58"/>
  <c r="I59" i="79" s="1"/>
  <c r="D58" i="56"/>
  <c r="H59" i="79" s="1"/>
  <c r="H57" i="56"/>
  <c r="G57"/>
  <c r="E57"/>
  <c r="I58" i="79" s="1"/>
  <c r="D57" i="56"/>
  <c r="H58" i="79" s="1"/>
  <c r="H56" i="56"/>
  <c r="G56"/>
  <c r="F56"/>
  <c r="J57" i="79" s="1"/>
  <c r="E56" i="56"/>
  <c r="I57" i="79" s="1"/>
  <c r="D56" i="56"/>
  <c r="H57" i="79" s="1"/>
  <c r="H55" i="56"/>
  <c r="G55"/>
  <c r="E55"/>
  <c r="I56" i="79" s="1"/>
  <c r="D55" i="56"/>
  <c r="H56" i="79" s="1"/>
  <c r="H54" i="56"/>
  <c r="G54"/>
  <c r="E54"/>
  <c r="I55" i="79" s="1"/>
  <c r="D54" i="56"/>
  <c r="H55" i="79" s="1"/>
  <c r="H53" i="56"/>
  <c r="G53"/>
  <c r="E53"/>
  <c r="I54" i="79" s="1"/>
  <c r="D53" i="56"/>
  <c r="H54" i="79" s="1"/>
  <c r="H52" i="56"/>
  <c r="G52"/>
  <c r="E52"/>
  <c r="I53" i="79" s="1"/>
  <c r="D52" i="56"/>
  <c r="H53" i="79" s="1"/>
  <c r="H51" i="56"/>
  <c r="G51"/>
  <c r="E51"/>
  <c r="I52" i="79" s="1"/>
  <c r="D51" i="56"/>
  <c r="H52" i="79" s="1"/>
  <c r="H50" i="56"/>
  <c r="G50"/>
  <c r="E50"/>
  <c r="I51" i="79" s="1"/>
  <c r="D50" i="56"/>
  <c r="H51" i="79" s="1"/>
  <c r="H49" i="56"/>
  <c r="G49"/>
  <c r="E49"/>
  <c r="I50" i="79" s="1"/>
  <c r="D49" i="56"/>
  <c r="H50" i="79" s="1"/>
  <c r="H48" i="56"/>
  <c r="F48" s="1"/>
  <c r="J49" i="79" s="1"/>
  <c r="G48" i="56"/>
  <c r="E48"/>
  <c r="I49" i="79" s="1"/>
  <c r="D48" i="56"/>
  <c r="H49" i="79" s="1"/>
  <c r="H47" i="56"/>
  <c r="F47" s="1"/>
  <c r="J48" i="79" s="1"/>
  <c r="G47" i="56"/>
  <c r="E47"/>
  <c r="I48" i="79" s="1"/>
  <c r="D47" i="56"/>
  <c r="H48" i="79" s="1"/>
  <c r="H46" i="56"/>
  <c r="G46"/>
  <c r="E46"/>
  <c r="I47" i="79" s="1"/>
  <c r="D46" i="56"/>
  <c r="H47" i="79" s="1"/>
  <c r="H45" i="56"/>
  <c r="G45"/>
  <c r="E45"/>
  <c r="I46" i="79" s="1"/>
  <c r="D45" i="56"/>
  <c r="H46" i="79" s="1"/>
  <c r="H44" i="56"/>
  <c r="G44"/>
  <c r="E44"/>
  <c r="I45" i="79" s="1"/>
  <c r="D44" i="56"/>
  <c r="H45" i="79" s="1"/>
  <c r="H43" i="56"/>
  <c r="G43"/>
  <c r="F43"/>
  <c r="J44" i="79" s="1"/>
  <c r="E43" i="56"/>
  <c r="I44" i="79" s="1"/>
  <c r="D43" i="56"/>
  <c r="H44" i="79" s="1"/>
  <c r="H42" i="56"/>
  <c r="G42"/>
  <c r="E42"/>
  <c r="I43" i="79" s="1"/>
  <c r="D42" i="56"/>
  <c r="H43" i="79" s="1"/>
  <c r="H41" i="56"/>
  <c r="G41"/>
  <c r="E41"/>
  <c r="I42" i="79" s="1"/>
  <c r="D41" i="56"/>
  <c r="H42" i="79" s="1"/>
  <c r="H40" i="56"/>
  <c r="G40"/>
  <c r="F40"/>
  <c r="J41" i="79" s="1"/>
  <c r="E40" i="56"/>
  <c r="I41" i="79" s="1"/>
  <c r="D40" i="56"/>
  <c r="H41" i="79" s="1"/>
  <c r="H39" i="56"/>
  <c r="G39"/>
  <c r="F39"/>
  <c r="J40" i="79" s="1"/>
  <c r="E39" i="56"/>
  <c r="I40" i="79" s="1"/>
  <c r="D39" i="56"/>
  <c r="H40" i="79" s="1"/>
  <c r="H38" i="56"/>
  <c r="G38"/>
  <c r="E38"/>
  <c r="I39" i="79" s="1"/>
  <c r="D38" i="56"/>
  <c r="H39" i="79" s="1"/>
  <c r="H37" i="56"/>
  <c r="G37"/>
  <c r="E37"/>
  <c r="I38" i="79" s="1"/>
  <c r="D37" i="56"/>
  <c r="H38" i="79" s="1"/>
  <c r="H36" i="56"/>
  <c r="G36"/>
  <c r="E36"/>
  <c r="I37" i="79" s="1"/>
  <c r="D36" i="56"/>
  <c r="H37" i="79" s="1"/>
  <c r="H35" i="56"/>
  <c r="F35" s="1"/>
  <c r="J36" i="79" s="1"/>
  <c r="G35" i="56"/>
  <c r="E35"/>
  <c r="I36" i="79" s="1"/>
  <c r="D35" i="56"/>
  <c r="H36" i="79" s="1"/>
  <c r="H34" i="56"/>
  <c r="G34"/>
  <c r="E34"/>
  <c r="I35" i="79" s="1"/>
  <c r="D34" i="56"/>
  <c r="H35" i="79" s="1"/>
  <c r="H33" i="56"/>
  <c r="G33"/>
  <c r="E33"/>
  <c r="I34" i="79" s="1"/>
  <c r="D33" i="56"/>
  <c r="H34" i="79" s="1"/>
  <c r="H32" i="56"/>
  <c r="F32" s="1"/>
  <c r="J33" i="79" s="1"/>
  <c r="G32" i="56"/>
  <c r="E32"/>
  <c r="I33" i="79" s="1"/>
  <c r="D32" i="56"/>
  <c r="H33" i="79" s="1"/>
  <c r="H31" i="56"/>
  <c r="F31" s="1"/>
  <c r="J32" i="79" s="1"/>
  <c r="G31" i="56"/>
  <c r="E31"/>
  <c r="I32" i="79" s="1"/>
  <c r="D31" i="56"/>
  <c r="H32" i="79" s="1"/>
  <c r="H30" i="56"/>
  <c r="F30" s="1"/>
  <c r="J31" i="79" s="1"/>
  <c r="G30" i="56"/>
  <c r="E30"/>
  <c r="I31" i="79" s="1"/>
  <c r="D30" i="56"/>
  <c r="H31" i="79" s="1"/>
  <c r="H29" i="56"/>
  <c r="F29" s="1"/>
  <c r="J30" i="79" s="1"/>
  <c r="G29" i="56"/>
  <c r="E29"/>
  <c r="I30" i="79" s="1"/>
  <c r="D29" i="56"/>
  <c r="H30" i="79" s="1"/>
  <c r="H28" i="56"/>
  <c r="F28" s="1"/>
  <c r="J29" i="79" s="1"/>
  <c r="G28" i="56"/>
  <c r="E28"/>
  <c r="I29" i="79" s="1"/>
  <c r="D28" i="56"/>
  <c r="H29" i="79" s="1"/>
  <c r="H27" i="56"/>
  <c r="G27"/>
  <c r="E27"/>
  <c r="I28" i="79" s="1"/>
  <c r="D27" i="56"/>
  <c r="H28" i="79" s="1"/>
  <c r="H26" i="56"/>
  <c r="G26"/>
  <c r="E26"/>
  <c r="I27" i="79" s="1"/>
  <c r="D26" i="56"/>
  <c r="H27" i="79" s="1"/>
  <c r="H25" i="56"/>
  <c r="G25"/>
  <c r="E25"/>
  <c r="I26" i="79" s="1"/>
  <c r="D25" i="56"/>
  <c r="H26" i="79" s="1"/>
  <c r="H24" i="56"/>
  <c r="G24"/>
  <c r="E24"/>
  <c r="I25" i="79" s="1"/>
  <c r="D24" i="56"/>
  <c r="H25" i="79" s="1"/>
  <c r="H23" i="56"/>
  <c r="F23" s="1"/>
  <c r="J24" i="79" s="1"/>
  <c r="G23" i="56"/>
  <c r="E23"/>
  <c r="I24" i="79" s="1"/>
  <c r="D23" i="56"/>
  <c r="H24" i="79" s="1"/>
  <c r="H22" i="56"/>
  <c r="G22"/>
  <c r="E22"/>
  <c r="I23" i="79" s="1"/>
  <c r="D22" i="56"/>
  <c r="H23" i="79" s="1"/>
  <c r="H21" i="56"/>
  <c r="G21"/>
  <c r="F21"/>
  <c r="J22" i="79" s="1"/>
  <c r="E21" i="56"/>
  <c r="I22" i="79" s="1"/>
  <c r="D21" i="56"/>
  <c r="H22" i="79" s="1"/>
  <c r="H20" i="56"/>
  <c r="G20"/>
  <c r="F20"/>
  <c r="J21" i="79" s="1"/>
  <c r="E20" i="56"/>
  <c r="I21" i="79" s="1"/>
  <c r="D20" i="56"/>
  <c r="H21" i="79" s="1"/>
  <c r="H19" i="56"/>
  <c r="G19"/>
  <c r="E19"/>
  <c r="I20" i="79" s="1"/>
  <c r="D19" i="56"/>
  <c r="H20" i="79" s="1"/>
  <c r="H18" i="56"/>
  <c r="G18"/>
  <c r="E18"/>
  <c r="I19" i="79" s="1"/>
  <c r="D18" i="56"/>
  <c r="H19" i="79" s="1"/>
  <c r="H17" i="56"/>
  <c r="G17"/>
  <c r="E17"/>
  <c r="I18" i="79" s="1"/>
  <c r="D17" i="56"/>
  <c r="H18" i="79" s="1"/>
  <c r="H16" i="56"/>
  <c r="F16" s="1"/>
  <c r="J17" i="79" s="1"/>
  <c r="G16" i="56"/>
  <c r="E16"/>
  <c r="I17" i="79" s="1"/>
  <c r="D16" i="56"/>
  <c r="H17" i="79" s="1"/>
  <c r="H15" i="56"/>
  <c r="G15"/>
  <c r="E15"/>
  <c r="I16" i="79" s="1"/>
  <c r="D15" i="56"/>
  <c r="H16" i="79" s="1"/>
  <c r="H14" i="56"/>
  <c r="G14"/>
  <c r="E14"/>
  <c r="I15" i="79" s="1"/>
  <c r="D14" i="56"/>
  <c r="H15" i="79" s="1"/>
  <c r="H13" i="56"/>
  <c r="G13"/>
  <c r="E13"/>
  <c r="I14" i="79" s="1"/>
  <c r="D13" i="56"/>
  <c r="H14" i="79" s="1"/>
  <c r="H12" i="56"/>
  <c r="G12"/>
  <c r="E12"/>
  <c r="I13" i="79" s="1"/>
  <c r="D12" i="56"/>
  <c r="H13" i="79" s="1"/>
  <c r="H11" i="56"/>
  <c r="G11"/>
  <c r="E11"/>
  <c r="I12" i="79" s="1"/>
  <c r="D11" i="56"/>
  <c r="H12" i="79" s="1"/>
  <c r="H10" i="56"/>
  <c r="G10"/>
  <c r="E10"/>
  <c r="I11" i="79" s="1"/>
  <c r="D10" i="56"/>
  <c r="H11" i="79" s="1"/>
  <c r="H9" i="56"/>
  <c r="G9"/>
  <c r="E9"/>
  <c r="I10" i="79" s="1"/>
  <c r="D9" i="56"/>
  <c r="H10" i="79" s="1"/>
  <c r="H8" i="56"/>
  <c r="G8"/>
  <c r="E8"/>
  <c r="I9" i="79" s="1"/>
  <c r="D8" i="56"/>
  <c r="H9" i="79" s="1"/>
  <c r="H7" i="56"/>
  <c r="F7" s="1"/>
  <c r="J8" i="79" s="1"/>
  <c r="G7" i="56"/>
  <c r="E7"/>
  <c r="I8" i="79" s="1"/>
  <c r="D7" i="56"/>
  <c r="H8" i="79" s="1"/>
  <c r="H6" i="56"/>
  <c r="G6"/>
  <c r="E6"/>
  <c r="I7" i="79" s="1"/>
  <c r="D6" i="56"/>
  <c r="H7" i="79" s="1"/>
  <c r="DX5" i="56"/>
  <c r="DW5"/>
  <c r="DV5"/>
  <c r="DU5"/>
  <c r="DT5"/>
  <c r="DS5"/>
  <c r="DR5"/>
  <c r="DQ5"/>
  <c r="DP5"/>
  <c r="DO5"/>
  <c r="DN5"/>
  <c r="DM5"/>
  <c r="DL5"/>
  <c r="DK5"/>
  <c r="DJ5"/>
  <c r="DI5"/>
  <c r="DH5"/>
  <c r="DG5"/>
  <c r="DF5"/>
  <c r="DE5"/>
  <c r="DD5"/>
  <c r="DC5"/>
  <c r="DB5"/>
  <c r="DA5"/>
  <c r="CZ5"/>
  <c r="CY5"/>
  <c r="CX5"/>
  <c r="CW5"/>
  <c r="CV5"/>
  <c r="CU5"/>
  <c r="CT5"/>
  <c r="CS5"/>
  <c r="CR5"/>
  <c r="CQ5"/>
  <c r="CP5"/>
  <c r="CO5"/>
  <c r="CN5"/>
  <c r="CM5"/>
  <c r="CL5"/>
  <c r="CK5"/>
  <c r="CJ5"/>
  <c r="CI5"/>
  <c r="CH5"/>
  <c r="CG5"/>
  <c r="CF5"/>
  <c r="CE5"/>
  <c r="CD5"/>
  <c r="CC5"/>
  <c r="CB5"/>
  <c r="CA5"/>
  <c r="BZ5"/>
  <c r="BY5"/>
  <c r="BX5"/>
  <c r="BW5"/>
  <c r="BV5"/>
  <c r="BU5"/>
  <c r="BT5"/>
  <c r="BS5"/>
  <c r="BR5"/>
  <c r="BQ5"/>
  <c r="BP5"/>
  <c r="BO5"/>
  <c r="BN5"/>
  <c r="BM5"/>
  <c r="BL5"/>
  <c r="BK5"/>
  <c r="BJ5"/>
  <c r="BI5"/>
  <c r="BH5"/>
  <c r="BG5"/>
  <c r="BF5"/>
  <c r="BE5"/>
  <c r="BD5"/>
  <c r="BC5"/>
  <c r="BB5"/>
  <c r="BA5"/>
  <c r="AZ5"/>
  <c r="AY5"/>
  <c r="AX5"/>
  <c r="AW5"/>
  <c r="AV5"/>
  <c r="AU5"/>
  <c r="AT5"/>
  <c r="AS5"/>
  <c r="AR5"/>
  <c r="AQ5"/>
  <c r="AP5"/>
  <c r="AO5"/>
  <c r="AN5"/>
  <c r="AM5"/>
  <c r="AL5"/>
  <c r="AK5"/>
  <c r="AJ5"/>
  <c r="AI5"/>
  <c r="AH5"/>
  <c r="AG5"/>
  <c r="AF5"/>
  <c r="AE5"/>
  <c r="AD5"/>
  <c r="AC5"/>
  <c r="AB5"/>
  <c r="AA5"/>
  <c r="Z5"/>
  <c r="Y5"/>
  <c r="X5"/>
  <c r="W5"/>
  <c r="V5"/>
  <c r="U5"/>
  <c r="T5"/>
  <c r="S5"/>
  <c r="R5"/>
  <c r="Q5"/>
  <c r="P5"/>
  <c r="O5"/>
  <c r="N5"/>
  <c r="M5"/>
  <c r="L5"/>
  <c r="K5"/>
  <c r="J5"/>
  <c r="I5"/>
  <c r="H5"/>
  <c r="G5"/>
  <c r="E5"/>
  <c r="I6" i="79" s="1"/>
  <c r="D5" i="56"/>
  <c r="H6" i="79" s="1"/>
  <c r="H124" i="55"/>
  <c r="G124"/>
  <c r="E124"/>
  <c r="D124"/>
  <c r="H123"/>
  <c r="G123"/>
  <c r="E123"/>
  <c r="D123"/>
  <c r="H122"/>
  <c r="G122"/>
  <c r="E122"/>
  <c r="D122"/>
  <c r="H121"/>
  <c r="G121"/>
  <c r="E121"/>
  <c r="D121"/>
  <c r="H120"/>
  <c r="G120"/>
  <c r="E120"/>
  <c r="D120"/>
  <c r="H119"/>
  <c r="G119"/>
  <c r="E119"/>
  <c r="D119"/>
  <c r="H118"/>
  <c r="F118" s="1"/>
  <c r="G118"/>
  <c r="E118"/>
  <c r="D118"/>
  <c r="H117"/>
  <c r="G117"/>
  <c r="E117"/>
  <c r="D117"/>
  <c r="H116"/>
  <c r="G116"/>
  <c r="E116"/>
  <c r="D116"/>
  <c r="H115"/>
  <c r="G115"/>
  <c r="E115"/>
  <c r="D115"/>
  <c r="H114"/>
  <c r="G114"/>
  <c r="E114"/>
  <c r="D114"/>
  <c r="H113"/>
  <c r="G113"/>
  <c r="E113"/>
  <c r="D113"/>
  <c r="H112"/>
  <c r="G112"/>
  <c r="F112" s="1"/>
  <c r="E112"/>
  <c r="D112"/>
  <c r="H111"/>
  <c r="G111"/>
  <c r="F111"/>
  <c r="E111"/>
  <c r="D111"/>
  <c r="H110"/>
  <c r="G110"/>
  <c r="E110"/>
  <c r="D110"/>
  <c r="H109"/>
  <c r="G109"/>
  <c r="F109" s="1"/>
  <c r="E109"/>
  <c r="D109"/>
  <c r="H108"/>
  <c r="F108" s="1"/>
  <c r="G108"/>
  <c r="E108"/>
  <c r="D108"/>
  <c r="H107"/>
  <c r="G107"/>
  <c r="F107" s="1"/>
  <c r="E107"/>
  <c r="D107"/>
  <c r="H106"/>
  <c r="G106"/>
  <c r="E106"/>
  <c r="D106"/>
  <c r="H105"/>
  <c r="G105"/>
  <c r="E105"/>
  <c r="D105"/>
  <c r="H104"/>
  <c r="G104"/>
  <c r="E104"/>
  <c r="D104"/>
  <c r="H103"/>
  <c r="G103"/>
  <c r="F103"/>
  <c r="E103"/>
  <c r="D103"/>
  <c r="H102"/>
  <c r="G102"/>
  <c r="E102"/>
  <c r="D102"/>
  <c r="H101"/>
  <c r="G101"/>
  <c r="F101" s="1"/>
  <c r="E101"/>
  <c r="D101"/>
  <c r="H100"/>
  <c r="F100" s="1"/>
  <c r="G100"/>
  <c r="E100"/>
  <c r="D100"/>
  <c r="H99"/>
  <c r="G99"/>
  <c r="F99" s="1"/>
  <c r="E99"/>
  <c r="D99"/>
  <c r="H98"/>
  <c r="G98"/>
  <c r="E98"/>
  <c r="D98"/>
  <c r="H97"/>
  <c r="G97"/>
  <c r="F97"/>
  <c r="E97"/>
  <c r="D97"/>
  <c r="H96"/>
  <c r="G96"/>
  <c r="F96" s="1"/>
  <c r="E96"/>
  <c r="D96"/>
  <c r="H95"/>
  <c r="F95" s="1"/>
  <c r="G95"/>
  <c r="E95"/>
  <c r="D95"/>
  <c r="H94"/>
  <c r="G94"/>
  <c r="E94"/>
  <c r="D94"/>
  <c r="H93"/>
  <c r="G93"/>
  <c r="F93" s="1"/>
  <c r="E93"/>
  <c r="D93"/>
  <c r="H92"/>
  <c r="G92"/>
  <c r="F92"/>
  <c r="E92"/>
  <c r="D92"/>
  <c r="H91"/>
  <c r="G91"/>
  <c r="F91" s="1"/>
  <c r="E91"/>
  <c r="D91"/>
  <c r="H90"/>
  <c r="F90" s="1"/>
  <c r="G90"/>
  <c r="E90"/>
  <c r="D90"/>
  <c r="H89"/>
  <c r="G89"/>
  <c r="F89" s="1"/>
  <c r="E89"/>
  <c r="D89"/>
  <c r="H88"/>
  <c r="G88"/>
  <c r="F88"/>
  <c r="E88"/>
  <c r="D88"/>
  <c r="H87"/>
  <c r="G87"/>
  <c r="F87" s="1"/>
  <c r="E87"/>
  <c r="D87"/>
  <c r="H86"/>
  <c r="G86"/>
  <c r="E86"/>
  <c r="D86"/>
  <c r="H85"/>
  <c r="G85"/>
  <c r="E85"/>
  <c r="D85"/>
  <c r="H84"/>
  <c r="G84"/>
  <c r="E84"/>
  <c r="D84"/>
  <c r="H83"/>
  <c r="F83" s="1"/>
  <c r="G83"/>
  <c r="E83"/>
  <c r="D83"/>
  <c r="H82"/>
  <c r="G82"/>
  <c r="E82"/>
  <c r="D82"/>
  <c r="H81"/>
  <c r="G81"/>
  <c r="E81"/>
  <c r="D81"/>
  <c r="H80"/>
  <c r="G80"/>
  <c r="F80" s="1"/>
  <c r="E80"/>
  <c r="D80"/>
  <c r="H79"/>
  <c r="G79"/>
  <c r="F79"/>
  <c r="E79"/>
  <c r="D79"/>
  <c r="H78"/>
  <c r="G78"/>
  <c r="E78"/>
  <c r="D78"/>
  <c r="H77"/>
  <c r="G77"/>
  <c r="E77"/>
  <c r="D77"/>
  <c r="H76"/>
  <c r="G76"/>
  <c r="E76"/>
  <c r="D76"/>
  <c r="H75"/>
  <c r="G75"/>
  <c r="F75" s="1"/>
  <c r="E75"/>
  <c r="D75"/>
  <c r="H74"/>
  <c r="F74" s="1"/>
  <c r="G74"/>
  <c r="E74"/>
  <c r="D74"/>
  <c r="H73"/>
  <c r="G73"/>
  <c r="E73"/>
  <c r="D73"/>
  <c r="H72"/>
  <c r="G72"/>
  <c r="F72" s="1"/>
  <c r="E72"/>
  <c r="D72"/>
  <c r="H71"/>
  <c r="G71"/>
  <c r="F71"/>
  <c r="E71"/>
  <c r="D71"/>
  <c r="H70"/>
  <c r="G70"/>
  <c r="E70"/>
  <c r="D70"/>
  <c r="H69"/>
  <c r="G69"/>
  <c r="F69" s="1"/>
  <c r="E69"/>
  <c r="D69"/>
  <c r="H68"/>
  <c r="F68" s="1"/>
  <c r="G68"/>
  <c r="E68"/>
  <c r="D68"/>
  <c r="H67"/>
  <c r="G67"/>
  <c r="F67" s="1"/>
  <c r="E67"/>
  <c r="D67"/>
  <c r="H66"/>
  <c r="G66"/>
  <c r="E66"/>
  <c r="D66"/>
  <c r="H65"/>
  <c r="G65"/>
  <c r="E65"/>
  <c r="D65"/>
  <c r="H64"/>
  <c r="G64"/>
  <c r="E64"/>
  <c r="D64"/>
  <c r="H63"/>
  <c r="G63"/>
  <c r="F63"/>
  <c r="E63"/>
  <c r="D63"/>
  <c r="H62"/>
  <c r="G62"/>
  <c r="E62"/>
  <c r="D62"/>
  <c r="H61"/>
  <c r="G61"/>
  <c r="E61"/>
  <c r="D61"/>
  <c r="H60"/>
  <c r="G60"/>
  <c r="F60" s="1"/>
  <c r="E60"/>
  <c r="D60"/>
  <c r="H59"/>
  <c r="F59" s="1"/>
  <c r="G59"/>
  <c r="E59"/>
  <c r="D59"/>
  <c r="H58"/>
  <c r="G58"/>
  <c r="F58" s="1"/>
  <c r="E58"/>
  <c r="D58"/>
  <c r="H57"/>
  <c r="G57"/>
  <c r="F57"/>
  <c r="E57"/>
  <c r="D57"/>
  <c r="H56"/>
  <c r="G56"/>
  <c r="F56" s="1"/>
  <c r="E56"/>
  <c r="D56"/>
  <c r="H55"/>
  <c r="G55"/>
  <c r="E55"/>
  <c r="D55"/>
  <c r="H54"/>
  <c r="G54"/>
  <c r="E54"/>
  <c r="D54"/>
  <c r="H53"/>
  <c r="G53"/>
  <c r="E53"/>
  <c r="D53"/>
  <c r="H52"/>
  <c r="F52" s="1"/>
  <c r="G52"/>
  <c r="E52"/>
  <c r="D52"/>
  <c r="H51"/>
  <c r="G51"/>
  <c r="E51"/>
  <c r="D51"/>
  <c r="H50"/>
  <c r="G50"/>
  <c r="E50"/>
  <c r="D50"/>
  <c r="H49"/>
  <c r="G49"/>
  <c r="E49"/>
  <c r="D49"/>
  <c r="H48"/>
  <c r="G48"/>
  <c r="E48"/>
  <c r="D48"/>
  <c r="H47"/>
  <c r="G47"/>
  <c r="F47" s="1"/>
  <c r="E47"/>
  <c r="D47"/>
  <c r="H46"/>
  <c r="G46"/>
  <c r="F46"/>
  <c r="E46"/>
  <c r="D46"/>
  <c r="H45"/>
  <c r="G45"/>
  <c r="E45"/>
  <c r="D45"/>
  <c r="H44"/>
  <c r="G44"/>
  <c r="F44" s="1"/>
  <c r="E44"/>
  <c r="D44"/>
  <c r="H43"/>
  <c r="G43"/>
  <c r="E43"/>
  <c r="D43"/>
  <c r="H42"/>
  <c r="G42"/>
  <c r="E42"/>
  <c r="D42"/>
  <c r="H41"/>
  <c r="G41"/>
  <c r="E41"/>
  <c r="D41"/>
  <c r="H40"/>
  <c r="G40"/>
  <c r="E40"/>
  <c r="D40"/>
  <c r="H39"/>
  <c r="F39" s="1"/>
  <c r="G39"/>
  <c r="E39"/>
  <c r="D39"/>
  <c r="H38"/>
  <c r="G38"/>
  <c r="F38" s="1"/>
  <c r="E38"/>
  <c r="D38"/>
  <c r="H37"/>
  <c r="G37"/>
  <c r="E37"/>
  <c r="D37"/>
  <c r="H36"/>
  <c r="G36"/>
  <c r="F36"/>
  <c r="E36"/>
  <c r="D36"/>
  <c r="H35"/>
  <c r="G35"/>
  <c r="E35"/>
  <c r="D35"/>
  <c r="H34"/>
  <c r="G34"/>
  <c r="F34" s="1"/>
  <c r="E34"/>
  <c r="D34"/>
  <c r="H33"/>
  <c r="G33"/>
  <c r="E33"/>
  <c r="D33"/>
  <c r="H32"/>
  <c r="F32" s="1"/>
  <c r="G32"/>
  <c r="E32"/>
  <c r="D32"/>
  <c r="H31"/>
  <c r="G31"/>
  <c r="F31" s="1"/>
  <c r="E31"/>
  <c r="D31"/>
  <c r="H30"/>
  <c r="G30"/>
  <c r="F30"/>
  <c r="E30"/>
  <c r="D30"/>
  <c r="H29"/>
  <c r="G29"/>
  <c r="F29" s="1"/>
  <c r="E29"/>
  <c r="D29"/>
  <c r="H28"/>
  <c r="G28"/>
  <c r="E28"/>
  <c r="D28"/>
  <c r="H27"/>
  <c r="F27" s="1"/>
  <c r="G27"/>
  <c r="E27"/>
  <c r="D27"/>
  <c r="H26"/>
  <c r="G26"/>
  <c r="F26" s="1"/>
  <c r="E26"/>
  <c r="D26"/>
  <c r="H25"/>
  <c r="G25"/>
  <c r="F25"/>
  <c r="E25"/>
  <c r="D25"/>
  <c r="H24"/>
  <c r="G24"/>
  <c r="F24" s="1"/>
  <c r="E24"/>
  <c r="D24"/>
  <c r="H23"/>
  <c r="G23"/>
  <c r="E23"/>
  <c r="D23"/>
  <c r="H22"/>
  <c r="G22"/>
  <c r="E22"/>
  <c r="D22"/>
  <c r="H21"/>
  <c r="G21"/>
  <c r="E21"/>
  <c r="D21"/>
  <c r="H20"/>
  <c r="G20"/>
  <c r="E20"/>
  <c r="D20"/>
  <c r="H19"/>
  <c r="G19"/>
  <c r="E19"/>
  <c r="D19"/>
  <c r="H18"/>
  <c r="G18"/>
  <c r="E18"/>
  <c r="D18"/>
  <c r="H17"/>
  <c r="G17"/>
  <c r="E17"/>
  <c r="D17"/>
  <c r="H16"/>
  <c r="G16"/>
  <c r="E16"/>
  <c r="D16"/>
  <c r="H15"/>
  <c r="G15"/>
  <c r="E15"/>
  <c r="D15"/>
  <c r="H14"/>
  <c r="G14"/>
  <c r="E14"/>
  <c r="D14"/>
  <c r="H13"/>
  <c r="G13"/>
  <c r="E13"/>
  <c r="D13"/>
  <c r="H12"/>
  <c r="G12"/>
  <c r="E12"/>
  <c r="D12"/>
  <c r="H11"/>
  <c r="G11"/>
  <c r="E11"/>
  <c r="D11"/>
  <c r="H10"/>
  <c r="H4" s="1"/>
  <c r="G10"/>
  <c r="F10" s="1"/>
  <c r="E10"/>
  <c r="D10"/>
  <c r="H9"/>
  <c r="G9"/>
  <c r="E9"/>
  <c r="D9"/>
  <c r="H8"/>
  <c r="G8"/>
  <c r="E8"/>
  <c r="D8"/>
  <c r="H7"/>
  <c r="G7"/>
  <c r="E7"/>
  <c r="D7"/>
  <c r="H6"/>
  <c r="G6"/>
  <c r="E6"/>
  <c r="D6"/>
  <c r="D4" s="1"/>
  <c r="H5"/>
  <c r="G5"/>
  <c r="E5"/>
  <c r="E4" s="1"/>
  <c r="D5"/>
  <c r="Z4"/>
  <c r="Y4"/>
  <c r="X4"/>
  <c r="W4"/>
  <c r="V4"/>
  <c r="U4"/>
  <c r="T4"/>
  <c r="S4"/>
  <c r="R4"/>
  <c r="Q4"/>
  <c r="P4"/>
  <c r="O4"/>
  <c r="N4"/>
  <c r="M4"/>
  <c r="L4"/>
  <c r="K4"/>
  <c r="J4"/>
  <c r="I4"/>
  <c r="G4"/>
  <c r="H124" i="54"/>
  <c r="G124"/>
  <c r="E124"/>
  <c r="D124"/>
  <c r="H123"/>
  <c r="G123"/>
  <c r="E123"/>
  <c r="D123"/>
  <c r="H122"/>
  <c r="G122"/>
  <c r="E122"/>
  <c r="D122"/>
  <c r="H121"/>
  <c r="G121"/>
  <c r="E121"/>
  <c r="D121"/>
  <c r="H120"/>
  <c r="G120"/>
  <c r="E120"/>
  <c r="D120"/>
  <c r="H119"/>
  <c r="G119"/>
  <c r="E119"/>
  <c r="D119"/>
  <c r="H118"/>
  <c r="G118"/>
  <c r="E118"/>
  <c r="D118"/>
  <c r="H117"/>
  <c r="G117"/>
  <c r="E117"/>
  <c r="D117"/>
  <c r="H116"/>
  <c r="G116"/>
  <c r="E116"/>
  <c r="D116"/>
  <c r="H115"/>
  <c r="G115"/>
  <c r="E115"/>
  <c r="D115"/>
  <c r="H114"/>
  <c r="G114"/>
  <c r="E114"/>
  <c r="D114"/>
  <c r="H113"/>
  <c r="G113"/>
  <c r="E113"/>
  <c r="D113"/>
  <c r="H112"/>
  <c r="G112"/>
  <c r="E112"/>
  <c r="D112"/>
  <c r="H111"/>
  <c r="G111"/>
  <c r="E111"/>
  <c r="D111"/>
  <c r="H110"/>
  <c r="G110"/>
  <c r="E110"/>
  <c r="D110"/>
  <c r="H109"/>
  <c r="G109"/>
  <c r="E109"/>
  <c r="D109"/>
  <c r="H108"/>
  <c r="G108"/>
  <c r="E108"/>
  <c r="D108"/>
  <c r="H107"/>
  <c r="G107"/>
  <c r="E107"/>
  <c r="D107"/>
  <c r="H106"/>
  <c r="G106"/>
  <c r="E106"/>
  <c r="D106"/>
  <c r="H105"/>
  <c r="G105"/>
  <c r="E105"/>
  <c r="D105"/>
  <c r="H104"/>
  <c r="G104"/>
  <c r="E104"/>
  <c r="D104"/>
  <c r="H103"/>
  <c r="G103"/>
  <c r="E103"/>
  <c r="D103"/>
  <c r="H102"/>
  <c r="G102"/>
  <c r="E102"/>
  <c r="D102"/>
  <c r="H101"/>
  <c r="G101"/>
  <c r="E101"/>
  <c r="D101"/>
  <c r="H100"/>
  <c r="G100"/>
  <c r="E100"/>
  <c r="D100"/>
  <c r="H99"/>
  <c r="G99"/>
  <c r="E99"/>
  <c r="D99"/>
  <c r="H98"/>
  <c r="G98"/>
  <c r="E98"/>
  <c r="D98"/>
  <c r="H97"/>
  <c r="G97"/>
  <c r="E97"/>
  <c r="D97"/>
  <c r="H96"/>
  <c r="G96"/>
  <c r="E96"/>
  <c r="D96"/>
  <c r="H95"/>
  <c r="G95"/>
  <c r="E95"/>
  <c r="D95"/>
  <c r="H94"/>
  <c r="G94"/>
  <c r="E94"/>
  <c r="D94"/>
  <c r="H93"/>
  <c r="G93"/>
  <c r="E93"/>
  <c r="D93"/>
  <c r="H92"/>
  <c r="G92"/>
  <c r="E92"/>
  <c r="D92"/>
  <c r="H91"/>
  <c r="G91"/>
  <c r="E91"/>
  <c r="D91"/>
  <c r="H90"/>
  <c r="G90"/>
  <c r="E90"/>
  <c r="D90"/>
  <c r="H89"/>
  <c r="G89"/>
  <c r="E89"/>
  <c r="D89"/>
  <c r="H88"/>
  <c r="G88"/>
  <c r="E88"/>
  <c r="D88"/>
  <c r="H87"/>
  <c r="G87"/>
  <c r="E87"/>
  <c r="D87"/>
  <c r="H86"/>
  <c r="G86"/>
  <c r="E86"/>
  <c r="D86"/>
  <c r="H85"/>
  <c r="G85"/>
  <c r="E85"/>
  <c r="D85"/>
  <c r="H84"/>
  <c r="G84"/>
  <c r="E84"/>
  <c r="D84"/>
  <c r="H83"/>
  <c r="G83"/>
  <c r="E83"/>
  <c r="D83"/>
  <c r="H82"/>
  <c r="G82"/>
  <c r="E82"/>
  <c r="D82"/>
  <c r="H81"/>
  <c r="G81"/>
  <c r="E81"/>
  <c r="D81"/>
  <c r="H80"/>
  <c r="G80"/>
  <c r="E80"/>
  <c r="D80"/>
  <c r="H79"/>
  <c r="G79"/>
  <c r="E79"/>
  <c r="D79"/>
  <c r="H78"/>
  <c r="G78"/>
  <c r="E78"/>
  <c r="D78"/>
  <c r="H77"/>
  <c r="G77"/>
  <c r="E77"/>
  <c r="D77"/>
  <c r="H76"/>
  <c r="G76"/>
  <c r="E76"/>
  <c r="D76"/>
  <c r="H75"/>
  <c r="G75"/>
  <c r="E75"/>
  <c r="D75"/>
  <c r="H74"/>
  <c r="G74"/>
  <c r="E74"/>
  <c r="D74"/>
  <c r="H73"/>
  <c r="G73"/>
  <c r="E73"/>
  <c r="D73"/>
  <c r="H72"/>
  <c r="G72"/>
  <c r="E72"/>
  <c r="D72"/>
  <c r="H71"/>
  <c r="G71"/>
  <c r="E71"/>
  <c r="D71"/>
  <c r="H70"/>
  <c r="G70"/>
  <c r="E70"/>
  <c r="D70"/>
  <c r="H69"/>
  <c r="G69"/>
  <c r="E69"/>
  <c r="D69"/>
  <c r="H68"/>
  <c r="G68"/>
  <c r="E68"/>
  <c r="D68"/>
  <c r="H67"/>
  <c r="G67"/>
  <c r="E67"/>
  <c r="D67"/>
  <c r="H66"/>
  <c r="G66"/>
  <c r="E66"/>
  <c r="D66"/>
  <c r="H65"/>
  <c r="G65"/>
  <c r="E65"/>
  <c r="D65"/>
  <c r="H64"/>
  <c r="G64"/>
  <c r="E64"/>
  <c r="D64"/>
  <c r="H63"/>
  <c r="G63"/>
  <c r="E63"/>
  <c r="D63"/>
  <c r="H62"/>
  <c r="G62"/>
  <c r="E62"/>
  <c r="D62"/>
  <c r="H61"/>
  <c r="G61"/>
  <c r="E61"/>
  <c r="D61"/>
  <c r="H60"/>
  <c r="G60"/>
  <c r="E60"/>
  <c r="D60"/>
  <c r="H59"/>
  <c r="G59"/>
  <c r="E59"/>
  <c r="D59"/>
  <c r="H58"/>
  <c r="G58"/>
  <c r="E58"/>
  <c r="D58"/>
  <c r="H57"/>
  <c r="G57"/>
  <c r="E57"/>
  <c r="D57"/>
  <c r="H56"/>
  <c r="G56"/>
  <c r="E56"/>
  <c r="D56"/>
  <c r="H55"/>
  <c r="G55"/>
  <c r="E55"/>
  <c r="D55"/>
  <c r="H54"/>
  <c r="G54"/>
  <c r="E54"/>
  <c r="D54"/>
  <c r="H53"/>
  <c r="G53"/>
  <c r="E53"/>
  <c r="D53"/>
  <c r="H52"/>
  <c r="G52"/>
  <c r="E52"/>
  <c r="D52"/>
  <c r="H51"/>
  <c r="G51"/>
  <c r="E51"/>
  <c r="D51"/>
  <c r="H50"/>
  <c r="G50"/>
  <c r="E50"/>
  <c r="D50"/>
  <c r="H49"/>
  <c r="G49"/>
  <c r="E49"/>
  <c r="D49"/>
  <c r="H48"/>
  <c r="G48"/>
  <c r="E48"/>
  <c r="D48"/>
  <c r="H47"/>
  <c r="G47"/>
  <c r="E47"/>
  <c r="D47"/>
  <c r="H46"/>
  <c r="G46"/>
  <c r="E46"/>
  <c r="D46"/>
  <c r="H45"/>
  <c r="G45"/>
  <c r="E45"/>
  <c r="D45"/>
  <c r="H44"/>
  <c r="G44"/>
  <c r="E44"/>
  <c r="D44"/>
  <c r="H43"/>
  <c r="G43"/>
  <c r="E43"/>
  <c r="D43"/>
  <c r="H42"/>
  <c r="G42"/>
  <c r="E42"/>
  <c r="D42"/>
  <c r="H41"/>
  <c r="G41"/>
  <c r="E41"/>
  <c r="D41"/>
  <c r="H40"/>
  <c r="G40"/>
  <c r="E40"/>
  <c r="D40"/>
  <c r="H39"/>
  <c r="G39"/>
  <c r="E39"/>
  <c r="D39"/>
  <c r="H38"/>
  <c r="G38"/>
  <c r="E38"/>
  <c r="D38"/>
  <c r="H37"/>
  <c r="G37"/>
  <c r="E37"/>
  <c r="D37"/>
  <c r="H36"/>
  <c r="G36"/>
  <c r="E36"/>
  <c r="D36"/>
  <c r="H35"/>
  <c r="G35"/>
  <c r="E35"/>
  <c r="D35"/>
  <c r="H34"/>
  <c r="G34"/>
  <c r="E34"/>
  <c r="D34"/>
  <c r="H33"/>
  <c r="G33"/>
  <c r="E33"/>
  <c r="D33"/>
  <c r="H32"/>
  <c r="G32"/>
  <c r="E32"/>
  <c r="D32"/>
  <c r="H31"/>
  <c r="G31"/>
  <c r="E31"/>
  <c r="D31"/>
  <c r="H30"/>
  <c r="G30"/>
  <c r="E30"/>
  <c r="D30"/>
  <c r="H29"/>
  <c r="G29"/>
  <c r="E29"/>
  <c r="D29"/>
  <c r="H28"/>
  <c r="G28"/>
  <c r="E28"/>
  <c r="D28"/>
  <c r="H27"/>
  <c r="G27"/>
  <c r="E27"/>
  <c r="D27"/>
  <c r="H26"/>
  <c r="G26"/>
  <c r="E26"/>
  <c r="D26"/>
  <c r="H25"/>
  <c r="G25"/>
  <c r="E25"/>
  <c r="D25"/>
  <c r="H24"/>
  <c r="G24"/>
  <c r="E24"/>
  <c r="D24"/>
  <c r="H23"/>
  <c r="G23"/>
  <c r="E23"/>
  <c r="D23"/>
  <c r="H22"/>
  <c r="G22"/>
  <c r="E22"/>
  <c r="D22"/>
  <c r="H21"/>
  <c r="G21"/>
  <c r="E21"/>
  <c r="D21"/>
  <c r="H20"/>
  <c r="G20"/>
  <c r="E20"/>
  <c r="D20"/>
  <c r="H19"/>
  <c r="G19"/>
  <c r="E19"/>
  <c r="D19"/>
  <c r="H18"/>
  <c r="G18"/>
  <c r="E18"/>
  <c r="D18"/>
  <c r="H17"/>
  <c r="G17"/>
  <c r="E17"/>
  <c r="D17"/>
  <c r="H16"/>
  <c r="G16"/>
  <c r="E16"/>
  <c r="D16"/>
  <c r="H15"/>
  <c r="G15"/>
  <c r="E15"/>
  <c r="D15"/>
  <c r="H14"/>
  <c r="G14"/>
  <c r="E14"/>
  <c r="D14"/>
  <c r="H13"/>
  <c r="G13"/>
  <c r="E13"/>
  <c r="D13"/>
  <c r="H12"/>
  <c r="G12"/>
  <c r="E12"/>
  <c r="D12"/>
  <c r="H11"/>
  <c r="G11"/>
  <c r="E11"/>
  <c r="D11"/>
  <c r="H10"/>
  <c r="G10"/>
  <c r="E10"/>
  <c r="D10"/>
  <c r="H9"/>
  <c r="G9"/>
  <c r="E9"/>
  <c r="D9"/>
  <c r="H8"/>
  <c r="G8"/>
  <c r="E8"/>
  <c r="D8"/>
  <c r="H7"/>
  <c r="G7"/>
  <c r="E7"/>
  <c r="D7"/>
  <c r="H6"/>
  <c r="G6"/>
  <c r="E6"/>
  <c r="D6"/>
  <c r="H5"/>
  <c r="G5"/>
  <c r="E5"/>
  <c r="D5"/>
  <c r="T4"/>
  <c r="S4"/>
  <c r="R4"/>
  <c r="Q4"/>
  <c r="P4"/>
  <c r="O4"/>
  <c r="N4"/>
  <c r="M4"/>
  <c r="L4"/>
  <c r="K4"/>
  <c r="J4"/>
  <c r="I4"/>
  <c r="H4"/>
  <c r="G4"/>
  <c r="E4"/>
  <c r="H124" i="53"/>
  <c r="G124"/>
  <c r="F124"/>
  <c r="E124"/>
  <c r="D124"/>
  <c r="D126" i="79" s="1"/>
  <c r="H123" i="53"/>
  <c r="F123" s="1"/>
  <c r="G123"/>
  <c r="E123"/>
  <c r="D123"/>
  <c r="D125" i="79" s="1"/>
  <c r="H122" i="53"/>
  <c r="G122"/>
  <c r="F122"/>
  <c r="E122"/>
  <c r="D122"/>
  <c r="D124" i="79" s="1"/>
  <c r="H121" i="53"/>
  <c r="F121" s="1"/>
  <c r="G121"/>
  <c r="E121"/>
  <c r="D121"/>
  <c r="D123" i="79" s="1"/>
  <c r="H120" i="53"/>
  <c r="G120"/>
  <c r="F120"/>
  <c r="E120"/>
  <c r="D120"/>
  <c r="D122" i="79" s="1"/>
  <c r="H119" i="53"/>
  <c r="F119" s="1"/>
  <c r="G119"/>
  <c r="E119"/>
  <c r="D119"/>
  <c r="D121" i="79" s="1"/>
  <c r="H118" i="53"/>
  <c r="G118"/>
  <c r="E118"/>
  <c r="D118"/>
  <c r="H117"/>
  <c r="G117"/>
  <c r="F117"/>
  <c r="E117"/>
  <c r="D117"/>
  <c r="D119" i="79" s="1"/>
  <c r="H116" i="53"/>
  <c r="F116" s="1"/>
  <c r="G116"/>
  <c r="E116"/>
  <c r="D116"/>
  <c r="D118" i="79" s="1"/>
  <c r="H115" i="53"/>
  <c r="G115"/>
  <c r="F115"/>
  <c r="E115"/>
  <c r="D115"/>
  <c r="D117" i="79" s="1"/>
  <c r="H114" i="53"/>
  <c r="F114" s="1"/>
  <c r="G114"/>
  <c r="E114"/>
  <c r="D114"/>
  <c r="D116" i="79" s="1"/>
  <c r="H113" i="53"/>
  <c r="G113"/>
  <c r="F113"/>
  <c r="E113"/>
  <c r="D113"/>
  <c r="D115" i="79" s="1"/>
  <c r="H112" i="53"/>
  <c r="F112" s="1"/>
  <c r="G112"/>
  <c r="E112"/>
  <c r="D112"/>
  <c r="D114" i="79" s="1"/>
  <c r="H111" i="53"/>
  <c r="G111"/>
  <c r="F111"/>
  <c r="E111"/>
  <c r="D111"/>
  <c r="D113" i="79" s="1"/>
  <c r="H110" i="53"/>
  <c r="G110"/>
  <c r="E110"/>
  <c r="D110"/>
  <c r="D112" i="79"/>
  <c r="H109" i="53"/>
  <c r="G109"/>
  <c r="F109" s="1"/>
  <c r="E109"/>
  <c r="D109"/>
  <c r="D111" i="79"/>
  <c r="H108" i="53"/>
  <c r="G108"/>
  <c r="E108"/>
  <c r="D108"/>
  <c r="D110" i="79" s="1"/>
  <c r="H107" i="53"/>
  <c r="F107" s="1"/>
  <c r="G107"/>
  <c r="E107"/>
  <c r="E109" i="79"/>
  <c r="D107" i="53"/>
  <c r="H106"/>
  <c r="G106"/>
  <c r="E106"/>
  <c r="E108" i="79" s="1"/>
  <c r="D106" i="53"/>
  <c r="H105"/>
  <c r="G105"/>
  <c r="E105"/>
  <c r="E107" i="79"/>
  <c r="D105" i="53"/>
  <c r="H104"/>
  <c r="G104"/>
  <c r="E104"/>
  <c r="E106" i="79" s="1"/>
  <c r="D104" i="53"/>
  <c r="H103"/>
  <c r="G103"/>
  <c r="E103"/>
  <c r="E105" i="79"/>
  <c r="D103" i="53"/>
  <c r="H102"/>
  <c r="G102"/>
  <c r="E102"/>
  <c r="E104" i="79" s="1"/>
  <c r="D102" i="53"/>
  <c r="H101"/>
  <c r="G101"/>
  <c r="E101"/>
  <c r="E103" i="79"/>
  <c r="D101" i="53"/>
  <c r="H100"/>
  <c r="G100"/>
  <c r="E100"/>
  <c r="E102" i="79" s="1"/>
  <c r="D100" i="53"/>
  <c r="H99"/>
  <c r="G99"/>
  <c r="E99"/>
  <c r="E101" i="79"/>
  <c r="D99" i="53"/>
  <c r="H98"/>
  <c r="G98"/>
  <c r="E98"/>
  <c r="E100" i="79" s="1"/>
  <c r="D98" i="53"/>
  <c r="H97"/>
  <c r="G97"/>
  <c r="E97"/>
  <c r="E99" i="79"/>
  <c r="D97" i="53"/>
  <c r="H96"/>
  <c r="G96"/>
  <c r="E96"/>
  <c r="E98" i="79" s="1"/>
  <c r="D96" i="53"/>
  <c r="H95"/>
  <c r="G95"/>
  <c r="E95"/>
  <c r="E97" i="79"/>
  <c r="D95" i="53"/>
  <c r="H94"/>
  <c r="G94"/>
  <c r="E94"/>
  <c r="E96" i="79" s="1"/>
  <c r="D94" i="53"/>
  <c r="H93"/>
  <c r="G93"/>
  <c r="E93"/>
  <c r="E95" i="79"/>
  <c r="D93" i="53"/>
  <c r="H92"/>
  <c r="G92"/>
  <c r="E92"/>
  <c r="E94" i="79" s="1"/>
  <c r="D92" i="53"/>
  <c r="H91"/>
  <c r="G91"/>
  <c r="F91" s="1"/>
  <c r="E91"/>
  <c r="D91"/>
  <c r="H90"/>
  <c r="G90"/>
  <c r="F90"/>
  <c r="E90"/>
  <c r="D90"/>
  <c r="H89"/>
  <c r="G89"/>
  <c r="F89" s="1"/>
  <c r="E89"/>
  <c r="D89"/>
  <c r="H88"/>
  <c r="G88"/>
  <c r="E88"/>
  <c r="D88"/>
  <c r="H87"/>
  <c r="F87" s="1"/>
  <c r="G87"/>
  <c r="E87"/>
  <c r="D87"/>
  <c r="H86"/>
  <c r="G86"/>
  <c r="E86"/>
  <c r="D86"/>
  <c r="H85"/>
  <c r="G85"/>
  <c r="F85" s="1"/>
  <c r="E85"/>
  <c r="D85"/>
  <c r="H84"/>
  <c r="G84"/>
  <c r="E84"/>
  <c r="D84"/>
  <c r="H83"/>
  <c r="G83"/>
  <c r="F83"/>
  <c r="E83"/>
  <c r="D83"/>
  <c r="H82"/>
  <c r="G82"/>
  <c r="E82"/>
  <c r="D82"/>
  <c r="H81"/>
  <c r="G81"/>
  <c r="E81"/>
  <c r="D81"/>
  <c r="H80"/>
  <c r="G80"/>
  <c r="E80"/>
  <c r="D80"/>
  <c r="H79"/>
  <c r="G79"/>
  <c r="F79" s="1"/>
  <c r="E79"/>
  <c r="D79"/>
  <c r="D81" i="79"/>
  <c r="H78" i="53"/>
  <c r="G78"/>
  <c r="F78" s="1"/>
  <c r="E78"/>
  <c r="D78"/>
  <c r="D80" i="79"/>
  <c r="H77" i="53"/>
  <c r="G77"/>
  <c r="F77" s="1"/>
  <c r="E77"/>
  <c r="D77"/>
  <c r="D79" i="79"/>
  <c r="H76" i="53"/>
  <c r="G76"/>
  <c r="E76"/>
  <c r="D76"/>
  <c r="D78" i="79" s="1"/>
  <c r="H75" i="53"/>
  <c r="G75"/>
  <c r="F75"/>
  <c r="E75"/>
  <c r="D75"/>
  <c r="D77" i="79" s="1"/>
  <c r="H74" i="53"/>
  <c r="G74"/>
  <c r="E74"/>
  <c r="D74"/>
  <c r="D76" i="79"/>
  <c r="H73" i="53"/>
  <c r="G73"/>
  <c r="E73"/>
  <c r="D73"/>
  <c r="D75" i="79" s="1"/>
  <c r="H72" i="53"/>
  <c r="G72"/>
  <c r="E72"/>
  <c r="D72"/>
  <c r="D74" i="79"/>
  <c r="H71" i="53"/>
  <c r="G71"/>
  <c r="E71"/>
  <c r="D71"/>
  <c r="D73" i="79" s="1"/>
  <c r="H70" i="53"/>
  <c r="G70"/>
  <c r="E70"/>
  <c r="D70"/>
  <c r="D72" i="79"/>
  <c r="H69" i="53"/>
  <c r="G69"/>
  <c r="E69"/>
  <c r="D69"/>
  <c r="D71" i="79" s="1"/>
  <c r="H68" i="53"/>
  <c r="G68"/>
  <c r="E68"/>
  <c r="D68"/>
  <c r="D70" i="79"/>
  <c r="H67" i="53"/>
  <c r="G67"/>
  <c r="F67" s="1"/>
  <c r="E67"/>
  <c r="E69" i="79" s="1"/>
  <c r="D67" i="53"/>
  <c r="H66"/>
  <c r="G66"/>
  <c r="E66"/>
  <c r="E68" i="79"/>
  <c r="D66" i="53"/>
  <c r="H65"/>
  <c r="G65"/>
  <c r="E65"/>
  <c r="E67" i="79" s="1"/>
  <c r="D65" i="53"/>
  <c r="H64"/>
  <c r="G64"/>
  <c r="E64"/>
  <c r="E66" i="79"/>
  <c r="D64" i="53"/>
  <c r="H63"/>
  <c r="G63"/>
  <c r="E63"/>
  <c r="E65" i="79" s="1"/>
  <c r="D63" i="53"/>
  <c r="H62"/>
  <c r="G62"/>
  <c r="E62"/>
  <c r="E64" i="79"/>
  <c r="D62" i="53"/>
  <c r="H61"/>
  <c r="G61"/>
  <c r="E61"/>
  <c r="E63" i="79" s="1"/>
  <c r="D61" i="53"/>
  <c r="H60"/>
  <c r="G60"/>
  <c r="E60"/>
  <c r="E62" i="79"/>
  <c r="D60" i="53"/>
  <c r="H59"/>
  <c r="F59" s="1"/>
  <c r="G59"/>
  <c r="E59"/>
  <c r="D59"/>
  <c r="H58"/>
  <c r="G58"/>
  <c r="F58" s="1"/>
  <c r="E58"/>
  <c r="D58"/>
  <c r="H57"/>
  <c r="G57"/>
  <c r="F57"/>
  <c r="E57"/>
  <c r="D57"/>
  <c r="H56"/>
  <c r="G56"/>
  <c r="E56"/>
  <c r="D56"/>
  <c r="H55"/>
  <c r="G55"/>
  <c r="F55" s="1"/>
  <c r="E55"/>
  <c r="D55"/>
  <c r="H54"/>
  <c r="G54"/>
  <c r="E54"/>
  <c r="D54"/>
  <c r="H53"/>
  <c r="F53" s="1"/>
  <c r="G53"/>
  <c r="E53"/>
  <c r="D53"/>
  <c r="H52"/>
  <c r="G52"/>
  <c r="E52"/>
  <c r="D52"/>
  <c r="H51"/>
  <c r="G51"/>
  <c r="F51" s="1"/>
  <c r="E51"/>
  <c r="D51"/>
  <c r="H50"/>
  <c r="G50"/>
  <c r="E50"/>
  <c r="D50"/>
  <c r="H49"/>
  <c r="G49"/>
  <c r="E49"/>
  <c r="D49"/>
  <c r="H48"/>
  <c r="G48"/>
  <c r="E48"/>
  <c r="D48"/>
  <c r="H47"/>
  <c r="G47"/>
  <c r="E47"/>
  <c r="D47"/>
  <c r="H46"/>
  <c r="G46"/>
  <c r="E46"/>
  <c r="D46"/>
  <c r="H45"/>
  <c r="G45"/>
  <c r="E45"/>
  <c r="D45"/>
  <c r="H44"/>
  <c r="G44"/>
  <c r="E44"/>
  <c r="D44"/>
  <c r="H43"/>
  <c r="G43"/>
  <c r="F43"/>
  <c r="E43"/>
  <c r="D43"/>
  <c r="H42"/>
  <c r="G42"/>
  <c r="E42"/>
  <c r="D42"/>
  <c r="H41"/>
  <c r="G41"/>
  <c r="E41"/>
  <c r="D41"/>
  <c r="H40"/>
  <c r="G40"/>
  <c r="E40"/>
  <c r="D40"/>
  <c r="H39"/>
  <c r="G39"/>
  <c r="E39"/>
  <c r="D39"/>
  <c r="H38"/>
  <c r="G38"/>
  <c r="E38"/>
  <c r="D38"/>
  <c r="H37"/>
  <c r="G37"/>
  <c r="E37"/>
  <c r="D37"/>
  <c r="H36"/>
  <c r="G36"/>
  <c r="E36"/>
  <c r="D36"/>
  <c r="H35"/>
  <c r="G35"/>
  <c r="E35"/>
  <c r="D35"/>
  <c r="H34"/>
  <c r="G34"/>
  <c r="E34"/>
  <c r="D34"/>
  <c r="H33"/>
  <c r="G33"/>
  <c r="E33"/>
  <c r="D33"/>
  <c r="H32"/>
  <c r="G32"/>
  <c r="E32"/>
  <c r="D32"/>
  <c r="H31"/>
  <c r="G31"/>
  <c r="F31" s="1"/>
  <c r="E31"/>
  <c r="D31"/>
  <c r="H30"/>
  <c r="G30"/>
  <c r="E30"/>
  <c r="D30"/>
  <c r="H29"/>
  <c r="F29" s="1"/>
  <c r="G29"/>
  <c r="E29"/>
  <c r="D29"/>
  <c r="H28"/>
  <c r="G28"/>
  <c r="F28" s="1"/>
  <c r="E28"/>
  <c r="D28"/>
  <c r="H27"/>
  <c r="G27"/>
  <c r="F27"/>
  <c r="E27"/>
  <c r="D27"/>
  <c r="H26"/>
  <c r="G26"/>
  <c r="E26"/>
  <c r="D26"/>
  <c r="H25"/>
  <c r="G25"/>
  <c r="F25" s="1"/>
  <c r="E25"/>
  <c r="D25"/>
  <c r="H24"/>
  <c r="F24" s="1"/>
  <c r="G24"/>
  <c r="E24"/>
  <c r="D24"/>
  <c r="H23"/>
  <c r="G23"/>
  <c r="F23" s="1"/>
  <c r="E23"/>
  <c r="D23"/>
  <c r="H22"/>
  <c r="G22"/>
  <c r="E22"/>
  <c r="D22"/>
  <c r="H21"/>
  <c r="G21"/>
  <c r="F21"/>
  <c r="E21"/>
  <c r="D21"/>
  <c r="H20"/>
  <c r="G20"/>
  <c r="F20" s="1"/>
  <c r="E20"/>
  <c r="D20"/>
  <c r="H19"/>
  <c r="F19" s="1"/>
  <c r="G19"/>
  <c r="E19"/>
  <c r="D19"/>
  <c r="H18"/>
  <c r="G18"/>
  <c r="E18"/>
  <c r="D18"/>
  <c r="H17"/>
  <c r="G17"/>
  <c r="F17" s="1"/>
  <c r="E17"/>
  <c r="D17"/>
  <c r="H16"/>
  <c r="G16"/>
  <c r="F16"/>
  <c r="E16"/>
  <c r="D16"/>
  <c r="H15"/>
  <c r="G15"/>
  <c r="F15" s="1"/>
  <c r="E15"/>
  <c r="D15"/>
  <c r="H14"/>
  <c r="F14" s="1"/>
  <c r="G14"/>
  <c r="E14"/>
  <c r="D14"/>
  <c r="H13"/>
  <c r="G13"/>
  <c r="F13" s="1"/>
  <c r="E13"/>
  <c r="D13"/>
  <c r="H12"/>
  <c r="G12"/>
  <c r="F12"/>
  <c r="E12"/>
  <c r="D12"/>
  <c r="H11"/>
  <c r="G11"/>
  <c r="F11" s="1"/>
  <c r="E11"/>
  <c r="D11"/>
  <c r="H10"/>
  <c r="F10" s="1"/>
  <c r="G10"/>
  <c r="E10"/>
  <c r="D10"/>
  <c r="H9"/>
  <c r="G9"/>
  <c r="F9" s="1"/>
  <c r="E9"/>
  <c r="D9"/>
  <c r="H8"/>
  <c r="G8"/>
  <c r="F8"/>
  <c r="E8"/>
  <c r="D8"/>
  <c r="H7"/>
  <c r="G7"/>
  <c r="G4" s="1"/>
  <c r="E7"/>
  <c r="D7"/>
  <c r="H6"/>
  <c r="G6"/>
  <c r="E6"/>
  <c r="D6"/>
  <c r="H5"/>
  <c r="F5" s="1"/>
  <c r="G5"/>
  <c r="E5"/>
  <c r="D5"/>
  <c r="D4" s="1"/>
  <c r="T4"/>
  <c r="S4"/>
  <c r="R4"/>
  <c r="Q4"/>
  <c r="P4"/>
  <c r="O4"/>
  <c r="N4"/>
  <c r="M4"/>
  <c r="L4"/>
  <c r="K4"/>
  <c r="J4"/>
  <c r="I4"/>
  <c r="X125" i="36"/>
  <c r="W125"/>
  <c r="V125"/>
  <c r="U125"/>
  <c r="T125"/>
  <c r="S125"/>
  <c r="R125"/>
  <c r="Q125"/>
  <c r="N125"/>
  <c r="M125"/>
  <c r="L125"/>
  <c r="K125"/>
  <c r="O125" s="1"/>
  <c r="J125"/>
  <c r="I125"/>
  <c r="H125"/>
  <c r="G125"/>
  <c r="F125"/>
  <c r="E125"/>
  <c r="O124"/>
  <c r="O123"/>
  <c r="O122"/>
  <c r="O121"/>
  <c r="O120"/>
  <c r="O119"/>
  <c r="O118"/>
  <c r="O117"/>
  <c r="O116"/>
  <c r="O115"/>
  <c r="O114"/>
  <c r="O113"/>
  <c r="O112"/>
  <c r="O111"/>
  <c r="O110"/>
  <c r="O109"/>
  <c r="O108"/>
  <c r="O107"/>
  <c r="O106"/>
  <c r="O105"/>
  <c r="O104"/>
  <c r="O103"/>
  <c r="O102"/>
  <c r="O101"/>
  <c r="O100"/>
  <c r="O99"/>
  <c r="O98"/>
  <c r="O97"/>
  <c r="O96"/>
  <c r="O95"/>
  <c r="O94"/>
  <c r="O93"/>
  <c r="O92"/>
  <c r="O91"/>
  <c r="O90"/>
  <c r="O89"/>
  <c r="O88"/>
  <c r="O87"/>
  <c r="O86"/>
  <c r="O85"/>
  <c r="O84"/>
  <c r="O83"/>
  <c r="O82"/>
  <c r="O81"/>
  <c r="O80"/>
  <c r="O79"/>
  <c r="O78"/>
  <c r="O77"/>
  <c r="O76"/>
  <c r="O75"/>
  <c r="O74"/>
  <c r="O73"/>
  <c r="O72"/>
  <c r="O71"/>
  <c r="O70"/>
  <c r="O69"/>
  <c r="O68"/>
  <c r="O67"/>
  <c r="O66"/>
  <c r="O65"/>
  <c r="O64"/>
  <c r="O63"/>
  <c r="O62"/>
  <c r="O61"/>
  <c r="O60"/>
  <c r="O59"/>
  <c r="O58"/>
  <c r="O57"/>
  <c r="O56"/>
  <c r="O55"/>
  <c r="O54"/>
  <c r="O53"/>
  <c r="O52"/>
  <c r="O51"/>
  <c r="O50"/>
  <c r="O49"/>
  <c r="O48"/>
  <c r="O47"/>
  <c r="O46"/>
  <c r="O45"/>
  <c r="O44"/>
  <c r="O43"/>
  <c r="O42"/>
  <c r="O41"/>
  <c r="O40"/>
  <c r="O39"/>
  <c r="O38"/>
  <c r="O37"/>
  <c r="O36"/>
  <c r="O35"/>
  <c r="O34"/>
  <c r="O33"/>
  <c r="O32"/>
  <c r="O31"/>
  <c r="O30"/>
  <c r="O29"/>
  <c r="O28"/>
  <c r="O27"/>
  <c r="O26"/>
  <c r="O25"/>
  <c r="O24"/>
  <c r="O23"/>
  <c r="O22"/>
  <c r="O21"/>
  <c r="O20"/>
  <c r="O19"/>
  <c r="O18"/>
  <c r="O17"/>
  <c r="O16"/>
  <c r="O15"/>
  <c r="O14"/>
  <c r="O13"/>
  <c r="O12"/>
  <c r="O11"/>
  <c r="O10"/>
  <c r="O9"/>
  <c r="O8"/>
  <c r="O7"/>
  <c r="O6"/>
  <c r="O5"/>
  <c r="D1"/>
  <c r="E1" s="1"/>
  <c r="F1" s="1"/>
  <c r="G1" s="1"/>
  <c r="H1" s="1"/>
  <c r="I1" s="1"/>
  <c r="J1" s="1"/>
  <c r="K1" s="1"/>
  <c r="L1" s="1"/>
  <c r="M1" s="1"/>
  <c r="N1" s="1"/>
  <c r="O1" s="1"/>
  <c r="C1"/>
  <c r="E122" i="38"/>
  <c r="E123" s="1"/>
  <c r="D122"/>
  <c r="D123" s="1"/>
  <c r="C122"/>
  <c r="C123" s="1"/>
  <c r="F121"/>
  <c r="F120"/>
  <c r="F119"/>
  <c r="F118"/>
  <c r="F117"/>
  <c r="F116"/>
  <c r="F115"/>
  <c r="F114"/>
  <c r="F113"/>
  <c r="F112"/>
  <c r="F111"/>
  <c r="F110"/>
  <c r="F109"/>
  <c r="F108"/>
  <c r="F107"/>
  <c r="F106"/>
  <c r="F105"/>
  <c r="F104"/>
  <c r="F103"/>
  <c r="F102"/>
  <c r="F101"/>
  <c r="F100"/>
  <c r="F99"/>
  <c r="F98"/>
  <c r="F97"/>
  <c r="F96"/>
  <c r="F95"/>
  <c r="F94"/>
  <c r="F93"/>
  <c r="F92"/>
  <c r="F91"/>
  <c r="F90"/>
  <c r="F89"/>
  <c r="F88"/>
  <c r="F87"/>
  <c r="F86"/>
  <c r="F85"/>
  <c r="F84"/>
  <c r="F83"/>
  <c r="F82"/>
  <c r="F81"/>
  <c r="F80"/>
  <c r="F79"/>
  <c r="F78"/>
  <c r="F77"/>
  <c r="F76"/>
  <c r="F75"/>
  <c r="F74"/>
  <c r="F73"/>
  <c r="F72"/>
  <c r="F71"/>
  <c r="F70"/>
  <c r="F69"/>
  <c r="F68"/>
  <c r="F67"/>
  <c r="F66"/>
  <c r="F65"/>
  <c r="F64"/>
  <c r="F63"/>
  <c r="F62"/>
  <c r="F61"/>
  <c r="F60"/>
  <c r="F59"/>
  <c r="F58"/>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
  <c r="F5"/>
  <c r="F4"/>
  <c r="F3"/>
  <c r="F2"/>
  <c r="F122" s="1"/>
  <c r="X123" i="41"/>
  <c r="W123"/>
  <c r="T123"/>
  <c r="S123"/>
  <c r="P123"/>
  <c r="L123"/>
  <c r="K123"/>
  <c r="H123"/>
  <c r="G123"/>
  <c r="D123"/>
  <c r="C123"/>
  <c r="X122"/>
  <c r="W122"/>
  <c r="T122"/>
  <c r="S122"/>
  <c r="P122"/>
  <c r="L122"/>
  <c r="K122"/>
  <c r="H122"/>
  <c r="G122"/>
  <c r="D122"/>
  <c r="C122"/>
  <c r="X121"/>
  <c r="W121"/>
  <c r="T121"/>
  <c r="S121"/>
  <c r="P121"/>
  <c r="L121"/>
  <c r="K121"/>
  <c r="H121"/>
  <c r="G121"/>
  <c r="D121"/>
  <c r="C121"/>
  <c r="X120"/>
  <c r="W120"/>
  <c r="T120"/>
  <c r="S120"/>
  <c r="P120"/>
  <c r="L120"/>
  <c r="K120"/>
  <c r="H120"/>
  <c r="G120"/>
  <c r="D120"/>
  <c r="C120"/>
  <c r="X119"/>
  <c r="W119"/>
  <c r="T119"/>
  <c r="S119"/>
  <c r="P119"/>
  <c r="L119"/>
  <c r="K119"/>
  <c r="H119"/>
  <c r="G119"/>
  <c r="D119"/>
  <c r="C119"/>
  <c r="X118"/>
  <c r="W118"/>
  <c r="T118"/>
  <c r="S118"/>
  <c r="P118"/>
  <c r="L118"/>
  <c r="K118"/>
  <c r="H118"/>
  <c r="G118"/>
  <c r="D118"/>
  <c r="C118"/>
  <c r="X117"/>
  <c r="W117"/>
  <c r="T117"/>
  <c r="S117"/>
  <c r="P117"/>
  <c r="L117"/>
  <c r="K117"/>
  <c r="H117"/>
  <c r="G117"/>
  <c r="D117"/>
  <c r="C117"/>
  <c r="X116"/>
  <c r="W116"/>
  <c r="T116"/>
  <c r="S116"/>
  <c r="P116"/>
  <c r="L116"/>
  <c r="K116"/>
  <c r="H116"/>
  <c r="G116"/>
  <c r="D116"/>
  <c r="C116"/>
  <c r="X115"/>
  <c r="W115"/>
  <c r="T115"/>
  <c r="S115"/>
  <c r="P115"/>
  <c r="L115"/>
  <c r="K115"/>
  <c r="H115"/>
  <c r="G115"/>
  <c r="D115"/>
  <c r="C115"/>
  <c r="X114"/>
  <c r="W114"/>
  <c r="T114"/>
  <c r="S114"/>
  <c r="P114"/>
  <c r="L114"/>
  <c r="K114"/>
  <c r="H114"/>
  <c r="G114"/>
  <c r="D114"/>
  <c r="C114"/>
  <c r="X113"/>
  <c r="W113"/>
  <c r="T113"/>
  <c r="S113"/>
  <c r="P113"/>
  <c r="L113"/>
  <c r="K113"/>
  <c r="H113"/>
  <c r="G113"/>
  <c r="D113"/>
  <c r="C113"/>
  <c r="X112"/>
  <c r="W112"/>
  <c r="T112"/>
  <c r="S112"/>
  <c r="P112"/>
  <c r="L112"/>
  <c r="K112"/>
  <c r="H112"/>
  <c r="G112"/>
  <c r="D112"/>
  <c r="C112"/>
  <c r="X111"/>
  <c r="W111"/>
  <c r="T111"/>
  <c r="S111"/>
  <c r="P111"/>
  <c r="L111"/>
  <c r="K111"/>
  <c r="H111"/>
  <c r="G111"/>
  <c r="D111"/>
  <c r="C111"/>
  <c r="X110"/>
  <c r="W110"/>
  <c r="T110"/>
  <c r="S110"/>
  <c r="P110"/>
  <c r="L110"/>
  <c r="K110"/>
  <c r="H110"/>
  <c r="G110"/>
  <c r="D110"/>
  <c r="C110"/>
  <c r="X109"/>
  <c r="W109"/>
  <c r="T109"/>
  <c r="S109"/>
  <c r="P109"/>
  <c r="L109"/>
  <c r="K109"/>
  <c r="H109"/>
  <c r="G109"/>
  <c r="D109"/>
  <c r="C109"/>
  <c r="X108"/>
  <c r="W108"/>
  <c r="T108"/>
  <c r="S108"/>
  <c r="P108"/>
  <c r="L108"/>
  <c r="K108"/>
  <c r="H108"/>
  <c r="G108"/>
  <c r="D108"/>
  <c r="C108"/>
  <c r="X107"/>
  <c r="W107"/>
  <c r="T107"/>
  <c r="S107"/>
  <c r="P107"/>
  <c r="L107"/>
  <c r="K107"/>
  <c r="H107"/>
  <c r="G107"/>
  <c r="D107"/>
  <c r="C107"/>
  <c r="X106"/>
  <c r="W106"/>
  <c r="T106"/>
  <c r="S106"/>
  <c r="P106"/>
  <c r="L106"/>
  <c r="K106"/>
  <c r="H106"/>
  <c r="G106"/>
  <c r="D106"/>
  <c r="C106"/>
  <c r="X105"/>
  <c r="W105"/>
  <c r="T105"/>
  <c r="S105"/>
  <c r="P105"/>
  <c r="L105"/>
  <c r="K105"/>
  <c r="H105"/>
  <c r="G105"/>
  <c r="D105"/>
  <c r="C105"/>
  <c r="X104"/>
  <c r="W104"/>
  <c r="T104"/>
  <c r="S104"/>
  <c r="P104"/>
  <c r="L104"/>
  <c r="K104"/>
  <c r="H104"/>
  <c r="G104"/>
  <c r="D104"/>
  <c r="C104"/>
  <c r="X103"/>
  <c r="W103"/>
  <c r="T103"/>
  <c r="S103"/>
  <c r="P103"/>
  <c r="L103"/>
  <c r="K103"/>
  <c r="H103"/>
  <c r="G103"/>
  <c r="D103"/>
  <c r="C103"/>
  <c r="X102"/>
  <c r="W102"/>
  <c r="T102"/>
  <c r="S102"/>
  <c r="P102"/>
  <c r="L102"/>
  <c r="K102"/>
  <c r="H102"/>
  <c r="G102"/>
  <c r="D102"/>
  <c r="C102"/>
  <c r="X101"/>
  <c r="W101"/>
  <c r="T101"/>
  <c r="S101"/>
  <c r="P101"/>
  <c r="L101"/>
  <c r="K101"/>
  <c r="H101"/>
  <c r="G101"/>
  <c r="D101"/>
  <c r="C101"/>
  <c r="X100"/>
  <c r="W100"/>
  <c r="T100"/>
  <c r="S100"/>
  <c r="P100"/>
  <c r="L100"/>
  <c r="K100"/>
  <c r="H100"/>
  <c r="G100"/>
  <c r="D100"/>
  <c r="C100"/>
  <c r="X99"/>
  <c r="W99"/>
  <c r="T99"/>
  <c r="S99"/>
  <c r="P99"/>
  <c r="L99"/>
  <c r="K99"/>
  <c r="H99"/>
  <c r="G99"/>
  <c r="D99"/>
  <c r="C99"/>
  <c r="X98"/>
  <c r="W98"/>
  <c r="T98"/>
  <c r="S98"/>
  <c r="P98"/>
  <c r="L98"/>
  <c r="K98"/>
  <c r="H98"/>
  <c r="G98"/>
  <c r="D98"/>
  <c r="C98"/>
  <c r="X97"/>
  <c r="W97"/>
  <c r="T97"/>
  <c r="S97"/>
  <c r="P97"/>
  <c r="L97"/>
  <c r="K97"/>
  <c r="H97"/>
  <c r="G97"/>
  <c r="D97"/>
  <c r="C97"/>
  <c r="X96"/>
  <c r="W96"/>
  <c r="T96"/>
  <c r="S96"/>
  <c r="P96"/>
  <c r="L96"/>
  <c r="K96"/>
  <c r="H96"/>
  <c r="G96"/>
  <c r="D96"/>
  <c r="C96"/>
  <c r="X95"/>
  <c r="W95"/>
  <c r="T95"/>
  <c r="S95"/>
  <c r="P95"/>
  <c r="L95"/>
  <c r="K95"/>
  <c r="H95"/>
  <c r="G95"/>
  <c r="D95"/>
  <c r="C95"/>
  <c r="X94"/>
  <c r="W94"/>
  <c r="T94"/>
  <c r="S94"/>
  <c r="P94"/>
  <c r="L94"/>
  <c r="K94"/>
  <c r="H94"/>
  <c r="G94"/>
  <c r="D94"/>
  <c r="C94"/>
  <c r="X93"/>
  <c r="W93"/>
  <c r="T93"/>
  <c r="S93"/>
  <c r="P93"/>
  <c r="L93"/>
  <c r="K93"/>
  <c r="H93"/>
  <c r="G93"/>
  <c r="D93"/>
  <c r="C93"/>
  <c r="X92"/>
  <c r="W92"/>
  <c r="T92"/>
  <c r="S92"/>
  <c r="P92"/>
  <c r="L92"/>
  <c r="K92"/>
  <c r="H92"/>
  <c r="G92"/>
  <c r="D92"/>
  <c r="C92"/>
  <c r="X91"/>
  <c r="W91"/>
  <c r="T91"/>
  <c r="S91"/>
  <c r="P91"/>
  <c r="L91"/>
  <c r="K91"/>
  <c r="H91"/>
  <c r="G91"/>
  <c r="D91"/>
  <c r="C91"/>
  <c r="X90"/>
  <c r="W90"/>
  <c r="T90"/>
  <c r="S90"/>
  <c r="P90"/>
  <c r="L90"/>
  <c r="K90"/>
  <c r="H90"/>
  <c r="G90"/>
  <c r="D90"/>
  <c r="C90"/>
  <c r="X89"/>
  <c r="W89"/>
  <c r="T89"/>
  <c r="S89"/>
  <c r="P89"/>
  <c r="L89"/>
  <c r="K89"/>
  <c r="H89"/>
  <c r="G89"/>
  <c r="D89"/>
  <c r="C89"/>
  <c r="X88"/>
  <c r="W88"/>
  <c r="T88"/>
  <c r="S88"/>
  <c r="P88"/>
  <c r="L88"/>
  <c r="K88"/>
  <c r="H88"/>
  <c r="G88"/>
  <c r="D88"/>
  <c r="C88"/>
  <c r="X87"/>
  <c r="W87"/>
  <c r="T87"/>
  <c r="S87"/>
  <c r="P87"/>
  <c r="L87"/>
  <c r="K87"/>
  <c r="H87"/>
  <c r="G87"/>
  <c r="D87"/>
  <c r="C87"/>
  <c r="X86"/>
  <c r="W86"/>
  <c r="T86"/>
  <c r="S86"/>
  <c r="P86"/>
  <c r="L86"/>
  <c r="K86"/>
  <c r="H86"/>
  <c r="G86"/>
  <c r="D86"/>
  <c r="C86"/>
  <c r="X85"/>
  <c r="W85"/>
  <c r="T85"/>
  <c r="S85"/>
  <c r="P85"/>
  <c r="L85"/>
  <c r="K85"/>
  <c r="H85"/>
  <c r="G85"/>
  <c r="D85"/>
  <c r="C85"/>
  <c r="X84"/>
  <c r="W84"/>
  <c r="T84"/>
  <c r="S84"/>
  <c r="P84"/>
  <c r="L84"/>
  <c r="K84"/>
  <c r="H84"/>
  <c r="G84"/>
  <c r="D84"/>
  <c r="C84"/>
  <c r="X83"/>
  <c r="W83"/>
  <c r="T83"/>
  <c r="S83"/>
  <c r="P83"/>
  <c r="L83"/>
  <c r="K83"/>
  <c r="H83"/>
  <c r="G83"/>
  <c r="D83"/>
  <c r="C83"/>
  <c r="X82"/>
  <c r="W82"/>
  <c r="T82"/>
  <c r="S82"/>
  <c r="P82"/>
  <c r="L82"/>
  <c r="K82"/>
  <c r="H82"/>
  <c r="G82"/>
  <c r="D82"/>
  <c r="C82"/>
  <c r="X81"/>
  <c r="W81"/>
  <c r="T81"/>
  <c r="S81"/>
  <c r="P81"/>
  <c r="L81"/>
  <c r="K81"/>
  <c r="H81"/>
  <c r="G81"/>
  <c r="D81"/>
  <c r="C81"/>
  <c r="X80"/>
  <c r="W80"/>
  <c r="T80"/>
  <c r="S80"/>
  <c r="P80"/>
  <c r="L80"/>
  <c r="K80"/>
  <c r="H80"/>
  <c r="G80"/>
  <c r="D80"/>
  <c r="C80"/>
  <c r="X79"/>
  <c r="W79"/>
  <c r="T79"/>
  <c r="S79"/>
  <c r="P79"/>
  <c r="L79"/>
  <c r="K79"/>
  <c r="H79"/>
  <c r="G79"/>
  <c r="D79"/>
  <c r="C79"/>
  <c r="X78"/>
  <c r="W78"/>
  <c r="T78"/>
  <c r="S78"/>
  <c r="P78"/>
  <c r="L78"/>
  <c r="K78"/>
  <c r="H78"/>
  <c r="G78"/>
  <c r="D78"/>
  <c r="C78"/>
  <c r="X77"/>
  <c r="W77"/>
  <c r="T77"/>
  <c r="S77"/>
  <c r="P77"/>
  <c r="L77"/>
  <c r="K77"/>
  <c r="H77"/>
  <c r="G77"/>
  <c r="D77"/>
  <c r="C77"/>
  <c r="X76"/>
  <c r="W76"/>
  <c r="T76"/>
  <c r="S76"/>
  <c r="P76"/>
  <c r="L76"/>
  <c r="K76"/>
  <c r="H76"/>
  <c r="G76"/>
  <c r="D76"/>
  <c r="C76"/>
  <c r="X75"/>
  <c r="W75"/>
  <c r="T75"/>
  <c r="S75"/>
  <c r="P75"/>
  <c r="L75"/>
  <c r="K75"/>
  <c r="H75"/>
  <c r="G75"/>
  <c r="D75"/>
  <c r="C75"/>
  <c r="X74"/>
  <c r="W74"/>
  <c r="T74"/>
  <c r="S74"/>
  <c r="P74"/>
  <c r="L74"/>
  <c r="K74"/>
  <c r="H74"/>
  <c r="G74"/>
  <c r="D74"/>
  <c r="C74"/>
  <c r="X73"/>
  <c r="W73"/>
  <c r="T73"/>
  <c r="S73"/>
  <c r="P73"/>
  <c r="L73"/>
  <c r="K73"/>
  <c r="H73"/>
  <c r="G73"/>
  <c r="D73"/>
  <c r="C73"/>
  <c r="X72"/>
  <c r="W72"/>
  <c r="T72"/>
  <c r="S72"/>
  <c r="P72"/>
  <c r="L72"/>
  <c r="K72"/>
  <c r="H72"/>
  <c r="G72"/>
  <c r="D72"/>
  <c r="C72"/>
  <c r="X71"/>
  <c r="W71"/>
  <c r="T71"/>
  <c r="S71"/>
  <c r="P71"/>
  <c r="L71"/>
  <c r="K71"/>
  <c r="H71"/>
  <c r="G71"/>
  <c r="D71"/>
  <c r="C71"/>
  <c r="X70"/>
  <c r="W70"/>
  <c r="T70"/>
  <c r="S70"/>
  <c r="P70"/>
  <c r="L70"/>
  <c r="K70"/>
  <c r="H70"/>
  <c r="G70"/>
  <c r="D70"/>
  <c r="C70"/>
  <c r="X69"/>
  <c r="W69"/>
  <c r="T69"/>
  <c r="S69"/>
  <c r="P69"/>
  <c r="L69"/>
  <c r="K69"/>
  <c r="H69"/>
  <c r="G69"/>
  <c r="D69"/>
  <c r="C69"/>
  <c r="X68"/>
  <c r="W68"/>
  <c r="T68"/>
  <c r="S68"/>
  <c r="P68"/>
  <c r="L68"/>
  <c r="K68"/>
  <c r="H68"/>
  <c r="G68"/>
  <c r="D68"/>
  <c r="C68"/>
  <c r="X67"/>
  <c r="W67"/>
  <c r="T67"/>
  <c r="S67"/>
  <c r="P67"/>
  <c r="L67"/>
  <c r="K67"/>
  <c r="H67"/>
  <c r="G67"/>
  <c r="D67"/>
  <c r="C67"/>
  <c r="X66"/>
  <c r="W66"/>
  <c r="T66"/>
  <c r="S66"/>
  <c r="P66"/>
  <c r="L66"/>
  <c r="K66"/>
  <c r="H66"/>
  <c r="G66"/>
  <c r="D66"/>
  <c r="C66"/>
  <c r="X65"/>
  <c r="W65"/>
  <c r="T65"/>
  <c r="S65"/>
  <c r="P65"/>
  <c r="L65"/>
  <c r="K65"/>
  <c r="H65"/>
  <c r="G65"/>
  <c r="D65"/>
  <c r="C65"/>
  <c r="X64"/>
  <c r="W64"/>
  <c r="T64"/>
  <c r="S64"/>
  <c r="P64"/>
  <c r="L64"/>
  <c r="K64"/>
  <c r="H64"/>
  <c r="G64"/>
  <c r="D64"/>
  <c r="C64"/>
  <c r="X63"/>
  <c r="W63"/>
  <c r="T63"/>
  <c r="S63"/>
  <c r="P63"/>
  <c r="L63"/>
  <c r="K63"/>
  <c r="H63"/>
  <c r="G63"/>
  <c r="D63"/>
  <c r="C63"/>
  <c r="X62"/>
  <c r="W62"/>
  <c r="T62"/>
  <c r="S62"/>
  <c r="P62"/>
  <c r="L62"/>
  <c r="K62"/>
  <c r="H62"/>
  <c r="G62"/>
  <c r="D62"/>
  <c r="C62"/>
  <c r="X61"/>
  <c r="W61"/>
  <c r="T61"/>
  <c r="S61"/>
  <c r="P61"/>
  <c r="L61"/>
  <c r="K61"/>
  <c r="H61"/>
  <c r="G61"/>
  <c r="D61"/>
  <c r="C61"/>
  <c r="X60"/>
  <c r="W60"/>
  <c r="T60"/>
  <c r="S60"/>
  <c r="P60"/>
  <c r="L60"/>
  <c r="K60"/>
  <c r="H60"/>
  <c r="G60"/>
  <c r="D60"/>
  <c r="C60"/>
  <c r="X59"/>
  <c r="W59"/>
  <c r="T59"/>
  <c r="S59"/>
  <c r="P59"/>
  <c r="L59"/>
  <c r="K59"/>
  <c r="H59"/>
  <c r="G59"/>
  <c r="D59"/>
  <c r="C59"/>
  <c r="X58"/>
  <c r="W58"/>
  <c r="T58"/>
  <c r="S58"/>
  <c r="P58"/>
  <c r="L58"/>
  <c r="K58"/>
  <c r="H58"/>
  <c r="G58"/>
  <c r="D58"/>
  <c r="C58"/>
  <c r="X57"/>
  <c r="W57"/>
  <c r="T57"/>
  <c r="S57"/>
  <c r="P57"/>
  <c r="L57"/>
  <c r="K57"/>
  <c r="H57"/>
  <c r="G57"/>
  <c r="D57"/>
  <c r="C57"/>
  <c r="X56"/>
  <c r="W56"/>
  <c r="T56"/>
  <c r="S56"/>
  <c r="P56"/>
  <c r="L56"/>
  <c r="K56"/>
  <c r="H56"/>
  <c r="G56"/>
  <c r="D56"/>
  <c r="C56"/>
  <c r="X55"/>
  <c r="W55"/>
  <c r="T55"/>
  <c r="S55"/>
  <c r="P55"/>
  <c r="L55"/>
  <c r="K55"/>
  <c r="H55"/>
  <c r="G55"/>
  <c r="D55"/>
  <c r="C55"/>
  <c r="X54"/>
  <c r="W54"/>
  <c r="T54"/>
  <c r="S54"/>
  <c r="P54"/>
  <c r="L54"/>
  <c r="K54"/>
  <c r="H54"/>
  <c r="G54"/>
  <c r="D54"/>
  <c r="C54"/>
  <c r="X53"/>
  <c r="W53"/>
  <c r="T53"/>
  <c r="S53"/>
  <c r="P53"/>
  <c r="L53"/>
  <c r="K53"/>
  <c r="H53"/>
  <c r="G53"/>
  <c r="D53"/>
  <c r="C53"/>
  <c r="X52"/>
  <c r="W52"/>
  <c r="T52"/>
  <c r="S52"/>
  <c r="P52"/>
  <c r="L52"/>
  <c r="K52"/>
  <c r="H52"/>
  <c r="G52"/>
  <c r="D52"/>
  <c r="C52"/>
  <c r="X51"/>
  <c r="W51"/>
  <c r="T51"/>
  <c r="S51"/>
  <c r="P51"/>
  <c r="L51"/>
  <c r="K51"/>
  <c r="H51"/>
  <c r="G51"/>
  <c r="D51"/>
  <c r="C51"/>
  <c r="X50"/>
  <c r="W50"/>
  <c r="T50"/>
  <c r="S50"/>
  <c r="P50"/>
  <c r="L50"/>
  <c r="K50"/>
  <c r="H50"/>
  <c r="G50"/>
  <c r="D50"/>
  <c r="C50"/>
  <c r="X49"/>
  <c r="W49"/>
  <c r="T49"/>
  <c r="S49"/>
  <c r="P49"/>
  <c r="L49"/>
  <c r="K49"/>
  <c r="H49"/>
  <c r="G49"/>
  <c r="D49"/>
  <c r="C49"/>
  <c r="X48"/>
  <c r="W48"/>
  <c r="T48"/>
  <c r="S48"/>
  <c r="P48"/>
  <c r="L48"/>
  <c r="K48"/>
  <c r="H48"/>
  <c r="G48"/>
  <c r="D48"/>
  <c r="C48"/>
  <c r="X47"/>
  <c r="W47"/>
  <c r="T47"/>
  <c r="S47"/>
  <c r="P47"/>
  <c r="L47"/>
  <c r="K47"/>
  <c r="H47"/>
  <c r="G47"/>
  <c r="D47"/>
  <c r="C47"/>
  <c r="X46"/>
  <c r="W46"/>
  <c r="T46"/>
  <c r="S46"/>
  <c r="P46"/>
  <c r="L46"/>
  <c r="K46"/>
  <c r="H46"/>
  <c r="G46"/>
  <c r="D46"/>
  <c r="C46"/>
  <c r="X45"/>
  <c r="W45"/>
  <c r="T45"/>
  <c r="S45"/>
  <c r="P45"/>
  <c r="L45"/>
  <c r="K45"/>
  <c r="H45"/>
  <c r="G45"/>
  <c r="D45"/>
  <c r="C45"/>
  <c r="X44"/>
  <c r="W44"/>
  <c r="T44"/>
  <c r="S44"/>
  <c r="P44"/>
  <c r="L44"/>
  <c r="K44"/>
  <c r="H44"/>
  <c r="G44"/>
  <c r="D44"/>
  <c r="C44"/>
  <c r="X43"/>
  <c r="W43"/>
  <c r="T43"/>
  <c r="S43"/>
  <c r="P43"/>
  <c r="L43"/>
  <c r="K43"/>
  <c r="H43"/>
  <c r="G43"/>
  <c r="D43"/>
  <c r="C43"/>
  <c r="X42"/>
  <c r="W42"/>
  <c r="T42"/>
  <c r="S42"/>
  <c r="P42"/>
  <c r="L42"/>
  <c r="K42"/>
  <c r="H42"/>
  <c r="G42"/>
  <c r="D42"/>
  <c r="C42"/>
  <c r="X41"/>
  <c r="W41"/>
  <c r="T41"/>
  <c r="S41"/>
  <c r="P41"/>
  <c r="L41"/>
  <c r="K41"/>
  <c r="H41"/>
  <c r="G41"/>
  <c r="D41"/>
  <c r="C41"/>
  <c r="X40"/>
  <c r="W40"/>
  <c r="T40"/>
  <c r="S40"/>
  <c r="P40"/>
  <c r="L40"/>
  <c r="K40"/>
  <c r="H40"/>
  <c r="G40"/>
  <c r="D40"/>
  <c r="C40"/>
  <c r="X39"/>
  <c r="W39"/>
  <c r="T39"/>
  <c r="S39"/>
  <c r="P39"/>
  <c r="L39"/>
  <c r="K39"/>
  <c r="H39"/>
  <c r="G39"/>
  <c r="D39"/>
  <c r="C39"/>
  <c r="X38"/>
  <c r="W38"/>
  <c r="T38"/>
  <c r="S38"/>
  <c r="P38"/>
  <c r="L38"/>
  <c r="K38"/>
  <c r="H38"/>
  <c r="G38"/>
  <c r="D38"/>
  <c r="C38"/>
  <c r="X37"/>
  <c r="W37"/>
  <c r="T37"/>
  <c r="S37"/>
  <c r="P37"/>
  <c r="L37"/>
  <c r="K37"/>
  <c r="H37"/>
  <c r="G37"/>
  <c r="D37"/>
  <c r="C37"/>
  <c r="X36"/>
  <c r="W36"/>
  <c r="T36"/>
  <c r="S36"/>
  <c r="P36"/>
  <c r="L36"/>
  <c r="K36"/>
  <c r="H36"/>
  <c r="G36"/>
  <c r="D36"/>
  <c r="C36"/>
  <c r="X35"/>
  <c r="W35"/>
  <c r="T35"/>
  <c r="S35"/>
  <c r="P35"/>
  <c r="L35"/>
  <c r="K35"/>
  <c r="H35"/>
  <c r="G35"/>
  <c r="D35"/>
  <c r="C35"/>
  <c r="X34"/>
  <c r="W34"/>
  <c r="T34"/>
  <c r="S34"/>
  <c r="P34"/>
  <c r="L34"/>
  <c r="K34"/>
  <c r="H34"/>
  <c r="G34"/>
  <c r="D34"/>
  <c r="C34"/>
  <c r="X33"/>
  <c r="W33"/>
  <c r="T33"/>
  <c r="S33"/>
  <c r="P33"/>
  <c r="L33"/>
  <c r="K33"/>
  <c r="H33"/>
  <c r="G33"/>
  <c r="D33"/>
  <c r="C33"/>
  <c r="X32"/>
  <c r="W32"/>
  <c r="T32"/>
  <c r="S32"/>
  <c r="P32"/>
  <c r="L32"/>
  <c r="K32"/>
  <c r="H32"/>
  <c r="G32"/>
  <c r="D32"/>
  <c r="C32"/>
  <c r="X31"/>
  <c r="W31"/>
  <c r="T31"/>
  <c r="S31"/>
  <c r="P31"/>
  <c r="L31"/>
  <c r="K31"/>
  <c r="H31"/>
  <c r="G31"/>
  <c r="D31"/>
  <c r="C31"/>
  <c r="X30"/>
  <c r="W30"/>
  <c r="T30"/>
  <c r="S30"/>
  <c r="P30"/>
  <c r="L30"/>
  <c r="K30"/>
  <c r="H30"/>
  <c r="G30"/>
  <c r="D30"/>
  <c r="C30"/>
  <c r="X29"/>
  <c r="W29"/>
  <c r="T29"/>
  <c r="S29"/>
  <c r="P29"/>
  <c r="L29"/>
  <c r="K29"/>
  <c r="H29"/>
  <c r="G29"/>
  <c r="D29"/>
  <c r="C29"/>
  <c r="X28"/>
  <c r="W28"/>
  <c r="T28"/>
  <c r="S28"/>
  <c r="P28"/>
  <c r="L28"/>
  <c r="K28"/>
  <c r="H28"/>
  <c r="G28"/>
  <c r="D28"/>
  <c r="C28"/>
  <c r="X27"/>
  <c r="W27"/>
  <c r="T27"/>
  <c r="S27"/>
  <c r="P27"/>
  <c r="L27"/>
  <c r="K27"/>
  <c r="H27"/>
  <c r="G27"/>
  <c r="D27"/>
  <c r="C27"/>
  <c r="X26"/>
  <c r="W26"/>
  <c r="T26"/>
  <c r="S26"/>
  <c r="P26"/>
  <c r="L26"/>
  <c r="K26"/>
  <c r="H26"/>
  <c r="G26"/>
  <c r="D26"/>
  <c r="C26"/>
  <c r="X25"/>
  <c r="W25"/>
  <c r="T25"/>
  <c r="S25"/>
  <c r="P25"/>
  <c r="L25"/>
  <c r="K25"/>
  <c r="H25"/>
  <c r="G25"/>
  <c r="D25"/>
  <c r="C25"/>
  <c r="X24"/>
  <c r="W24"/>
  <c r="T24"/>
  <c r="S24"/>
  <c r="P24"/>
  <c r="L24"/>
  <c r="K24"/>
  <c r="H24"/>
  <c r="G24"/>
  <c r="D24"/>
  <c r="C24"/>
  <c r="X23"/>
  <c r="W23"/>
  <c r="T23"/>
  <c r="S23"/>
  <c r="P23"/>
  <c r="L23"/>
  <c r="K23"/>
  <c r="H23"/>
  <c r="G23"/>
  <c r="D23"/>
  <c r="C23"/>
  <c r="X22"/>
  <c r="W22"/>
  <c r="T22"/>
  <c r="S22"/>
  <c r="P22"/>
  <c r="L22"/>
  <c r="K22"/>
  <c r="H22"/>
  <c r="G22"/>
  <c r="D22"/>
  <c r="C22"/>
  <c r="X21"/>
  <c r="W21"/>
  <c r="T21"/>
  <c r="S21"/>
  <c r="P21"/>
  <c r="L21"/>
  <c r="K21"/>
  <c r="H21"/>
  <c r="G21"/>
  <c r="D21"/>
  <c r="C21"/>
  <c r="X20"/>
  <c r="W20"/>
  <c r="T20"/>
  <c r="S20"/>
  <c r="P20"/>
  <c r="L20"/>
  <c r="K20"/>
  <c r="H20"/>
  <c r="G20"/>
  <c r="D20"/>
  <c r="C20"/>
  <c r="X19"/>
  <c r="W19"/>
  <c r="T19"/>
  <c r="S19"/>
  <c r="P19"/>
  <c r="L19"/>
  <c r="K19"/>
  <c r="H19"/>
  <c r="G19"/>
  <c r="D19"/>
  <c r="C19"/>
  <c r="X18"/>
  <c r="W18"/>
  <c r="T18"/>
  <c r="S18"/>
  <c r="P18"/>
  <c r="L18"/>
  <c r="K18"/>
  <c r="H18"/>
  <c r="G18"/>
  <c r="D18"/>
  <c r="C18"/>
  <c r="X17"/>
  <c r="W17"/>
  <c r="T17"/>
  <c r="S17"/>
  <c r="P17"/>
  <c r="L17"/>
  <c r="K17"/>
  <c r="H17"/>
  <c r="G17"/>
  <c r="D17"/>
  <c r="C17"/>
  <c r="X16"/>
  <c r="W16"/>
  <c r="T16"/>
  <c r="S16"/>
  <c r="P16"/>
  <c r="L16"/>
  <c r="K16"/>
  <c r="H16"/>
  <c r="G16"/>
  <c r="D16"/>
  <c r="C16"/>
  <c r="X15"/>
  <c r="W15"/>
  <c r="T15"/>
  <c r="S15"/>
  <c r="P15"/>
  <c r="L15"/>
  <c r="K15"/>
  <c r="H15"/>
  <c r="G15"/>
  <c r="D15"/>
  <c r="C15"/>
  <c r="X14"/>
  <c r="W14"/>
  <c r="T14"/>
  <c r="S14"/>
  <c r="P14"/>
  <c r="L14"/>
  <c r="K14"/>
  <c r="H14"/>
  <c r="G14"/>
  <c r="D14"/>
  <c r="C14"/>
  <c r="X13"/>
  <c r="W13"/>
  <c r="T13"/>
  <c r="S13"/>
  <c r="P13"/>
  <c r="L13"/>
  <c r="K13"/>
  <c r="H13"/>
  <c r="G13"/>
  <c r="D13"/>
  <c r="C13"/>
  <c r="X12"/>
  <c r="W12"/>
  <c r="T12"/>
  <c r="S12"/>
  <c r="P12"/>
  <c r="L12"/>
  <c r="K12"/>
  <c r="H12"/>
  <c r="G12"/>
  <c r="D12"/>
  <c r="C12"/>
  <c r="X11"/>
  <c r="W11"/>
  <c r="T11"/>
  <c r="S11"/>
  <c r="P11"/>
  <c r="L11"/>
  <c r="K11"/>
  <c r="H11"/>
  <c r="G11"/>
  <c r="D11"/>
  <c r="C11"/>
  <c r="X10"/>
  <c r="W10"/>
  <c r="T10"/>
  <c r="S10"/>
  <c r="P10"/>
  <c r="L10"/>
  <c r="K10"/>
  <c r="H10"/>
  <c r="G10"/>
  <c r="D10"/>
  <c r="C10"/>
  <c r="X9"/>
  <c r="W9"/>
  <c r="T9"/>
  <c r="S9"/>
  <c r="P9"/>
  <c r="L9"/>
  <c r="K9"/>
  <c r="H9"/>
  <c r="G9"/>
  <c r="D9"/>
  <c r="C9"/>
  <c r="X8"/>
  <c r="W8"/>
  <c r="T8"/>
  <c r="S8"/>
  <c r="P8"/>
  <c r="L8"/>
  <c r="K8"/>
  <c r="H8"/>
  <c r="G8"/>
  <c r="D8"/>
  <c r="C8"/>
  <c r="X7"/>
  <c r="W7"/>
  <c r="T7"/>
  <c r="S7"/>
  <c r="P7"/>
  <c r="L7"/>
  <c r="K7"/>
  <c r="H7"/>
  <c r="G7"/>
  <c r="D7"/>
  <c r="C7"/>
  <c r="X6"/>
  <c r="W6"/>
  <c r="T6"/>
  <c r="S6"/>
  <c r="P6"/>
  <c r="L6"/>
  <c r="K6"/>
  <c r="H6"/>
  <c r="G6"/>
  <c r="D6"/>
  <c r="C6"/>
  <c r="X5"/>
  <c r="W5"/>
  <c r="T5"/>
  <c r="S5"/>
  <c r="P5"/>
  <c r="L5"/>
  <c r="K5"/>
  <c r="H5"/>
  <c r="G5"/>
  <c r="D5"/>
  <c r="C5"/>
  <c r="X4"/>
  <c r="W4"/>
  <c r="T4"/>
  <c r="S4"/>
  <c r="P4"/>
  <c r="L4"/>
  <c r="K4"/>
  <c r="H4"/>
  <c r="G4"/>
  <c r="D4"/>
  <c r="C4"/>
  <c r="X123" i="40"/>
  <c r="W123"/>
  <c r="T123"/>
  <c r="S123"/>
  <c r="P123"/>
  <c r="O123"/>
  <c r="L123"/>
  <c r="K123"/>
  <c r="H123"/>
  <c r="G123"/>
  <c r="D123"/>
  <c r="C123"/>
  <c r="X122"/>
  <c r="W122"/>
  <c r="T122"/>
  <c r="S122"/>
  <c r="P122"/>
  <c r="O122"/>
  <c r="L122"/>
  <c r="K122"/>
  <c r="H122"/>
  <c r="G122"/>
  <c r="D122"/>
  <c r="C122"/>
  <c r="X121"/>
  <c r="W121"/>
  <c r="T121"/>
  <c r="S121"/>
  <c r="P121"/>
  <c r="O121"/>
  <c r="L121"/>
  <c r="K121"/>
  <c r="H121"/>
  <c r="G121"/>
  <c r="D121"/>
  <c r="C121"/>
  <c r="X120"/>
  <c r="W120"/>
  <c r="T120"/>
  <c r="S120"/>
  <c r="P120"/>
  <c r="O120"/>
  <c r="L120"/>
  <c r="K120"/>
  <c r="H120"/>
  <c r="G120"/>
  <c r="D120"/>
  <c r="C120"/>
  <c r="X119"/>
  <c r="W119"/>
  <c r="T119"/>
  <c r="S119"/>
  <c r="P119"/>
  <c r="O119"/>
  <c r="L119"/>
  <c r="K119"/>
  <c r="H119"/>
  <c r="G119"/>
  <c r="D119"/>
  <c r="C119"/>
  <c r="X118"/>
  <c r="W118"/>
  <c r="T118"/>
  <c r="S118"/>
  <c r="P118"/>
  <c r="O118"/>
  <c r="L118"/>
  <c r="K118"/>
  <c r="H118"/>
  <c r="G118"/>
  <c r="D118"/>
  <c r="C118"/>
  <c r="X117"/>
  <c r="W117"/>
  <c r="T117"/>
  <c r="S117"/>
  <c r="P117"/>
  <c r="O117"/>
  <c r="L117"/>
  <c r="K117"/>
  <c r="H117"/>
  <c r="G117"/>
  <c r="D117"/>
  <c r="C117"/>
  <c r="X116"/>
  <c r="W116"/>
  <c r="T116"/>
  <c r="S116"/>
  <c r="P116"/>
  <c r="O116"/>
  <c r="L116"/>
  <c r="K116"/>
  <c r="H116"/>
  <c r="G116"/>
  <c r="D116"/>
  <c r="C116"/>
  <c r="X115"/>
  <c r="W115"/>
  <c r="T115"/>
  <c r="S115"/>
  <c r="P115"/>
  <c r="O115"/>
  <c r="L115"/>
  <c r="K115"/>
  <c r="H115"/>
  <c r="G115"/>
  <c r="D115"/>
  <c r="C115"/>
  <c r="X114"/>
  <c r="W114"/>
  <c r="T114"/>
  <c r="S114"/>
  <c r="P114"/>
  <c r="O114"/>
  <c r="L114"/>
  <c r="K114"/>
  <c r="H114"/>
  <c r="G114"/>
  <c r="D114"/>
  <c r="C114"/>
  <c r="X113"/>
  <c r="W113"/>
  <c r="T113"/>
  <c r="S113"/>
  <c r="P113"/>
  <c r="O113"/>
  <c r="L113"/>
  <c r="K113"/>
  <c r="H113"/>
  <c r="G113"/>
  <c r="D113"/>
  <c r="C113"/>
  <c r="X112"/>
  <c r="W112"/>
  <c r="T112"/>
  <c r="S112"/>
  <c r="P112"/>
  <c r="O112"/>
  <c r="L112"/>
  <c r="K112"/>
  <c r="H112"/>
  <c r="G112"/>
  <c r="D112"/>
  <c r="C112"/>
  <c r="X111"/>
  <c r="W111"/>
  <c r="T111"/>
  <c r="S111"/>
  <c r="P111"/>
  <c r="O111"/>
  <c r="L111"/>
  <c r="K111"/>
  <c r="H111"/>
  <c r="G111"/>
  <c r="D111"/>
  <c r="C111"/>
  <c r="X110"/>
  <c r="W110"/>
  <c r="T110"/>
  <c r="S110"/>
  <c r="P110"/>
  <c r="O110"/>
  <c r="L110"/>
  <c r="K110"/>
  <c r="H110"/>
  <c r="G110"/>
  <c r="D110"/>
  <c r="C110"/>
  <c r="X109"/>
  <c r="W109"/>
  <c r="T109"/>
  <c r="S109"/>
  <c r="P109"/>
  <c r="O109"/>
  <c r="L109"/>
  <c r="K109"/>
  <c r="H109"/>
  <c r="G109"/>
  <c r="D109"/>
  <c r="C109"/>
  <c r="X108"/>
  <c r="W108"/>
  <c r="T108"/>
  <c r="S108"/>
  <c r="P108"/>
  <c r="O108"/>
  <c r="L108"/>
  <c r="K108"/>
  <c r="H108"/>
  <c r="G108"/>
  <c r="D108"/>
  <c r="C108"/>
  <c r="X107"/>
  <c r="W107"/>
  <c r="T107"/>
  <c r="S107"/>
  <c r="U107" s="1"/>
  <c r="P107"/>
  <c r="O107"/>
  <c r="L107"/>
  <c r="K107"/>
  <c r="H107"/>
  <c r="G107"/>
  <c r="D107"/>
  <c r="C107"/>
  <c r="X106"/>
  <c r="W106"/>
  <c r="T106"/>
  <c r="S106"/>
  <c r="P106"/>
  <c r="O106"/>
  <c r="L106"/>
  <c r="K106"/>
  <c r="M106" s="1"/>
  <c r="H106"/>
  <c r="G106"/>
  <c r="D106"/>
  <c r="C106"/>
  <c r="X105"/>
  <c r="W105"/>
  <c r="T105"/>
  <c r="S105"/>
  <c r="U105" s="1"/>
  <c r="P105"/>
  <c r="O105"/>
  <c r="L105"/>
  <c r="K105"/>
  <c r="H105"/>
  <c r="G105"/>
  <c r="D105"/>
  <c r="C105"/>
  <c r="E105" s="1"/>
  <c r="X104"/>
  <c r="W104"/>
  <c r="T104"/>
  <c r="S104"/>
  <c r="P104"/>
  <c r="O104"/>
  <c r="L104"/>
  <c r="K104"/>
  <c r="M104" s="1"/>
  <c r="H104"/>
  <c r="G104"/>
  <c r="I104" s="1"/>
  <c r="D104"/>
  <c r="C104"/>
  <c r="X103"/>
  <c r="W103"/>
  <c r="T103"/>
  <c r="S103"/>
  <c r="U103" s="1"/>
  <c r="P103"/>
  <c r="O103"/>
  <c r="Q103" s="1"/>
  <c r="L103"/>
  <c r="K103"/>
  <c r="H103"/>
  <c r="G103"/>
  <c r="D103"/>
  <c r="C103"/>
  <c r="E103" s="1"/>
  <c r="X102"/>
  <c r="W102"/>
  <c r="Y102" s="1"/>
  <c r="T102"/>
  <c r="S102"/>
  <c r="U102" s="1"/>
  <c r="P102"/>
  <c r="O102"/>
  <c r="L102"/>
  <c r="K102"/>
  <c r="M102" s="1"/>
  <c r="H102"/>
  <c r="G102"/>
  <c r="I102" s="1"/>
  <c r="D102"/>
  <c r="C102"/>
  <c r="X101"/>
  <c r="W101"/>
  <c r="T101"/>
  <c r="S101"/>
  <c r="U101" s="1"/>
  <c r="P101"/>
  <c r="O101"/>
  <c r="Q101" s="1"/>
  <c r="L101"/>
  <c r="K101"/>
  <c r="M101" s="1"/>
  <c r="H101"/>
  <c r="G101"/>
  <c r="D101"/>
  <c r="C101"/>
  <c r="E101" s="1"/>
  <c r="X100"/>
  <c r="W100"/>
  <c r="Y100" s="1"/>
  <c r="T100"/>
  <c r="S100"/>
  <c r="P100"/>
  <c r="O100"/>
  <c r="Q100" s="1"/>
  <c r="L100"/>
  <c r="K100"/>
  <c r="M100" s="1"/>
  <c r="H100"/>
  <c r="G100"/>
  <c r="I100" s="1"/>
  <c r="D100"/>
  <c r="C100"/>
  <c r="E100" s="1"/>
  <c r="X99"/>
  <c r="W99"/>
  <c r="T99"/>
  <c r="S99"/>
  <c r="U99" s="1"/>
  <c r="P99"/>
  <c r="O99"/>
  <c r="Q99" s="1"/>
  <c r="L99"/>
  <c r="K99"/>
  <c r="H99"/>
  <c r="G99"/>
  <c r="I99" s="1"/>
  <c r="D99"/>
  <c r="C99"/>
  <c r="E99" s="1"/>
  <c r="X98"/>
  <c r="W98"/>
  <c r="Y98" s="1"/>
  <c r="T98"/>
  <c r="S98"/>
  <c r="U98" s="1"/>
  <c r="P98"/>
  <c r="O98"/>
  <c r="L98"/>
  <c r="K98"/>
  <c r="M98" s="1"/>
  <c r="H98"/>
  <c r="G98"/>
  <c r="I98" s="1"/>
  <c r="D98"/>
  <c r="C98"/>
  <c r="E98" s="1"/>
  <c r="X97"/>
  <c r="W97"/>
  <c r="Y97" s="1"/>
  <c r="T97"/>
  <c r="S97"/>
  <c r="U97" s="1"/>
  <c r="P97"/>
  <c r="O97"/>
  <c r="Q97" s="1"/>
  <c r="L97"/>
  <c r="K97"/>
  <c r="M97" s="1"/>
  <c r="H97"/>
  <c r="G97"/>
  <c r="D97"/>
  <c r="C97"/>
  <c r="E97" s="1"/>
  <c r="X96"/>
  <c r="W96"/>
  <c r="Y96" s="1"/>
  <c r="T96"/>
  <c r="S96"/>
  <c r="P96"/>
  <c r="O96"/>
  <c r="Q96" s="1"/>
  <c r="L96"/>
  <c r="K96"/>
  <c r="M96" s="1"/>
  <c r="H96"/>
  <c r="G96"/>
  <c r="I96" s="1"/>
  <c r="D96"/>
  <c r="C96"/>
  <c r="E96" s="1"/>
  <c r="X95"/>
  <c r="W95"/>
  <c r="T95"/>
  <c r="S95"/>
  <c r="U95" s="1"/>
  <c r="P95"/>
  <c r="O95"/>
  <c r="Q95" s="1"/>
  <c r="L95"/>
  <c r="K95"/>
  <c r="M95" s="1"/>
  <c r="H95"/>
  <c r="G95"/>
  <c r="I95" s="1"/>
  <c r="D95"/>
  <c r="C95"/>
  <c r="E95" s="1"/>
  <c r="X94"/>
  <c r="W94"/>
  <c r="Y94" s="1"/>
  <c r="T94"/>
  <c r="S94"/>
  <c r="U94" s="1"/>
  <c r="P94"/>
  <c r="O94"/>
  <c r="L94"/>
  <c r="K94"/>
  <c r="M94" s="1"/>
  <c r="H94"/>
  <c r="G94"/>
  <c r="I94" s="1"/>
  <c r="D94"/>
  <c r="C94"/>
  <c r="X93"/>
  <c r="W93"/>
  <c r="Y93" s="1"/>
  <c r="T93"/>
  <c r="S93"/>
  <c r="U93" s="1"/>
  <c r="P93"/>
  <c r="O93"/>
  <c r="Q93" s="1"/>
  <c r="L93"/>
  <c r="K93"/>
  <c r="M93" s="1"/>
  <c r="H93"/>
  <c r="G93"/>
  <c r="D93"/>
  <c r="C93"/>
  <c r="E93" s="1"/>
  <c r="X92"/>
  <c r="W92"/>
  <c r="Y92" s="1"/>
  <c r="T92"/>
  <c r="S92"/>
  <c r="U92" s="1"/>
  <c r="P92"/>
  <c r="O92"/>
  <c r="Q92" s="1"/>
  <c r="L92"/>
  <c r="K92"/>
  <c r="M92" s="1"/>
  <c r="H92"/>
  <c r="G92"/>
  <c r="I92" s="1"/>
  <c r="D92"/>
  <c r="C92"/>
  <c r="E92" s="1"/>
  <c r="X91"/>
  <c r="W91"/>
  <c r="Y91" s="1"/>
  <c r="T91"/>
  <c r="S91"/>
  <c r="U91" s="1"/>
  <c r="P91"/>
  <c r="O91"/>
  <c r="Q91" s="1"/>
  <c r="L91"/>
  <c r="K91"/>
  <c r="H91"/>
  <c r="G91"/>
  <c r="I91" s="1"/>
  <c r="D91"/>
  <c r="C91"/>
  <c r="E91" s="1"/>
  <c r="X90"/>
  <c r="W90"/>
  <c r="Y90" s="1"/>
  <c r="T90"/>
  <c r="S90"/>
  <c r="U90" s="1"/>
  <c r="P90"/>
  <c r="O90"/>
  <c r="L90"/>
  <c r="K90"/>
  <c r="M90" s="1"/>
  <c r="H90"/>
  <c r="G90"/>
  <c r="I90" s="1"/>
  <c r="D90"/>
  <c r="C90"/>
  <c r="E90" s="1"/>
  <c r="X89"/>
  <c r="W89"/>
  <c r="Y89" s="1"/>
  <c r="T89"/>
  <c r="S89"/>
  <c r="U89" s="1"/>
  <c r="P89"/>
  <c r="O89"/>
  <c r="Q89" s="1"/>
  <c r="L89"/>
  <c r="K89"/>
  <c r="M89" s="1"/>
  <c r="H89"/>
  <c r="G89"/>
  <c r="I89" s="1"/>
  <c r="D89"/>
  <c r="C89"/>
  <c r="E89" s="1"/>
  <c r="X88"/>
  <c r="W88"/>
  <c r="Y88" s="1"/>
  <c r="T88"/>
  <c r="S88"/>
  <c r="U88" s="1"/>
  <c r="P88"/>
  <c r="O88"/>
  <c r="Q88" s="1"/>
  <c r="L88"/>
  <c r="K88"/>
  <c r="M88" s="1"/>
  <c r="H88"/>
  <c r="G88"/>
  <c r="I88" s="1"/>
  <c r="D88"/>
  <c r="C88"/>
  <c r="E88" s="1"/>
  <c r="X87"/>
  <c r="W87"/>
  <c r="T87"/>
  <c r="S87"/>
  <c r="U87" s="1"/>
  <c r="P87"/>
  <c r="O87"/>
  <c r="Q87" s="1"/>
  <c r="L87"/>
  <c r="K87"/>
  <c r="M87" s="1"/>
  <c r="H87"/>
  <c r="G87"/>
  <c r="I87" s="1"/>
  <c r="D87"/>
  <c r="C87"/>
  <c r="E87" s="1"/>
  <c r="X86"/>
  <c r="W86"/>
  <c r="Y86" s="1"/>
  <c r="T86"/>
  <c r="S86"/>
  <c r="U86" s="1"/>
  <c r="P86"/>
  <c r="O86"/>
  <c r="Q86" s="1"/>
  <c r="L86"/>
  <c r="K86"/>
  <c r="M86" s="1"/>
  <c r="H86"/>
  <c r="G86"/>
  <c r="I86" s="1"/>
  <c r="D86"/>
  <c r="C86"/>
  <c r="X85"/>
  <c r="W85"/>
  <c r="Y85" s="1"/>
  <c r="T85"/>
  <c r="S85"/>
  <c r="U85" s="1"/>
  <c r="P85"/>
  <c r="O85"/>
  <c r="Q85" s="1"/>
  <c r="L85"/>
  <c r="K85"/>
  <c r="M85" s="1"/>
  <c r="H85"/>
  <c r="G85"/>
  <c r="D85"/>
  <c r="C85"/>
  <c r="E85" s="1"/>
  <c r="X84"/>
  <c r="W84"/>
  <c r="Y84" s="1"/>
  <c r="T84"/>
  <c r="S84"/>
  <c r="U84" s="1"/>
  <c r="P84"/>
  <c r="O84"/>
  <c r="Q84" s="1"/>
  <c r="L84"/>
  <c r="K84"/>
  <c r="M84" s="1"/>
  <c r="H84"/>
  <c r="G84"/>
  <c r="I84" s="1"/>
  <c r="D84"/>
  <c r="C84"/>
  <c r="E84" s="1"/>
  <c r="X83"/>
  <c r="W83"/>
  <c r="Y83" s="1"/>
  <c r="T83"/>
  <c r="S83"/>
  <c r="U83" s="1"/>
  <c r="P83"/>
  <c r="O83"/>
  <c r="Q83" s="1"/>
  <c r="L83"/>
  <c r="K83"/>
  <c r="M83" s="1"/>
  <c r="H83"/>
  <c r="G83"/>
  <c r="I83" s="1"/>
  <c r="D83"/>
  <c r="C83"/>
  <c r="E83" s="1"/>
  <c r="X82"/>
  <c r="W82"/>
  <c r="Y82" s="1"/>
  <c r="T82"/>
  <c r="S82"/>
  <c r="U82" s="1"/>
  <c r="P82"/>
  <c r="O82"/>
  <c r="Q82" s="1"/>
  <c r="L82"/>
  <c r="K82"/>
  <c r="M82" s="1"/>
  <c r="H82"/>
  <c r="G82"/>
  <c r="I82" s="1"/>
  <c r="D82"/>
  <c r="C82"/>
  <c r="E82" s="1"/>
  <c r="X81"/>
  <c r="W81"/>
  <c r="Y81" s="1"/>
  <c r="T81"/>
  <c r="S81"/>
  <c r="U81" s="1"/>
  <c r="P81"/>
  <c r="O81"/>
  <c r="Q81" s="1"/>
  <c r="L81"/>
  <c r="K81"/>
  <c r="M81" s="1"/>
  <c r="H81"/>
  <c r="G81"/>
  <c r="D81"/>
  <c r="C81"/>
  <c r="E81" s="1"/>
  <c r="X80"/>
  <c r="W80"/>
  <c r="Y80" s="1"/>
  <c r="T80"/>
  <c r="S80"/>
  <c r="P80"/>
  <c r="O80"/>
  <c r="Q80" s="1"/>
  <c r="L80"/>
  <c r="K80"/>
  <c r="M80" s="1"/>
  <c r="H80"/>
  <c r="G80"/>
  <c r="I80" s="1"/>
  <c r="D80"/>
  <c r="C80"/>
  <c r="E80" s="1"/>
  <c r="X79"/>
  <c r="W79"/>
  <c r="Y79" s="1"/>
  <c r="T79"/>
  <c r="S79"/>
  <c r="U79" s="1"/>
  <c r="P79"/>
  <c r="O79"/>
  <c r="Q79" s="1"/>
  <c r="L79"/>
  <c r="K79"/>
  <c r="M79" s="1"/>
  <c r="H79"/>
  <c r="G79"/>
  <c r="I79" s="1"/>
  <c r="D79"/>
  <c r="C79"/>
  <c r="E79" s="1"/>
  <c r="X78"/>
  <c r="W78"/>
  <c r="Y78" s="1"/>
  <c r="T78"/>
  <c r="S78"/>
  <c r="U78" s="1"/>
  <c r="P78"/>
  <c r="O78"/>
  <c r="Q78" s="1"/>
  <c r="L78"/>
  <c r="K78"/>
  <c r="M78" s="1"/>
  <c r="H78"/>
  <c r="G78"/>
  <c r="I78" s="1"/>
  <c r="D78"/>
  <c r="C78"/>
  <c r="E78" s="1"/>
  <c r="X77"/>
  <c r="W77"/>
  <c r="Y77" s="1"/>
  <c r="T77"/>
  <c r="S77"/>
  <c r="U77" s="1"/>
  <c r="P77"/>
  <c r="O77"/>
  <c r="Q77" s="1"/>
  <c r="L77"/>
  <c r="K77"/>
  <c r="M77" s="1"/>
  <c r="H77"/>
  <c r="G77"/>
  <c r="I77" s="1"/>
  <c r="D77"/>
  <c r="C77"/>
  <c r="E77" s="1"/>
  <c r="X76"/>
  <c r="W76"/>
  <c r="Y76" s="1"/>
  <c r="T76"/>
  <c r="S76"/>
  <c r="U76" s="1"/>
  <c r="P76"/>
  <c r="O76"/>
  <c r="Q76" s="1"/>
  <c r="L76"/>
  <c r="K76"/>
  <c r="M76" s="1"/>
  <c r="H76"/>
  <c r="G76"/>
  <c r="I76" s="1"/>
  <c r="D76"/>
  <c r="C76"/>
  <c r="E76" s="1"/>
  <c r="X75"/>
  <c r="W75"/>
  <c r="T75"/>
  <c r="S75"/>
  <c r="U75" s="1"/>
  <c r="P75"/>
  <c r="O75"/>
  <c r="Q75" s="1"/>
  <c r="L75"/>
  <c r="K75"/>
  <c r="M75" s="1"/>
  <c r="H75"/>
  <c r="G75"/>
  <c r="I75" s="1"/>
  <c r="D75"/>
  <c r="C75"/>
  <c r="E75" s="1"/>
  <c r="X74"/>
  <c r="W74"/>
  <c r="Y74" s="1"/>
  <c r="T74"/>
  <c r="S74"/>
  <c r="U74" s="1"/>
  <c r="P74"/>
  <c r="O74"/>
  <c r="Q74" s="1"/>
  <c r="L74"/>
  <c r="K74"/>
  <c r="M74" s="1"/>
  <c r="H74"/>
  <c r="G74"/>
  <c r="I74" s="1"/>
  <c r="D74"/>
  <c r="C74"/>
  <c r="E74" s="1"/>
  <c r="X73"/>
  <c r="W73"/>
  <c r="Y73" s="1"/>
  <c r="T73"/>
  <c r="S73"/>
  <c r="U73" s="1"/>
  <c r="P73"/>
  <c r="O73"/>
  <c r="Q73" s="1"/>
  <c r="L73"/>
  <c r="K73"/>
  <c r="M73" s="1"/>
  <c r="H73"/>
  <c r="G73"/>
  <c r="I73" s="1"/>
  <c r="D73"/>
  <c r="C73"/>
  <c r="E73" s="1"/>
  <c r="X72"/>
  <c r="W72"/>
  <c r="Y72" s="1"/>
  <c r="T72"/>
  <c r="S72"/>
  <c r="U72" s="1"/>
  <c r="P72"/>
  <c r="O72"/>
  <c r="Q72" s="1"/>
  <c r="L72"/>
  <c r="K72"/>
  <c r="M72" s="1"/>
  <c r="H72"/>
  <c r="G72"/>
  <c r="I72" s="1"/>
  <c r="D72"/>
  <c r="C72"/>
  <c r="E72" s="1"/>
  <c r="X71"/>
  <c r="W71"/>
  <c r="Y71" s="1"/>
  <c r="T71"/>
  <c r="S71"/>
  <c r="U71" s="1"/>
  <c r="P71"/>
  <c r="O71"/>
  <c r="Q71" s="1"/>
  <c r="L71"/>
  <c r="K71"/>
  <c r="M71" s="1"/>
  <c r="H71"/>
  <c r="G71"/>
  <c r="I71" s="1"/>
  <c r="D71"/>
  <c r="C71"/>
  <c r="E71" s="1"/>
  <c r="X70"/>
  <c r="W70"/>
  <c r="Y70" s="1"/>
  <c r="T70"/>
  <c r="S70"/>
  <c r="U70" s="1"/>
  <c r="P70"/>
  <c r="O70"/>
  <c r="L70"/>
  <c r="K70"/>
  <c r="M70" s="1"/>
  <c r="H70"/>
  <c r="G70"/>
  <c r="I70" s="1"/>
  <c r="D70"/>
  <c r="C70"/>
  <c r="E70" s="1"/>
  <c r="X69"/>
  <c r="W69"/>
  <c r="Y69" s="1"/>
  <c r="T69"/>
  <c r="S69"/>
  <c r="U69" s="1"/>
  <c r="P69"/>
  <c r="O69"/>
  <c r="Q69" s="1"/>
  <c r="L69"/>
  <c r="K69"/>
  <c r="H69"/>
  <c r="G69"/>
  <c r="I69" s="1"/>
  <c r="D69"/>
  <c r="C69"/>
  <c r="X68"/>
  <c r="W68"/>
  <c r="Y68" s="1"/>
  <c r="T68"/>
  <c r="S68"/>
  <c r="U68" s="1"/>
  <c r="P68"/>
  <c r="O68"/>
  <c r="Q68" s="1"/>
  <c r="L68"/>
  <c r="K68"/>
  <c r="M68" s="1"/>
  <c r="H68"/>
  <c r="G68"/>
  <c r="I68" s="1"/>
  <c r="D68"/>
  <c r="C68"/>
  <c r="E68" s="1"/>
  <c r="X67"/>
  <c r="W67"/>
  <c r="T67"/>
  <c r="S67"/>
  <c r="U67" s="1"/>
  <c r="P67"/>
  <c r="O67"/>
  <c r="Q67" s="1"/>
  <c r="L67"/>
  <c r="K67"/>
  <c r="M67" s="1"/>
  <c r="H67"/>
  <c r="G67"/>
  <c r="I67" s="1"/>
  <c r="D67"/>
  <c r="C67"/>
  <c r="E67" s="1"/>
  <c r="X66"/>
  <c r="W66"/>
  <c r="Y66" s="1"/>
  <c r="T66"/>
  <c r="S66"/>
  <c r="U66" s="1"/>
  <c r="P66"/>
  <c r="O66"/>
  <c r="Q66" s="1"/>
  <c r="L66"/>
  <c r="K66"/>
  <c r="M66" s="1"/>
  <c r="H66"/>
  <c r="G66"/>
  <c r="I66" s="1"/>
  <c r="D66"/>
  <c r="C66"/>
  <c r="E66" s="1"/>
  <c r="X65"/>
  <c r="W65"/>
  <c r="Y65" s="1"/>
  <c r="T65"/>
  <c r="S65"/>
  <c r="U65" s="1"/>
  <c r="P65"/>
  <c r="O65"/>
  <c r="Q65" s="1"/>
  <c r="L65"/>
  <c r="K65"/>
  <c r="M65" s="1"/>
  <c r="H65"/>
  <c r="G65"/>
  <c r="I65" s="1"/>
  <c r="D65"/>
  <c r="C65"/>
  <c r="E65" s="1"/>
  <c r="X64"/>
  <c r="W64"/>
  <c r="Y64" s="1"/>
  <c r="T64"/>
  <c r="S64"/>
  <c r="U64" s="1"/>
  <c r="P64"/>
  <c r="O64"/>
  <c r="Q64" s="1"/>
  <c r="L64"/>
  <c r="K64"/>
  <c r="M64" s="1"/>
  <c r="H64"/>
  <c r="G64"/>
  <c r="I64" s="1"/>
  <c r="D64"/>
  <c r="C64"/>
  <c r="E64" s="1"/>
  <c r="X63"/>
  <c r="W63"/>
  <c r="Y63" s="1"/>
  <c r="T63"/>
  <c r="S63"/>
  <c r="U63" s="1"/>
  <c r="P63"/>
  <c r="O63"/>
  <c r="Q63" s="1"/>
  <c r="L63"/>
  <c r="K63"/>
  <c r="M63" s="1"/>
  <c r="H63"/>
  <c r="G63"/>
  <c r="I63" s="1"/>
  <c r="D63"/>
  <c r="C63"/>
  <c r="E63" s="1"/>
  <c r="X62"/>
  <c r="W62"/>
  <c r="Y62" s="1"/>
  <c r="T62"/>
  <c r="S62"/>
  <c r="U62" s="1"/>
  <c r="P62"/>
  <c r="O62"/>
  <c r="L62"/>
  <c r="K62"/>
  <c r="M62" s="1"/>
  <c r="H62"/>
  <c r="G62"/>
  <c r="I62" s="1"/>
  <c r="D62"/>
  <c r="C62"/>
  <c r="E62" s="1"/>
  <c r="X61"/>
  <c r="W61"/>
  <c r="Y61" s="1"/>
  <c r="T61"/>
  <c r="S61"/>
  <c r="U61" s="1"/>
  <c r="P61"/>
  <c r="O61"/>
  <c r="Q61" s="1"/>
  <c r="L61"/>
  <c r="K61"/>
  <c r="M61" s="1"/>
  <c r="H61"/>
  <c r="G61"/>
  <c r="I61" s="1"/>
  <c r="D61"/>
  <c r="C61"/>
  <c r="E61" s="1"/>
  <c r="X60"/>
  <c r="W60"/>
  <c r="Y60" s="1"/>
  <c r="T60"/>
  <c r="S60"/>
  <c r="U60" s="1"/>
  <c r="P60"/>
  <c r="O60"/>
  <c r="Q60" s="1"/>
  <c r="L60"/>
  <c r="K60"/>
  <c r="M60" s="1"/>
  <c r="H60"/>
  <c r="G60"/>
  <c r="I60" s="1"/>
  <c r="D60"/>
  <c r="C60"/>
  <c r="E60" s="1"/>
  <c r="X59"/>
  <c r="W59"/>
  <c r="Y59" s="1"/>
  <c r="T59"/>
  <c r="S59"/>
  <c r="U59" s="1"/>
  <c r="P59"/>
  <c r="O59"/>
  <c r="Q59" s="1"/>
  <c r="L59"/>
  <c r="K59"/>
  <c r="M59" s="1"/>
  <c r="H59"/>
  <c r="G59"/>
  <c r="I59" s="1"/>
  <c r="D59"/>
  <c r="C59"/>
  <c r="E59" s="1"/>
  <c r="X58"/>
  <c r="W58"/>
  <c r="Y58" s="1"/>
  <c r="T58"/>
  <c r="S58"/>
  <c r="U58" s="1"/>
  <c r="P58"/>
  <c r="O58"/>
  <c r="Q58" s="1"/>
  <c r="L58"/>
  <c r="K58"/>
  <c r="M58" s="1"/>
  <c r="H58"/>
  <c r="G58"/>
  <c r="I58" s="1"/>
  <c r="D58"/>
  <c r="C58"/>
  <c r="X57"/>
  <c r="W57"/>
  <c r="Y57" s="1"/>
  <c r="T57"/>
  <c r="S57"/>
  <c r="U57" s="1"/>
  <c r="P57"/>
  <c r="O57"/>
  <c r="Q57" s="1"/>
  <c r="L57"/>
  <c r="K57"/>
  <c r="M57" s="1"/>
  <c r="H57"/>
  <c r="G57"/>
  <c r="D57"/>
  <c r="C57"/>
  <c r="E57" s="1"/>
  <c r="X56"/>
  <c r="W56"/>
  <c r="Y56" s="1"/>
  <c r="T56"/>
  <c r="S56"/>
  <c r="U56" s="1"/>
  <c r="P56"/>
  <c r="O56"/>
  <c r="Q56" s="1"/>
  <c r="L56"/>
  <c r="K56"/>
  <c r="M56" s="1"/>
  <c r="H56"/>
  <c r="G56"/>
  <c r="I56" s="1"/>
  <c r="D56"/>
  <c r="C56"/>
  <c r="E56" s="1"/>
  <c r="X55"/>
  <c r="W55"/>
  <c r="Y55" s="1"/>
  <c r="T55"/>
  <c r="S55"/>
  <c r="U55" s="1"/>
  <c r="P55"/>
  <c r="O55"/>
  <c r="Q55" s="1"/>
  <c r="L55"/>
  <c r="K55"/>
  <c r="M55" s="1"/>
  <c r="H55"/>
  <c r="G55"/>
  <c r="I55" s="1"/>
  <c r="D55"/>
  <c r="C55"/>
  <c r="E55" s="1"/>
  <c r="X54"/>
  <c r="W54"/>
  <c r="Y54" s="1"/>
  <c r="T54"/>
  <c r="S54"/>
  <c r="U54" s="1"/>
  <c r="P54"/>
  <c r="O54"/>
  <c r="Q54" s="1"/>
  <c r="L54"/>
  <c r="K54"/>
  <c r="M54" s="1"/>
  <c r="H54"/>
  <c r="G54"/>
  <c r="I54" s="1"/>
  <c r="D54"/>
  <c r="C54"/>
  <c r="E54" s="1"/>
  <c r="X53"/>
  <c r="W53"/>
  <c r="Y53" s="1"/>
  <c r="T53"/>
  <c r="S53"/>
  <c r="U53" s="1"/>
  <c r="P53"/>
  <c r="O53"/>
  <c r="Q53" s="1"/>
  <c r="L53"/>
  <c r="K53"/>
  <c r="M53" s="1"/>
  <c r="H53"/>
  <c r="G53"/>
  <c r="I53" s="1"/>
  <c r="D53"/>
  <c r="C53"/>
  <c r="E53" s="1"/>
  <c r="X52"/>
  <c r="W52"/>
  <c r="Y52" s="1"/>
  <c r="T52"/>
  <c r="S52"/>
  <c r="P52"/>
  <c r="O52"/>
  <c r="Q52" s="1"/>
  <c r="L52"/>
  <c r="K52"/>
  <c r="M52" s="1"/>
  <c r="H52"/>
  <c r="G52"/>
  <c r="I52" s="1"/>
  <c r="D52"/>
  <c r="C52"/>
  <c r="E52" s="1"/>
  <c r="X51"/>
  <c r="W51"/>
  <c r="T51"/>
  <c r="S51"/>
  <c r="U51" s="1"/>
  <c r="P51"/>
  <c r="O51"/>
  <c r="Q51" s="1"/>
  <c r="L51"/>
  <c r="K51"/>
  <c r="M51" s="1"/>
  <c r="H51"/>
  <c r="G51"/>
  <c r="I51" s="1"/>
  <c r="D51"/>
  <c r="C51"/>
  <c r="E51" s="1"/>
  <c r="X50"/>
  <c r="W50"/>
  <c r="Y50" s="1"/>
  <c r="T50"/>
  <c r="S50"/>
  <c r="U50" s="1"/>
  <c r="P50"/>
  <c r="O50"/>
  <c r="Q50" s="1"/>
  <c r="L50"/>
  <c r="K50"/>
  <c r="M50" s="1"/>
  <c r="H50"/>
  <c r="G50"/>
  <c r="I50" s="1"/>
  <c r="D50"/>
  <c r="C50"/>
  <c r="E50" s="1"/>
  <c r="X49"/>
  <c r="W49"/>
  <c r="Y49" s="1"/>
  <c r="T49"/>
  <c r="S49"/>
  <c r="U49" s="1"/>
  <c r="P49"/>
  <c r="O49"/>
  <c r="Q49" s="1"/>
  <c r="L49"/>
  <c r="K49"/>
  <c r="M49" s="1"/>
  <c r="H49"/>
  <c r="G49"/>
  <c r="I49" s="1"/>
  <c r="D49"/>
  <c r="C49"/>
  <c r="E49" s="1"/>
  <c r="X48"/>
  <c r="W48"/>
  <c r="Y48" s="1"/>
  <c r="T48"/>
  <c r="S48"/>
  <c r="U48" s="1"/>
  <c r="P48"/>
  <c r="O48"/>
  <c r="Q48" s="1"/>
  <c r="L48"/>
  <c r="K48"/>
  <c r="M48" s="1"/>
  <c r="H48"/>
  <c r="G48"/>
  <c r="I48" s="1"/>
  <c r="D48"/>
  <c r="C48"/>
  <c r="E48" s="1"/>
  <c r="X47"/>
  <c r="W47"/>
  <c r="Y47" s="1"/>
  <c r="T47"/>
  <c r="S47"/>
  <c r="U47" s="1"/>
  <c r="P47"/>
  <c r="O47"/>
  <c r="Q47" s="1"/>
  <c r="L47"/>
  <c r="K47"/>
  <c r="H47"/>
  <c r="G47"/>
  <c r="I47" s="1"/>
  <c r="D47"/>
  <c r="C47"/>
  <c r="E47" s="1"/>
  <c r="X46"/>
  <c r="W46"/>
  <c r="Y46" s="1"/>
  <c r="T46"/>
  <c r="S46"/>
  <c r="U46" s="1"/>
  <c r="P46"/>
  <c r="O46"/>
  <c r="Q46" s="1"/>
  <c r="L46"/>
  <c r="K46"/>
  <c r="M46" s="1"/>
  <c r="H46"/>
  <c r="G46"/>
  <c r="I46" s="1"/>
  <c r="D46"/>
  <c r="C46"/>
  <c r="E46" s="1"/>
  <c r="X45"/>
  <c r="W45"/>
  <c r="Y45" s="1"/>
  <c r="T45"/>
  <c r="S45"/>
  <c r="U45" s="1"/>
  <c r="P45"/>
  <c r="O45"/>
  <c r="Q45" s="1"/>
  <c r="L45"/>
  <c r="K45"/>
  <c r="M45" s="1"/>
  <c r="H45"/>
  <c r="G45"/>
  <c r="I45" s="1"/>
  <c r="D45"/>
  <c r="C45"/>
  <c r="E45" s="1"/>
  <c r="X44"/>
  <c r="W44"/>
  <c r="Y44" s="1"/>
  <c r="T44"/>
  <c r="S44"/>
  <c r="U44" s="1"/>
  <c r="P44"/>
  <c r="O44"/>
  <c r="L44"/>
  <c r="K44"/>
  <c r="M44" s="1"/>
  <c r="H44"/>
  <c r="G44"/>
  <c r="I44" s="1"/>
  <c r="D44"/>
  <c r="C44"/>
  <c r="E44" s="1"/>
  <c r="X43"/>
  <c r="W43"/>
  <c r="Y43" s="1"/>
  <c r="T43"/>
  <c r="S43"/>
  <c r="U43" s="1"/>
  <c r="P43"/>
  <c r="O43"/>
  <c r="Q43" s="1"/>
  <c r="L43"/>
  <c r="K43"/>
  <c r="M43" s="1"/>
  <c r="H43"/>
  <c r="G43"/>
  <c r="I43" s="1"/>
  <c r="D43"/>
  <c r="C43"/>
  <c r="E43" s="1"/>
  <c r="X42"/>
  <c r="W42"/>
  <c r="Y42" s="1"/>
  <c r="T42"/>
  <c r="S42"/>
  <c r="U42" s="1"/>
  <c r="P42"/>
  <c r="O42"/>
  <c r="Q42" s="1"/>
  <c r="L42"/>
  <c r="K42"/>
  <c r="M42" s="1"/>
  <c r="H42"/>
  <c r="G42"/>
  <c r="I42" s="1"/>
  <c r="D42"/>
  <c r="C42"/>
  <c r="X41"/>
  <c r="W41"/>
  <c r="Y41" s="1"/>
  <c r="T41"/>
  <c r="S41"/>
  <c r="U41" s="1"/>
  <c r="P41"/>
  <c r="O41"/>
  <c r="Q41" s="1"/>
  <c r="L41"/>
  <c r="K41"/>
  <c r="M41" s="1"/>
  <c r="H41"/>
  <c r="G41"/>
  <c r="I41" s="1"/>
  <c r="D41"/>
  <c r="C41"/>
  <c r="E41" s="1"/>
  <c r="X40"/>
  <c r="W40"/>
  <c r="Y40" s="1"/>
  <c r="T40"/>
  <c r="S40"/>
  <c r="U40" s="1"/>
  <c r="P40"/>
  <c r="O40"/>
  <c r="Q40" s="1"/>
  <c r="L40"/>
  <c r="K40"/>
  <c r="M40" s="1"/>
  <c r="H40"/>
  <c r="G40"/>
  <c r="I40" s="1"/>
  <c r="D40"/>
  <c r="C40"/>
  <c r="E40" s="1"/>
  <c r="X39"/>
  <c r="W39"/>
  <c r="Y39" s="1"/>
  <c r="T39"/>
  <c r="S39"/>
  <c r="U39" s="1"/>
  <c r="P39"/>
  <c r="O39"/>
  <c r="Q39" s="1"/>
  <c r="L39"/>
  <c r="K39"/>
  <c r="M39" s="1"/>
  <c r="H39"/>
  <c r="G39"/>
  <c r="I39" s="1"/>
  <c r="D39"/>
  <c r="C39"/>
  <c r="E39" s="1"/>
  <c r="X38"/>
  <c r="W38"/>
  <c r="Y38" s="1"/>
  <c r="T38"/>
  <c r="S38"/>
  <c r="U38" s="1"/>
  <c r="P38"/>
  <c r="O38"/>
  <c r="Q38" s="1"/>
  <c r="L38"/>
  <c r="K38"/>
  <c r="M38" s="1"/>
  <c r="H38"/>
  <c r="G38"/>
  <c r="I38" s="1"/>
  <c r="D38"/>
  <c r="C38"/>
  <c r="E38" s="1"/>
  <c r="X37"/>
  <c r="W37"/>
  <c r="Y37" s="1"/>
  <c r="T37"/>
  <c r="S37"/>
  <c r="U37" s="1"/>
  <c r="P37"/>
  <c r="O37"/>
  <c r="L37"/>
  <c r="K37"/>
  <c r="M37" s="1"/>
  <c r="H37"/>
  <c r="G37"/>
  <c r="I37" s="1"/>
  <c r="D37"/>
  <c r="C37"/>
  <c r="E37" s="1"/>
  <c r="X36"/>
  <c r="W36"/>
  <c r="Y36" s="1"/>
  <c r="T36"/>
  <c r="S36"/>
  <c r="P36"/>
  <c r="O36"/>
  <c r="Q36" s="1"/>
  <c r="L36"/>
  <c r="K36"/>
  <c r="M36" s="1"/>
  <c r="H36"/>
  <c r="G36"/>
  <c r="I36" s="1"/>
  <c r="D36"/>
  <c r="C36"/>
  <c r="E36" s="1"/>
  <c r="X35"/>
  <c r="W35"/>
  <c r="Y35" s="1"/>
  <c r="T35"/>
  <c r="S35"/>
  <c r="U35" s="1"/>
  <c r="P35"/>
  <c r="O35"/>
  <c r="Q35" s="1"/>
  <c r="L35"/>
  <c r="K35"/>
  <c r="M35" s="1"/>
  <c r="H35"/>
  <c r="G35"/>
  <c r="I35" s="1"/>
  <c r="D35"/>
  <c r="C35"/>
  <c r="E35" s="1"/>
  <c r="X34"/>
  <c r="W34"/>
  <c r="Y34" s="1"/>
  <c r="T34"/>
  <c r="S34"/>
  <c r="U34" s="1"/>
  <c r="P34"/>
  <c r="O34"/>
  <c r="Q34" s="1"/>
  <c r="L34"/>
  <c r="K34"/>
  <c r="M34" s="1"/>
  <c r="H34"/>
  <c r="G34"/>
  <c r="I34" s="1"/>
  <c r="D34"/>
  <c r="C34"/>
  <c r="E34" s="1"/>
  <c r="X33"/>
  <c r="W33"/>
  <c r="Y33" s="1"/>
  <c r="T33"/>
  <c r="S33"/>
  <c r="U33" s="1"/>
  <c r="P33"/>
  <c r="O33"/>
  <c r="Q33" s="1"/>
  <c r="L33"/>
  <c r="K33"/>
  <c r="M33" s="1"/>
  <c r="H33"/>
  <c r="G33"/>
  <c r="I33" s="1"/>
  <c r="D33"/>
  <c r="C33"/>
  <c r="E33" s="1"/>
  <c r="X32"/>
  <c r="W32"/>
  <c r="Y32" s="1"/>
  <c r="T32"/>
  <c r="S32"/>
  <c r="U32" s="1"/>
  <c r="P32"/>
  <c r="O32"/>
  <c r="Q32" s="1"/>
  <c r="L32"/>
  <c r="K32"/>
  <c r="M32" s="1"/>
  <c r="H32"/>
  <c r="G32"/>
  <c r="I32" s="1"/>
  <c r="D32"/>
  <c r="C32"/>
  <c r="E32" s="1"/>
  <c r="X31"/>
  <c r="W31"/>
  <c r="Y31" s="1"/>
  <c r="T31"/>
  <c r="S31"/>
  <c r="U31" s="1"/>
  <c r="P31"/>
  <c r="O31"/>
  <c r="Q31" s="1"/>
  <c r="L31"/>
  <c r="K31"/>
  <c r="H31"/>
  <c r="G31"/>
  <c r="I31" s="1"/>
  <c r="D31"/>
  <c r="C31"/>
  <c r="E31" s="1"/>
  <c r="X30"/>
  <c r="W30"/>
  <c r="Y30" s="1"/>
  <c r="T30"/>
  <c r="S30"/>
  <c r="U30" s="1"/>
  <c r="P30"/>
  <c r="O30"/>
  <c r="L30"/>
  <c r="K30"/>
  <c r="M30" s="1"/>
  <c r="H30"/>
  <c r="G30"/>
  <c r="I30" s="1"/>
  <c r="D30"/>
  <c r="C30"/>
  <c r="E30" s="1"/>
  <c r="X29"/>
  <c r="W29"/>
  <c r="Y29" s="1"/>
  <c r="T29"/>
  <c r="S29"/>
  <c r="U29" s="1"/>
  <c r="P29"/>
  <c r="O29"/>
  <c r="Q29" s="1"/>
  <c r="L29"/>
  <c r="K29"/>
  <c r="M29" s="1"/>
  <c r="H29"/>
  <c r="G29"/>
  <c r="I29" s="1"/>
  <c r="D29"/>
  <c r="C29"/>
  <c r="E29" s="1"/>
  <c r="X28"/>
  <c r="W28"/>
  <c r="Y28" s="1"/>
  <c r="T28"/>
  <c r="S28"/>
  <c r="U28" s="1"/>
  <c r="P28"/>
  <c r="O28"/>
  <c r="Q28" s="1"/>
  <c r="L28"/>
  <c r="K28"/>
  <c r="M28" s="1"/>
  <c r="H28"/>
  <c r="G28"/>
  <c r="I28" s="1"/>
  <c r="D28"/>
  <c r="C28"/>
  <c r="E28" s="1"/>
  <c r="X27"/>
  <c r="W27"/>
  <c r="Y27" s="1"/>
  <c r="T27"/>
  <c r="S27"/>
  <c r="U27" s="1"/>
  <c r="P27"/>
  <c r="O27"/>
  <c r="Q27" s="1"/>
  <c r="L27"/>
  <c r="K27"/>
  <c r="M27" s="1"/>
  <c r="H27"/>
  <c r="G27"/>
  <c r="I27" s="1"/>
  <c r="D27"/>
  <c r="C27"/>
  <c r="E27" s="1"/>
  <c r="X26"/>
  <c r="W26"/>
  <c r="Y26" s="1"/>
  <c r="T26"/>
  <c r="S26"/>
  <c r="U26" s="1"/>
  <c r="P26"/>
  <c r="O26"/>
  <c r="Q26" s="1"/>
  <c r="L26"/>
  <c r="K26"/>
  <c r="M26" s="1"/>
  <c r="H26"/>
  <c r="G26"/>
  <c r="I26" s="1"/>
  <c r="D26"/>
  <c r="C26"/>
  <c r="X25"/>
  <c r="W25"/>
  <c r="Y25" s="1"/>
  <c r="T25"/>
  <c r="S25"/>
  <c r="U25" s="1"/>
  <c r="P25"/>
  <c r="O25"/>
  <c r="Q25" s="1"/>
  <c r="L25"/>
  <c r="K25"/>
  <c r="M25" s="1"/>
  <c r="H25"/>
  <c r="G25"/>
  <c r="I25" s="1"/>
  <c r="D25"/>
  <c r="C25"/>
  <c r="E25" s="1"/>
  <c r="X24"/>
  <c r="W24"/>
  <c r="Y24" s="1"/>
  <c r="T24"/>
  <c r="S24"/>
  <c r="U24" s="1"/>
  <c r="P24"/>
  <c r="O24"/>
  <c r="Q24" s="1"/>
  <c r="L24"/>
  <c r="K24"/>
  <c r="M24" s="1"/>
  <c r="H24"/>
  <c r="G24"/>
  <c r="I24" s="1"/>
  <c r="D24"/>
  <c r="C24"/>
  <c r="E24" s="1"/>
  <c r="X23"/>
  <c r="W23"/>
  <c r="Y23" s="1"/>
  <c r="T23"/>
  <c r="S23"/>
  <c r="U23" s="1"/>
  <c r="P23"/>
  <c r="O23"/>
  <c r="Q23" s="1"/>
  <c r="L23"/>
  <c r="K23"/>
  <c r="M23" s="1"/>
  <c r="H23"/>
  <c r="G23"/>
  <c r="D23"/>
  <c r="C23"/>
  <c r="E23" s="1"/>
  <c r="X22"/>
  <c r="W22"/>
  <c r="Y22" s="1"/>
  <c r="T22"/>
  <c r="S22"/>
  <c r="U22" s="1"/>
  <c r="P22"/>
  <c r="O22"/>
  <c r="Q22" s="1"/>
  <c r="L22"/>
  <c r="K22"/>
  <c r="M22" s="1"/>
  <c r="H22"/>
  <c r="G22"/>
  <c r="I22" s="1"/>
  <c r="D22"/>
  <c r="C22"/>
  <c r="E22" s="1"/>
  <c r="X21"/>
  <c r="W21"/>
  <c r="Y21" s="1"/>
  <c r="T21"/>
  <c r="S21"/>
  <c r="U21" s="1"/>
  <c r="P21"/>
  <c r="O21"/>
  <c r="Q21" s="1"/>
  <c r="L21"/>
  <c r="K21"/>
  <c r="M21" s="1"/>
  <c r="H21"/>
  <c r="G21"/>
  <c r="I21" s="1"/>
  <c r="D21"/>
  <c r="C21"/>
  <c r="E21" s="1"/>
  <c r="X20"/>
  <c r="W20"/>
  <c r="Y20" s="1"/>
  <c r="T20"/>
  <c r="S20"/>
  <c r="P20"/>
  <c r="O20"/>
  <c r="Q20" s="1"/>
  <c r="L20"/>
  <c r="K20"/>
  <c r="M20" s="1"/>
  <c r="H20"/>
  <c r="G20"/>
  <c r="I20" s="1"/>
  <c r="D20"/>
  <c r="C20"/>
  <c r="E20" s="1"/>
  <c r="X19"/>
  <c r="W19"/>
  <c r="Y19" s="1"/>
  <c r="T19"/>
  <c r="S19"/>
  <c r="U19" s="1"/>
  <c r="P19"/>
  <c r="O19"/>
  <c r="Q19" s="1"/>
  <c r="L19"/>
  <c r="K19"/>
  <c r="M19" s="1"/>
  <c r="H19"/>
  <c r="G19"/>
  <c r="I19" s="1"/>
  <c r="D19"/>
  <c r="C19"/>
  <c r="E19" s="1"/>
  <c r="X18"/>
  <c r="W18"/>
  <c r="Y18" s="1"/>
  <c r="T18"/>
  <c r="S18"/>
  <c r="U18" s="1"/>
  <c r="P18"/>
  <c r="O18"/>
  <c r="Q18" s="1"/>
  <c r="L18"/>
  <c r="K18"/>
  <c r="M18" s="1"/>
  <c r="H18"/>
  <c r="G18"/>
  <c r="I18" s="1"/>
  <c r="D18"/>
  <c r="C18"/>
  <c r="E18" s="1"/>
  <c r="X17"/>
  <c r="W17"/>
  <c r="Y17" s="1"/>
  <c r="T17"/>
  <c r="S17"/>
  <c r="U17" s="1"/>
  <c r="P17"/>
  <c r="O17"/>
  <c r="Q17" s="1"/>
  <c r="L17"/>
  <c r="K17"/>
  <c r="M17" s="1"/>
  <c r="H17"/>
  <c r="G17"/>
  <c r="I17" s="1"/>
  <c r="D17"/>
  <c r="C17"/>
  <c r="E17" s="1"/>
  <c r="X16"/>
  <c r="W16"/>
  <c r="Y16" s="1"/>
  <c r="T16"/>
  <c r="S16"/>
  <c r="U16" s="1"/>
  <c r="P16"/>
  <c r="O16"/>
  <c r="Q16" s="1"/>
  <c r="L16"/>
  <c r="K16"/>
  <c r="M16" s="1"/>
  <c r="H16"/>
  <c r="G16"/>
  <c r="D16"/>
  <c r="C16"/>
  <c r="E16" s="1"/>
  <c r="X15"/>
  <c r="W15"/>
  <c r="Y15" s="1"/>
  <c r="T15"/>
  <c r="S15"/>
  <c r="U15" s="1"/>
  <c r="P15"/>
  <c r="O15"/>
  <c r="Q15" s="1"/>
  <c r="L15"/>
  <c r="K15"/>
  <c r="H15"/>
  <c r="G15"/>
  <c r="I15" s="1"/>
  <c r="D15"/>
  <c r="C15"/>
  <c r="E15" s="1"/>
  <c r="X14"/>
  <c r="W14"/>
  <c r="Y14" s="1"/>
  <c r="T14"/>
  <c r="S14"/>
  <c r="U14" s="1"/>
  <c r="P14"/>
  <c r="O14"/>
  <c r="Q14" s="1"/>
  <c r="L14"/>
  <c r="K14"/>
  <c r="M14" s="1"/>
  <c r="H14"/>
  <c r="G14"/>
  <c r="I14" s="1"/>
  <c r="D14"/>
  <c r="C14"/>
  <c r="E14" s="1"/>
  <c r="X13"/>
  <c r="W13"/>
  <c r="Y13" s="1"/>
  <c r="T13"/>
  <c r="S13"/>
  <c r="U13" s="1"/>
  <c r="P13"/>
  <c r="O13"/>
  <c r="Q13" s="1"/>
  <c r="L13"/>
  <c r="K13"/>
  <c r="M13" s="1"/>
  <c r="H13"/>
  <c r="G13"/>
  <c r="I13" s="1"/>
  <c r="D13"/>
  <c r="C13"/>
  <c r="E13" s="1"/>
  <c r="X12"/>
  <c r="W12"/>
  <c r="Y12" s="1"/>
  <c r="T12"/>
  <c r="S12"/>
  <c r="U12" s="1"/>
  <c r="P12"/>
  <c r="O12"/>
  <c r="Q12" s="1"/>
  <c r="L12"/>
  <c r="K12"/>
  <c r="M12" s="1"/>
  <c r="H12"/>
  <c r="G12"/>
  <c r="I12" s="1"/>
  <c r="D12"/>
  <c r="C12"/>
  <c r="E12" s="1"/>
  <c r="X11"/>
  <c r="W11"/>
  <c r="Y11" s="1"/>
  <c r="T11"/>
  <c r="S11"/>
  <c r="U11" s="1"/>
  <c r="P11"/>
  <c r="O11"/>
  <c r="Q11" s="1"/>
  <c r="L11"/>
  <c r="K11"/>
  <c r="M11" s="1"/>
  <c r="H11"/>
  <c r="G11"/>
  <c r="I11" s="1"/>
  <c r="D11"/>
  <c r="C11"/>
  <c r="E11" s="1"/>
  <c r="X10"/>
  <c r="W10"/>
  <c r="Y10" s="1"/>
  <c r="T10"/>
  <c r="S10"/>
  <c r="U10" s="1"/>
  <c r="P10"/>
  <c r="O10"/>
  <c r="Q10" s="1"/>
  <c r="L10"/>
  <c r="K10"/>
  <c r="M10" s="1"/>
  <c r="H10"/>
  <c r="G10"/>
  <c r="I10" s="1"/>
  <c r="D10"/>
  <c r="C10"/>
  <c r="X9"/>
  <c r="W9"/>
  <c r="Y9" s="1"/>
  <c r="T9"/>
  <c r="S9"/>
  <c r="U9" s="1"/>
  <c r="P9"/>
  <c r="O9"/>
  <c r="Q9" s="1"/>
  <c r="L9"/>
  <c r="K9"/>
  <c r="M9" s="1"/>
  <c r="H9"/>
  <c r="G9"/>
  <c r="I9" s="1"/>
  <c r="D9"/>
  <c r="C9"/>
  <c r="E9" s="1"/>
  <c r="X8"/>
  <c r="W8"/>
  <c r="Y8" s="1"/>
  <c r="T8"/>
  <c r="S8"/>
  <c r="U8" s="1"/>
  <c r="P8"/>
  <c r="O8"/>
  <c r="Q8" s="1"/>
  <c r="L8"/>
  <c r="K8"/>
  <c r="M8" s="1"/>
  <c r="H8"/>
  <c r="G8"/>
  <c r="I8" s="1"/>
  <c r="D8"/>
  <c r="C8"/>
  <c r="E8" s="1"/>
  <c r="X7"/>
  <c r="W7"/>
  <c r="Y7" s="1"/>
  <c r="T7"/>
  <c r="S7"/>
  <c r="U7" s="1"/>
  <c r="P7"/>
  <c r="O7"/>
  <c r="Q7" s="1"/>
  <c r="L7"/>
  <c r="K7"/>
  <c r="M7" s="1"/>
  <c r="H7"/>
  <c r="G7"/>
  <c r="I7" s="1"/>
  <c r="D7"/>
  <c r="C7"/>
  <c r="E7" s="1"/>
  <c r="X6"/>
  <c r="W6"/>
  <c r="Y6" s="1"/>
  <c r="T6"/>
  <c r="S6"/>
  <c r="U6" s="1"/>
  <c r="P6"/>
  <c r="O6"/>
  <c r="Q6" s="1"/>
  <c r="L6"/>
  <c r="K6"/>
  <c r="M6" s="1"/>
  <c r="H6"/>
  <c r="G6"/>
  <c r="I6" s="1"/>
  <c r="D6"/>
  <c r="C6"/>
  <c r="E6" s="1"/>
  <c r="X5"/>
  <c r="W5"/>
  <c r="Y5" s="1"/>
  <c r="T5"/>
  <c r="S5"/>
  <c r="U5" s="1"/>
  <c r="P5"/>
  <c r="O5"/>
  <c r="Q5" s="1"/>
  <c r="L5"/>
  <c r="K5"/>
  <c r="M5" s="1"/>
  <c r="H5"/>
  <c r="G5"/>
  <c r="I5" s="1"/>
  <c r="D5"/>
  <c r="C5"/>
  <c r="E5" s="1"/>
  <c r="X4"/>
  <c r="W4"/>
  <c r="Y4" s="1"/>
  <c r="T4"/>
  <c r="S4"/>
  <c r="P4"/>
  <c r="O4"/>
  <c r="Q4" s="1"/>
  <c r="L4"/>
  <c r="K4"/>
  <c r="M4" s="1"/>
  <c r="H4"/>
  <c r="G4"/>
  <c r="I4" s="1"/>
  <c r="D4"/>
  <c r="C4"/>
  <c r="C124" s="1"/>
  <c r="C125" s="1"/>
  <c r="X123" i="39"/>
  <c r="W123"/>
  <c r="Y123" s="1"/>
  <c r="T123"/>
  <c r="S123"/>
  <c r="U123" s="1"/>
  <c r="P123"/>
  <c r="O123"/>
  <c r="L123"/>
  <c r="K123"/>
  <c r="H123"/>
  <c r="G123"/>
  <c r="I123" s="1"/>
  <c r="D123"/>
  <c r="C123"/>
  <c r="E123" s="1"/>
  <c r="X122"/>
  <c r="W122"/>
  <c r="Y122" s="1"/>
  <c r="T122"/>
  <c r="S122"/>
  <c r="U122" s="1"/>
  <c r="P122"/>
  <c r="O122"/>
  <c r="Q122" s="1"/>
  <c r="L122"/>
  <c r="K122"/>
  <c r="H122"/>
  <c r="G122"/>
  <c r="I122" s="1"/>
  <c r="D122"/>
  <c r="C122"/>
  <c r="E122" s="1"/>
  <c r="X121"/>
  <c r="W121"/>
  <c r="Y121" s="1"/>
  <c r="T121"/>
  <c r="S121"/>
  <c r="U121" s="1"/>
  <c r="P121"/>
  <c r="O121"/>
  <c r="L121"/>
  <c r="K121"/>
  <c r="M121" s="1"/>
  <c r="H121"/>
  <c r="G121"/>
  <c r="I121" s="1"/>
  <c r="D121"/>
  <c r="C121"/>
  <c r="X120"/>
  <c r="W120"/>
  <c r="T120"/>
  <c r="S120"/>
  <c r="U120" s="1"/>
  <c r="P120"/>
  <c r="O120"/>
  <c r="Q120" s="1"/>
  <c r="L120"/>
  <c r="K120"/>
  <c r="M120" s="1"/>
  <c r="H120"/>
  <c r="G120"/>
  <c r="I120" s="1"/>
  <c r="D120"/>
  <c r="C120"/>
  <c r="E120" s="1"/>
  <c r="X119"/>
  <c r="W119"/>
  <c r="Y119" s="1"/>
  <c r="T119"/>
  <c r="S119"/>
  <c r="U119" s="1"/>
  <c r="P119"/>
  <c r="O119"/>
  <c r="L119"/>
  <c r="K119"/>
  <c r="M119" s="1"/>
  <c r="H119"/>
  <c r="G119"/>
  <c r="I119" s="1"/>
  <c r="D119"/>
  <c r="C119"/>
  <c r="E119" s="1"/>
  <c r="X118"/>
  <c r="W118"/>
  <c r="Y118" s="1"/>
  <c r="T118"/>
  <c r="S118"/>
  <c r="P118"/>
  <c r="O118"/>
  <c r="L118"/>
  <c r="K118"/>
  <c r="H118"/>
  <c r="G118"/>
  <c r="I118" s="1"/>
  <c r="D118"/>
  <c r="C118"/>
  <c r="E118" s="1"/>
  <c r="X117"/>
  <c r="W117"/>
  <c r="Y117" s="1"/>
  <c r="T117"/>
  <c r="S117"/>
  <c r="U117" s="1"/>
  <c r="P117"/>
  <c r="O117"/>
  <c r="Q117" s="1"/>
  <c r="L117"/>
  <c r="K117"/>
  <c r="M117" s="1"/>
  <c r="H117"/>
  <c r="G117"/>
  <c r="I117" s="1"/>
  <c r="D117"/>
  <c r="C117"/>
  <c r="E117" s="1"/>
  <c r="X116"/>
  <c r="W116"/>
  <c r="Y116" s="1"/>
  <c r="T116"/>
  <c r="S116"/>
  <c r="P116"/>
  <c r="O116"/>
  <c r="Q116" s="1"/>
  <c r="L116"/>
  <c r="K116"/>
  <c r="M116" s="1"/>
  <c r="H116"/>
  <c r="G116"/>
  <c r="I116" s="1"/>
  <c r="D116"/>
  <c r="C116"/>
  <c r="E116" s="1"/>
  <c r="X115"/>
  <c r="W115"/>
  <c r="T115"/>
  <c r="S115"/>
  <c r="U115" s="1"/>
  <c r="P115"/>
  <c r="O115"/>
  <c r="Q115" s="1"/>
  <c r="L115"/>
  <c r="K115"/>
  <c r="H115"/>
  <c r="G115"/>
  <c r="I115" s="1"/>
  <c r="D115"/>
  <c r="C115"/>
  <c r="E115" s="1"/>
  <c r="X114"/>
  <c r="W114"/>
  <c r="Y114" s="1"/>
  <c r="T114"/>
  <c r="S114"/>
  <c r="U114" s="1"/>
  <c r="P114"/>
  <c r="O114"/>
  <c r="L114"/>
  <c r="K114"/>
  <c r="H114"/>
  <c r="G114"/>
  <c r="I114" s="1"/>
  <c r="D114"/>
  <c r="C114"/>
  <c r="E114" s="1"/>
  <c r="X113"/>
  <c r="W113"/>
  <c r="T113"/>
  <c r="S113"/>
  <c r="U113" s="1"/>
  <c r="P113"/>
  <c r="O113"/>
  <c r="Q113" s="1"/>
  <c r="L113"/>
  <c r="K113"/>
  <c r="M113" s="1"/>
  <c r="H113"/>
  <c r="G113"/>
  <c r="I113" s="1"/>
  <c r="D113"/>
  <c r="C113"/>
  <c r="E113" s="1"/>
  <c r="X112"/>
  <c r="W112"/>
  <c r="Y112" s="1"/>
  <c r="T112"/>
  <c r="S112"/>
  <c r="P112"/>
  <c r="O112"/>
  <c r="Q112" s="1"/>
  <c r="L112"/>
  <c r="K112"/>
  <c r="M112" s="1"/>
  <c r="H112"/>
  <c r="G112"/>
  <c r="D112"/>
  <c r="C112"/>
  <c r="E112" s="1"/>
  <c r="X111"/>
  <c r="W111"/>
  <c r="T111"/>
  <c r="S111"/>
  <c r="U111" s="1"/>
  <c r="P111"/>
  <c r="O111"/>
  <c r="L111"/>
  <c r="K111"/>
  <c r="M111" s="1"/>
  <c r="H111"/>
  <c r="G111"/>
  <c r="I111" s="1"/>
  <c r="D111"/>
  <c r="C111"/>
  <c r="X110"/>
  <c r="W110"/>
  <c r="Y110" s="1"/>
  <c r="T110"/>
  <c r="S110"/>
  <c r="P110"/>
  <c r="O110"/>
  <c r="Q110" s="1"/>
  <c r="L110"/>
  <c r="K110"/>
  <c r="M110" s="1"/>
  <c r="H110"/>
  <c r="G110"/>
  <c r="I110" s="1"/>
  <c r="D110"/>
  <c r="C110"/>
  <c r="E110" s="1"/>
  <c r="X109"/>
  <c r="W109"/>
  <c r="Y109" s="1"/>
  <c r="T109"/>
  <c r="S109"/>
  <c r="U109" s="1"/>
  <c r="P109"/>
  <c r="O109"/>
  <c r="Q109" s="1"/>
  <c r="L109"/>
  <c r="K109"/>
  <c r="M109" s="1"/>
  <c r="H109"/>
  <c r="G109"/>
  <c r="D109"/>
  <c r="C109"/>
  <c r="E109" s="1"/>
  <c r="X108"/>
  <c r="W108"/>
  <c r="Y108" s="1"/>
  <c r="T108"/>
  <c r="S108"/>
  <c r="P108"/>
  <c r="O108"/>
  <c r="Q108" s="1"/>
  <c r="L108"/>
  <c r="K108"/>
  <c r="M108" s="1"/>
  <c r="H108"/>
  <c r="G108"/>
  <c r="D108"/>
  <c r="C108"/>
  <c r="E108" s="1"/>
  <c r="X107"/>
  <c r="W107"/>
  <c r="Y107" s="1"/>
  <c r="T107"/>
  <c r="S107"/>
  <c r="P107"/>
  <c r="O107"/>
  <c r="Q107" s="1"/>
  <c r="L107"/>
  <c r="K107"/>
  <c r="M107" s="1"/>
  <c r="H107"/>
  <c r="G107"/>
  <c r="I107" s="1"/>
  <c r="D107"/>
  <c r="C107"/>
  <c r="E107" s="1"/>
  <c r="X106"/>
  <c r="W106"/>
  <c r="T106"/>
  <c r="S106"/>
  <c r="U106" s="1"/>
  <c r="P106"/>
  <c r="O106"/>
  <c r="Q106" s="1"/>
  <c r="L106"/>
  <c r="K106"/>
  <c r="M106" s="1"/>
  <c r="H106"/>
  <c r="G106"/>
  <c r="I106" s="1"/>
  <c r="D106"/>
  <c r="C106"/>
  <c r="E106" s="1"/>
  <c r="X105"/>
  <c r="W105"/>
  <c r="T105"/>
  <c r="S105"/>
  <c r="U105" s="1"/>
  <c r="P105"/>
  <c r="O105"/>
  <c r="Q105" s="1"/>
  <c r="L105"/>
  <c r="K105"/>
  <c r="M105" s="1"/>
  <c r="H105"/>
  <c r="G105"/>
  <c r="I105" s="1"/>
  <c r="D105"/>
  <c r="C105"/>
  <c r="X104"/>
  <c r="W104"/>
  <c r="Y104" s="1"/>
  <c r="T104"/>
  <c r="S104"/>
  <c r="U104" s="1"/>
  <c r="P104"/>
  <c r="O104"/>
  <c r="Q104" s="1"/>
  <c r="L104"/>
  <c r="K104"/>
  <c r="M104" s="1"/>
  <c r="H104"/>
  <c r="G104"/>
  <c r="I104" s="1"/>
  <c r="D104"/>
  <c r="C104"/>
  <c r="X103"/>
  <c r="W103"/>
  <c r="T103"/>
  <c r="S103"/>
  <c r="U103" s="1"/>
  <c r="P103"/>
  <c r="O103"/>
  <c r="Q103" s="1"/>
  <c r="L103"/>
  <c r="K103"/>
  <c r="M103" s="1"/>
  <c r="H103"/>
  <c r="G103"/>
  <c r="I103" s="1"/>
  <c r="D103"/>
  <c r="C103"/>
  <c r="X102"/>
  <c r="W102"/>
  <c r="Y102" s="1"/>
  <c r="T102"/>
  <c r="S102"/>
  <c r="U102" s="1"/>
  <c r="P102"/>
  <c r="O102"/>
  <c r="Q102" s="1"/>
  <c r="L102"/>
  <c r="K102"/>
  <c r="H102"/>
  <c r="G102"/>
  <c r="I102" s="1"/>
  <c r="D102"/>
  <c r="C102"/>
  <c r="E102" s="1"/>
  <c r="X101"/>
  <c r="W101"/>
  <c r="Y101" s="1"/>
  <c r="T101"/>
  <c r="S101"/>
  <c r="U101" s="1"/>
  <c r="P101"/>
  <c r="O101"/>
  <c r="L101"/>
  <c r="K101"/>
  <c r="M101" s="1"/>
  <c r="H101"/>
  <c r="G101"/>
  <c r="I101" s="1"/>
  <c r="D101"/>
  <c r="C101"/>
  <c r="X100"/>
  <c r="W100"/>
  <c r="Y100" s="1"/>
  <c r="T100"/>
  <c r="S100"/>
  <c r="U100" s="1"/>
  <c r="P100"/>
  <c r="O100"/>
  <c r="Q100" s="1"/>
  <c r="L100"/>
  <c r="K100"/>
  <c r="M100" s="1"/>
  <c r="H100"/>
  <c r="G100"/>
  <c r="D100"/>
  <c r="C100"/>
  <c r="X99"/>
  <c r="W99"/>
  <c r="Y99" s="1"/>
  <c r="T99"/>
  <c r="S99"/>
  <c r="U99" s="1"/>
  <c r="P99"/>
  <c r="O99"/>
  <c r="Q99" s="1"/>
  <c r="L99"/>
  <c r="K99"/>
  <c r="M99" s="1"/>
  <c r="H99"/>
  <c r="G99"/>
  <c r="I99" s="1"/>
  <c r="D99"/>
  <c r="C99"/>
  <c r="X98"/>
  <c r="W98"/>
  <c r="Y98" s="1"/>
  <c r="T98"/>
  <c r="S98"/>
  <c r="U98" s="1"/>
  <c r="P98"/>
  <c r="O98"/>
  <c r="L98"/>
  <c r="K98"/>
  <c r="M98" s="1"/>
  <c r="H98"/>
  <c r="G98"/>
  <c r="D98"/>
  <c r="C98"/>
  <c r="E98" s="1"/>
  <c r="X97"/>
  <c r="W97"/>
  <c r="Y97" s="1"/>
  <c r="T97"/>
  <c r="S97"/>
  <c r="U97" s="1"/>
  <c r="P97"/>
  <c r="O97"/>
  <c r="Q97" s="1"/>
  <c r="L97"/>
  <c r="K97"/>
  <c r="H97"/>
  <c r="G97"/>
  <c r="I97" s="1"/>
  <c r="D97"/>
  <c r="C97"/>
  <c r="E97" s="1"/>
  <c r="X96"/>
  <c r="W96"/>
  <c r="Y96" s="1"/>
  <c r="T96"/>
  <c r="S96"/>
  <c r="U96" s="1"/>
  <c r="P96"/>
  <c r="O96"/>
  <c r="Q96" s="1"/>
  <c r="L96"/>
  <c r="K96"/>
  <c r="M96" s="1"/>
  <c r="H96"/>
  <c r="G96"/>
  <c r="D96"/>
  <c r="C96"/>
  <c r="X95"/>
  <c r="W95"/>
  <c r="Y95" s="1"/>
  <c r="T95"/>
  <c r="S95"/>
  <c r="U95" s="1"/>
  <c r="P95"/>
  <c r="O95"/>
  <c r="L95"/>
  <c r="K95"/>
  <c r="H95"/>
  <c r="G95"/>
  <c r="I95" s="1"/>
  <c r="D95"/>
  <c r="C95"/>
  <c r="E95" s="1"/>
  <c r="X94"/>
  <c r="W94"/>
  <c r="Y94" s="1"/>
  <c r="T94"/>
  <c r="S94"/>
  <c r="U94" s="1"/>
  <c r="P94"/>
  <c r="O94"/>
  <c r="Q94" s="1"/>
  <c r="L94"/>
  <c r="K94"/>
  <c r="M94" s="1"/>
  <c r="H94"/>
  <c r="G94"/>
  <c r="I94" s="1"/>
  <c r="D94"/>
  <c r="C94"/>
  <c r="X93"/>
  <c r="W93"/>
  <c r="T93"/>
  <c r="S93"/>
  <c r="U93" s="1"/>
  <c r="P93"/>
  <c r="O93"/>
  <c r="Q93" s="1"/>
  <c r="L93"/>
  <c r="K93"/>
  <c r="M93" s="1"/>
  <c r="H93"/>
  <c r="G93"/>
  <c r="I93" s="1"/>
  <c r="D93"/>
  <c r="C93"/>
  <c r="E93" s="1"/>
  <c r="X92"/>
  <c r="W92"/>
  <c r="Y92" s="1"/>
  <c r="T92"/>
  <c r="S92"/>
  <c r="P92"/>
  <c r="O92"/>
  <c r="L92"/>
  <c r="K92"/>
  <c r="M92" s="1"/>
  <c r="H92"/>
  <c r="G92"/>
  <c r="I92" s="1"/>
  <c r="D92"/>
  <c r="C92"/>
  <c r="E92" s="1"/>
  <c r="X91"/>
  <c r="W91"/>
  <c r="Y91" s="1"/>
  <c r="T91"/>
  <c r="S91"/>
  <c r="U91" s="1"/>
  <c r="P91"/>
  <c r="O91"/>
  <c r="L91"/>
  <c r="K91"/>
  <c r="M91" s="1"/>
  <c r="H91"/>
  <c r="G91"/>
  <c r="I91" s="1"/>
  <c r="D91"/>
  <c r="C91"/>
  <c r="X90"/>
  <c r="W90"/>
  <c r="Y90" s="1"/>
  <c r="T90"/>
  <c r="S90"/>
  <c r="U90" s="1"/>
  <c r="P90"/>
  <c r="O90"/>
  <c r="Q90" s="1"/>
  <c r="L90"/>
  <c r="K90"/>
  <c r="M90" s="1"/>
  <c r="H90"/>
  <c r="G90"/>
  <c r="I90" s="1"/>
  <c r="D90"/>
  <c r="C90"/>
  <c r="E90" s="1"/>
  <c r="X89"/>
  <c r="W89"/>
  <c r="T89"/>
  <c r="S89"/>
  <c r="P89"/>
  <c r="O89"/>
  <c r="Q89" s="1"/>
  <c r="L89"/>
  <c r="K89"/>
  <c r="M89" s="1"/>
  <c r="H89"/>
  <c r="G89"/>
  <c r="I89" s="1"/>
  <c r="D89"/>
  <c r="C89"/>
  <c r="E89" s="1"/>
  <c r="X88"/>
  <c r="W88"/>
  <c r="Y88" s="1"/>
  <c r="T88"/>
  <c r="S88"/>
  <c r="U88" s="1"/>
  <c r="P88"/>
  <c r="O88"/>
  <c r="Q88" s="1"/>
  <c r="L88"/>
  <c r="K88"/>
  <c r="H88"/>
  <c r="G88"/>
  <c r="I88" s="1"/>
  <c r="D88"/>
  <c r="C88"/>
  <c r="E88" s="1"/>
  <c r="X87"/>
  <c r="W87"/>
  <c r="T87"/>
  <c r="S87"/>
  <c r="U87" s="1"/>
  <c r="P87"/>
  <c r="O87"/>
  <c r="Q87" s="1"/>
  <c r="L87"/>
  <c r="K87"/>
  <c r="M87" s="1"/>
  <c r="H87"/>
  <c r="G87"/>
  <c r="I87" s="1"/>
  <c r="D87"/>
  <c r="C87"/>
  <c r="X86"/>
  <c r="W86"/>
  <c r="T86"/>
  <c r="S86"/>
  <c r="U86" s="1"/>
  <c r="P86"/>
  <c r="O86"/>
  <c r="Q86" s="1"/>
  <c r="L86"/>
  <c r="K86"/>
  <c r="M86" s="1"/>
  <c r="H86"/>
  <c r="G86"/>
  <c r="I86" s="1"/>
  <c r="D86"/>
  <c r="C86"/>
  <c r="E86" s="1"/>
  <c r="X85"/>
  <c r="W85"/>
  <c r="Y85" s="1"/>
  <c r="T85"/>
  <c r="S85"/>
  <c r="P85"/>
  <c r="O85"/>
  <c r="L85"/>
  <c r="K85"/>
  <c r="M85" s="1"/>
  <c r="H85"/>
  <c r="G85"/>
  <c r="D85"/>
  <c r="C85"/>
  <c r="E85" s="1"/>
  <c r="X84"/>
  <c r="W84"/>
  <c r="Y84" s="1"/>
  <c r="T84"/>
  <c r="S84"/>
  <c r="U84" s="1"/>
  <c r="P84"/>
  <c r="O84"/>
  <c r="Q84" s="1"/>
  <c r="L84"/>
  <c r="K84"/>
  <c r="M84" s="1"/>
  <c r="H84"/>
  <c r="G84"/>
  <c r="D84"/>
  <c r="C84"/>
  <c r="X83"/>
  <c r="W83"/>
  <c r="Y83" s="1"/>
  <c r="T83"/>
  <c r="S83"/>
  <c r="U83" s="1"/>
  <c r="P83"/>
  <c r="O83"/>
  <c r="L83"/>
  <c r="K83"/>
  <c r="M83" s="1"/>
  <c r="H83"/>
  <c r="G83"/>
  <c r="I83" s="1"/>
  <c r="D83"/>
  <c r="C83"/>
  <c r="E83" s="1"/>
  <c r="X82"/>
  <c r="W82"/>
  <c r="Y82" s="1"/>
  <c r="T82"/>
  <c r="S82"/>
  <c r="P82"/>
  <c r="O82"/>
  <c r="Q82" s="1"/>
  <c r="L82"/>
  <c r="K82"/>
  <c r="M82" s="1"/>
  <c r="H82"/>
  <c r="G82"/>
  <c r="I82" s="1"/>
  <c r="D82"/>
  <c r="C82"/>
  <c r="E82" s="1"/>
  <c r="X81"/>
  <c r="W81"/>
  <c r="Y81" s="1"/>
  <c r="T81"/>
  <c r="S81"/>
  <c r="U81" s="1"/>
  <c r="P81"/>
  <c r="O81"/>
  <c r="Q81" s="1"/>
  <c r="L81"/>
  <c r="K81"/>
  <c r="H81"/>
  <c r="G81"/>
  <c r="D81"/>
  <c r="C81"/>
  <c r="E81" s="1"/>
  <c r="X80"/>
  <c r="W80"/>
  <c r="Y80" s="1"/>
  <c r="T80"/>
  <c r="S80"/>
  <c r="U80" s="1"/>
  <c r="P80"/>
  <c r="O80"/>
  <c r="Q80" s="1"/>
  <c r="L80"/>
  <c r="K80"/>
  <c r="M80" s="1"/>
  <c r="H80"/>
  <c r="G80"/>
  <c r="I80" s="1"/>
  <c r="D80"/>
  <c r="C80"/>
  <c r="X79"/>
  <c r="W79"/>
  <c r="Y79" s="1"/>
  <c r="T79"/>
  <c r="S79"/>
  <c r="P79"/>
  <c r="O79"/>
  <c r="Q79" s="1"/>
  <c r="L79"/>
  <c r="K79"/>
  <c r="M79" s="1"/>
  <c r="H79"/>
  <c r="G79"/>
  <c r="I79" s="1"/>
  <c r="D79"/>
  <c r="C79"/>
  <c r="E79" s="1"/>
  <c r="X78"/>
  <c r="W78"/>
  <c r="Y78" s="1"/>
  <c r="T78"/>
  <c r="S78"/>
  <c r="U78" s="1"/>
  <c r="P78"/>
  <c r="O78"/>
  <c r="L78"/>
  <c r="K78"/>
  <c r="M78" s="1"/>
  <c r="H78"/>
  <c r="G78"/>
  <c r="I78" s="1"/>
  <c r="D78"/>
  <c r="C78"/>
  <c r="E78" s="1"/>
  <c r="X77"/>
  <c r="W77"/>
  <c r="T77"/>
  <c r="S77"/>
  <c r="P77"/>
  <c r="O77"/>
  <c r="Q77" s="1"/>
  <c r="L77"/>
  <c r="K77"/>
  <c r="M77" s="1"/>
  <c r="H77"/>
  <c r="G77"/>
  <c r="I77" s="1"/>
  <c r="D77"/>
  <c r="C77"/>
  <c r="X76"/>
  <c r="W76"/>
  <c r="Y76" s="1"/>
  <c r="T76"/>
  <c r="S76"/>
  <c r="U76" s="1"/>
  <c r="P76"/>
  <c r="O76"/>
  <c r="L76"/>
  <c r="K76"/>
  <c r="M76" s="1"/>
  <c r="H76"/>
  <c r="G76"/>
  <c r="I76" s="1"/>
  <c r="D76"/>
  <c r="C76"/>
  <c r="E76" s="1"/>
  <c r="X75"/>
  <c r="W75"/>
  <c r="Y75" s="1"/>
  <c r="T75"/>
  <c r="S75"/>
  <c r="U75" s="1"/>
  <c r="P75"/>
  <c r="O75"/>
  <c r="L75"/>
  <c r="K75"/>
  <c r="M75" s="1"/>
  <c r="H75"/>
  <c r="G75"/>
  <c r="I75" s="1"/>
  <c r="D75"/>
  <c r="C75"/>
  <c r="X74"/>
  <c r="W74"/>
  <c r="Y74" s="1"/>
  <c r="T74"/>
  <c r="S74"/>
  <c r="U74" s="1"/>
  <c r="P74"/>
  <c r="O74"/>
  <c r="Q74" s="1"/>
  <c r="L74"/>
  <c r="K74"/>
  <c r="M74" s="1"/>
  <c r="H74"/>
  <c r="G74"/>
  <c r="I74" s="1"/>
  <c r="D74"/>
  <c r="C74"/>
  <c r="E74" s="1"/>
  <c r="X73"/>
  <c r="W73"/>
  <c r="T73"/>
  <c r="S73"/>
  <c r="P73"/>
  <c r="O73"/>
  <c r="Q73" s="1"/>
  <c r="L73"/>
  <c r="K73"/>
  <c r="M73" s="1"/>
  <c r="H73"/>
  <c r="G73"/>
  <c r="I73" s="1"/>
  <c r="D73"/>
  <c r="C73"/>
  <c r="E73" s="1"/>
  <c r="X72"/>
  <c r="W72"/>
  <c r="Y72" s="1"/>
  <c r="T72"/>
  <c r="S72"/>
  <c r="U72" s="1"/>
  <c r="P72"/>
  <c r="O72"/>
  <c r="Q72" s="1"/>
  <c r="L72"/>
  <c r="K72"/>
  <c r="M72" s="1"/>
  <c r="H72"/>
  <c r="G72"/>
  <c r="D72"/>
  <c r="C72"/>
  <c r="X71"/>
  <c r="W71"/>
  <c r="Y71" s="1"/>
  <c r="T71"/>
  <c r="S71"/>
  <c r="U71" s="1"/>
  <c r="P71"/>
  <c r="O71"/>
  <c r="Q71" s="1"/>
  <c r="L71"/>
  <c r="K71"/>
  <c r="M71" s="1"/>
  <c r="H71"/>
  <c r="G71"/>
  <c r="I71" s="1"/>
  <c r="D71"/>
  <c r="C71"/>
  <c r="X70"/>
  <c r="W70"/>
  <c r="T70"/>
  <c r="S70"/>
  <c r="U70" s="1"/>
  <c r="P70"/>
  <c r="O70"/>
  <c r="Q70" s="1"/>
  <c r="L70"/>
  <c r="K70"/>
  <c r="M70" s="1"/>
  <c r="H70"/>
  <c r="G70"/>
  <c r="I70" s="1"/>
  <c r="D70"/>
  <c r="C70"/>
  <c r="E70" s="1"/>
  <c r="X69"/>
  <c r="W69"/>
  <c r="T69"/>
  <c r="S69"/>
  <c r="U69" s="1"/>
  <c r="P69"/>
  <c r="O69"/>
  <c r="Q69" s="1"/>
  <c r="L69"/>
  <c r="K69"/>
  <c r="M69" s="1"/>
  <c r="H69"/>
  <c r="G69"/>
  <c r="I69" s="1"/>
  <c r="D69"/>
  <c r="C69"/>
  <c r="E69" s="1"/>
  <c r="X68"/>
  <c r="W68"/>
  <c r="Y68" s="1"/>
  <c r="T68"/>
  <c r="S68"/>
  <c r="U68" s="1"/>
  <c r="P68"/>
  <c r="O68"/>
  <c r="L68"/>
  <c r="K68"/>
  <c r="M68" s="1"/>
  <c r="H68"/>
  <c r="G68"/>
  <c r="I68" s="1"/>
  <c r="D68"/>
  <c r="C68"/>
  <c r="E68" s="1"/>
  <c r="X67"/>
  <c r="W67"/>
  <c r="T67"/>
  <c r="S67"/>
  <c r="P67"/>
  <c r="O67"/>
  <c r="Q67" s="1"/>
  <c r="L67"/>
  <c r="K67"/>
  <c r="M67" s="1"/>
  <c r="H67"/>
  <c r="G67"/>
  <c r="D67"/>
  <c r="C67"/>
  <c r="E67" s="1"/>
  <c r="X66"/>
  <c r="W66"/>
  <c r="Y66" s="1"/>
  <c r="T66"/>
  <c r="S66"/>
  <c r="P66"/>
  <c r="O66"/>
  <c r="Q66" s="1"/>
  <c r="L66"/>
  <c r="K66"/>
  <c r="M66" s="1"/>
  <c r="H66"/>
  <c r="G66"/>
  <c r="I66" s="1"/>
  <c r="D66"/>
  <c r="C66"/>
  <c r="E66" s="1"/>
  <c r="X65"/>
  <c r="W65"/>
  <c r="Y65" s="1"/>
  <c r="T65"/>
  <c r="S65"/>
  <c r="P65"/>
  <c r="O65"/>
  <c r="Q65" s="1"/>
  <c r="L65"/>
  <c r="K65"/>
  <c r="H65"/>
  <c r="G65"/>
  <c r="I65" s="1"/>
  <c r="D65"/>
  <c r="C65"/>
  <c r="E65" s="1"/>
  <c r="X64"/>
  <c r="W64"/>
  <c r="T64"/>
  <c r="S64"/>
  <c r="P64"/>
  <c r="O64"/>
  <c r="Q64" s="1"/>
  <c r="L64"/>
  <c r="K64"/>
  <c r="M64" s="1"/>
  <c r="H64"/>
  <c r="G64"/>
  <c r="I64" s="1"/>
  <c r="D64"/>
  <c r="C64"/>
  <c r="E64" s="1"/>
  <c r="X63"/>
  <c r="W63"/>
  <c r="Y63" s="1"/>
  <c r="T63"/>
  <c r="S63"/>
  <c r="P63"/>
  <c r="O63"/>
  <c r="Q63" s="1"/>
  <c r="L63"/>
  <c r="K63"/>
  <c r="M63" s="1"/>
  <c r="H63"/>
  <c r="G63"/>
  <c r="I63" s="1"/>
  <c r="D63"/>
  <c r="C63"/>
  <c r="E63" s="1"/>
  <c r="X62"/>
  <c r="W62"/>
  <c r="T62"/>
  <c r="S62"/>
  <c r="U62" s="1"/>
  <c r="P62"/>
  <c r="O62"/>
  <c r="Q62" s="1"/>
  <c r="L62"/>
  <c r="K62"/>
  <c r="M62" s="1"/>
  <c r="H62"/>
  <c r="G62"/>
  <c r="I62" s="1"/>
  <c r="D62"/>
  <c r="C62"/>
  <c r="E62" s="1"/>
  <c r="X61"/>
  <c r="W61"/>
  <c r="T61"/>
  <c r="S61"/>
  <c r="P61"/>
  <c r="O61"/>
  <c r="Q61" s="1"/>
  <c r="L61"/>
  <c r="K61"/>
  <c r="M61" s="1"/>
  <c r="H61"/>
  <c r="G61"/>
  <c r="I61" s="1"/>
  <c r="D61"/>
  <c r="C61"/>
  <c r="E61" s="1"/>
  <c r="X60"/>
  <c r="W60"/>
  <c r="T60"/>
  <c r="S60"/>
  <c r="U60" s="1"/>
  <c r="P60"/>
  <c r="O60"/>
  <c r="Q60" s="1"/>
  <c r="L60"/>
  <c r="K60"/>
  <c r="M60" s="1"/>
  <c r="H60"/>
  <c r="G60"/>
  <c r="I60" s="1"/>
  <c r="D60"/>
  <c r="C60"/>
  <c r="E60" s="1"/>
  <c r="X59"/>
  <c r="W59"/>
  <c r="Y59" s="1"/>
  <c r="T59"/>
  <c r="S59"/>
  <c r="U59" s="1"/>
  <c r="P59"/>
  <c r="O59"/>
  <c r="L59"/>
  <c r="K59"/>
  <c r="M59" s="1"/>
  <c r="H59"/>
  <c r="G59"/>
  <c r="I59" s="1"/>
  <c r="D59"/>
  <c r="C59"/>
  <c r="E59" s="1"/>
  <c r="X58"/>
  <c r="W58"/>
  <c r="Y58" s="1"/>
  <c r="T58"/>
  <c r="S58"/>
  <c r="P58"/>
  <c r="O58"/>
  <c r="Q58" s="1"/>
  <c r="L58"/>
  <c r="K58"/>
  <c r="M58" s="1"/>
  <c r="H58"/>
  <c r="G58"/>
  <c r="I58" s="1"/>
  <c r="D58"/>
  <c r="C58"/>
  <c r="X57"/>
  <c r="W57"/>
  <c r="Y57" s="1"/>
  <c r="T57"/>
  <c r="S57"/>
  <c r="U57" s="1"/>
  <c r="P57"/>
  <c r="O57"/>
  <c r="Q57" s="1"/>
  <c r="L57"/>
  <c r="K57"/>
  <c r="M57" s="1"/>
  <c r="H57"/>
  <c r="G57"/>
  <c r="I57" s="1"/>
  <c r="D57"/>
  <c r="C57"/>
  <c r="X56"/>
  <c r="W56"/>
  <c r="Y56" s="1"/>
  <c r="T56"/>
  <c r="S56"/>
  <c r="U56" s="1"/>
  <c r="P56"/>
  <c r="O56"/>
  <c r="L56"/>
  <c r="K56"/>
  <c r="M56" s="1"/>
  <c r="H56"/>
  <c r="G56"/>
  <c r="I56" s="1"/>
  <c r="D56"/>
  <c r="C56"/>
  <c r="E56" s="1"/>
  <c r="X55"/>
  <c r="W55"/>
  <c r="Y55" s="1"/>
  <c r="T55"/>
  <c r="S55"/>
  <c r="P55"/>
  <c r="O55"/>
  <c r="Q55" s="1"/>
  <c r="L55"/>
  <c r="K55"/>
  <c r="M55" s="1"/>
  <c r="H55"/>
  <c r="G55"/>
  <c r="D55"/>
  <c r="C55"/>
  <c r="E55" s="1"/>
  <c r="X54"/>
  <c r="W54"/>
  <c r="Y54" s="1"/>
  <c r="T54"/>
  <c r="S54"/>
  <c r="P54"/>
  <c r="O54"/>
  <c r="Q54" s="1"/>
  <c r="L54"/>
  <c r="K54"/>
  <c r="M54" s="1"/>
  <c r="H54"/>
  <c r="G54"/>
  <c r="D54"/>
  <c r="C54"/>
  <c r="X53"/>
  <c r="W53"/>
  <c r="Y53" s="1"/>
  <c r="T53"/>
  <c r="S53"/>
  <c r="U53" s="1"/>
  <c r="P53"/>
  <c r="O53"/>
  <c r="Q53" s="1"/>
  <c r="L53"/>
  <c r="K53"/>
  <c r="M53" s="1"/>
  <c r="H53"/>
  <c r="G53"/>
  <c r="I53" s="1"/>
  <c r="D53"/>
  <c r="C53"/>
  <c r="E53" s="1"/>
  <c r="X52"/>
  <c r="W52"/>
  <c r="T52"/>
  <c r="S52"/>
  <c r="U52" s="1"/>
  <c r="P52"/>
  <c r="O52"/>
  <c r="Q52" s="1"/>
  <c r="L52"/>
  <c r="K52"/>
  <c r="H52"/>
  <c r="G52"/>
  <c r="I52" s="1"/>
  <c r="D52"/>
  <c r="C52"/>
  <c r="E52" s="1"/>
  <c r="X51"/>
  <c r="W51"/>
  <c r="T51"/>
  <c r="S51"/>
  <c r="P51"/>
  <c r="O51"/>
  <c r="Q51" s="1"/>
  <c r="L51"/>
  <c r="K51"/>
  <c r="M51" s="1"/>
  <c r="H51"/>
  <c r="G51"/>
  <c r="I51" s="1"/>
  <c r="D51"/>
  <c r="C51"/>
  <c r="E51" s="1"/>
  <c r="X50"/>
  <c r="W50"/>
  <c r="Y50" s="1"/>
  <c r="T50"/>
  <c r="S50"/>
  <c r="U50" s="1"/>
  <c r="P50"/>
  <c r="O50"/>
  <c r="L50"/>
  <c r="K50"/>
  <c r="M50" s="1"/>
  <c r="H50"/>
  <c r="G50"/>
  <c r="I50" s="1"/>
  <c r="D50"/>
  <c r="C50"/>
  <c r="X49"/>
  <c r="W49"/>
  <c r="Y49" s="1"/>
  <c r="T49"/>
  <c r="S49"/>
  <c r="U49" s="1"/>
  <c r="P49"/>
  <c r="O49"/>
  <c r="L49"/>
  <c r="K49"/>
  <c r="M49" s="1"/>
  <c r="H49"/>
  <c r="G49"/>
  <c r="I49" s="1"/>
  <c r="D49"/>
  <c r="C49"/>
  <c r="E49" s="1"/>
  <c r="X48"/>
  <c r="W48"/>
  <c r="Y48" s="1"/>
  <c r="T48"/>
  <c r="S48"/>
  <c r="P48"/>
  <c r="O48"/>
  <c r="Q48" s="1"/>
  <c r="L48"/>
  <c r="K48"/>
  <c r="M48" s="1"/>
  <c r="H48"/>
  <c r="G48"/>
  <c r="D48"/>
  <c r="C48"/>
  <c r="E48" s="1"/>
  <c r="X47"/>
  <c r="W47"/>
  <c r="Y47" s="1"/>
  <c r="T47"/>
  <c r="S47"/>
  <c r="U47" s="1"/>
  <c r="P47"/>
  <c r="O47"/>
  <c r="Q47" s="1"/>
  <c r="L47"/>
  <c r="K47"/>
  <c r="M47" s="1"/>
  <c r="H47"/>
  <c r="G47"/>
  <c r="D47"/>
  <c r="C47"/>
  <c r="E47" s="1"/>
  <c r="X46"/>
  <c r="W46"/>
  <c r="Y46" s="1"/>
  <c r="T46"/>
  <c r="S46"/>
  <c r="U46" s="1"/>
  <c r="P46"/>
  <c r="O46"/>
  <c r="Q46" s="1"/>
  <c r="L46"/>
  <c r="K46"/>
  <c r="H46"/>
  <c r="G46"/>
  <c r="D46"/>
  <c r="C46"/>
  <c r="E46" s="1"/>
  <c r="X45"/>
  <c r="W45"/>
  <c r="Y45" s="1"/>
  <c r="T45"/>
  <c r="S45"/>
  <c r="U45" s="1"/>
  <c r="P45"/>
  <c r="O45"/>
  <c r="Q45" s="1"/>
  <c r="L45"/>
  <c r="K45"/>
  <c r="M45" s="1"/>
  <c r="H45"/>
  <c r="G45"/>
  <c r="I45" s="1"/>
  <c r="D45"/>
  <c r="C45"/>
  <c r="E45" s="1"/>
  <c r="X44"/>
  <c r="W44"/>
  <c r="T44"/>
  <c r="S44"/>
  <c r="U44" s="1"/>
  <c r="P44"/>
  <c r="O44"/>
  <c r="Q44" s="1"/>
  <c r="L44"/>
  <c r="K44"/>
  <c r="H44"/>
  <c r="G44"/>
  <c r="I44" s="1"/>
  <c r="D44"/>
  <c r="C44"/>
  <c r="E44" s="1"/>
  <c r="X43"/>
  <c r="W43"/>
  <c r="T43"/>
  <c r="S43"/>
  <c r="P43"/>
  <c r="O43"/>
  <c r="Q43" s="1"/>
  <c r="L43"/>
  <c r="K43"/>
  <c r="M43" s="1"/>
  <c r="H43"/>
  <c r="G43"/>
  <c r="I43" s="1"/>
  <c r="D43"/>
  <c r="C43"/>
  <c r="E43" s="1"/>
  <c r="X42"/>
  <c r="W42"/>
  <c r="Y42" s="1"/>
  <c r="T42"/>
  <c r="S42"/>
  <c r="U42" s="1"/>
  <c r="P42"/>
  <c r="O42"/>
  <c r="L42"/>
  <c r="K42"/>
  <c r="M42" s="1"/>
  <c r="H42"/>
  <c r="G42"/>
  <c r="I42" s="1"/>
  <c r="D42"/>
  <c r="C42"/>
  <c r="X41"/>
  <c r="W41"/>
  <c r="Y41" s="1"/>
  <c r="T41"/>
  <c r="S41"/>
  <c r="U41" s="1"/>
  <c r="P41"/>
  <c r="O41"/>
  <c r="L41"/>
  <c r="K41"/>
  <c r="M41" s="1"/>
  <c r="H41"/>
  <c r="G41"/>
  <c r="I41" s="1"/>
  <c r="D41"/>
  <c r="C41"/>
  <c r="E41" s="1"/>
  <c r="X40"/>
  <c r="W40"/>
  <c r="T40"/>
  <c r="S40"/>
  <c r="U40" s="1"/>
  <c r="P40"/>
  <c r="O40"/>
  <c r="Q40" s="1"/>
  <c r="L40"/>
  <c r="K40"/>
  <c r="H40"/>
  <c r="G40"/>
  <c r="I40" s="1"/>
  <c r="D40"/>
  <c r="C40"/>
  <c r="E40" s="1"/>
  <c r="X39"/>
  <c r="W39"/>
  <c r="Y39" s="1"/>
  <c r="T39"/>
  <c r="S39"/>
  <c r="U39" s="1"/>
  <c r="P39"/>
  <c r="O39"/>
  <c r="Q39" s="1"/>
  <c r="L39"/>
  <c r="K39"/>
  <c r="M39" s="1"/>
  <c r="H39"/>
  <c r="G39"/>
  <c r="D39"/>
  <c r="C39"/>
  <c r="E39" s="1"/>
  <c r="X38"/>
  <c r="W38"/>
  <c r="Y38" s="1"/>
  <c r="T38"/>
  <c r="S38"/>
  <c r="P38"/>
  <c r="O38"/>
  <c r="Q38" s="1"/>
  <c r="L38"/>
  <c r="K38"/>
  <c r="M38" s="1"/>
  <c r="H38"/>
  <c r="G38"/>
  <c r="D38"/>
  <c r="C38"/>
  <c r="E38" s="1"/>
  <c r="X37"/>
  <c r="W37"/>
  <c r="Y37" s="1"/>
  <c r="T37"/>
  <c r="S37"/>
  <c r="P37"/>
  <c r="O37"/>
  <c r="Q37" s="1"/>
  <c r="L37"/>
  <c r="K37"/>
  <c r="M37" s="1"/>
  <c r="H37"/>
  <c r="G37"/>
  <c r="D37"/>
  <c r="C37"/>
  <c r="E37" s="1"/>
  <c r="X36"/>
  <c r="W36"/>
  <c r="Y36" s="1"/>
  <c r="T36"/>
  <c r="S36"/>
  <c r="U36" s="1"/>
  <c r="P36"/>
  <c r="O36"/>
  <c r="Q36" s="1"/>
  <c r="L36"/>
  <c r="K36"/>
  <c r="M36" s="1"/>
  <c r="H36"/>
  <c r="G36"/>
  <c r="I36" s="1"/>
  <c r="D36"/>
  <c r="C36"/>
  <c r="E36" s="1"/>
  <c r="X35"/>
  <c r="W35"/>
  <c r="Y35" s="1"/>
  <c r="T35"/>
  <c r="S35"/>
  <c r="U35" s="1"/>
  <c r="P35"/>
  <c r="O35"/>
  <c r="Q35" s="1"/>
  <c r="L35"/>
  <c r="K35"/>
  <c r="M35" s="1"/>
  <c r="H35"/>
  <c r="G35"/>
  <c r="D35"/>
  <c r="C35"/>
  <c r="E35" s="1"/>
  <c r="X34"/>
  <c r="W34"/>
  <c r="Y34" s="1"/>
  <c r="T34"/>
  <c r="S34"/>
  <c r="P34"/>
  <c r="O34"/>
  <c r="Q34" s="1"/>
  <c r="L34"/>
  <c r="K34"/>
  <c r="H34"/>
  <c r="G34"/>
  <c r="I34" s="1"/>
  <c r="D34"/>
  <c r="C34"/>
  <c r="E34" s="1"/>
  <c r="X33"/>
  <c r="W33"/>
  <c r="T33"/>
  <c r="S33"/>
  <c r="U33" s="1"/>
  <c r="P33"/>
  <c r="O33"/>
  <c r="Q33" s="1"/>
  <c r="L33"/>
  <c r="K33"/>
  <c r="M33" s="1"/>
  <c r="H33"/>
  <c r="G33"/>
  <c r="I33" s="1"/>
  <c r="D33"/>
  <c r="C33"/>
  <c r="E33" s="1"/>
  <c r="X32"/>
  <c r="W32"/>
  <c r="Y32" s="1"/>
  <c r="T32"/>
  <c r="S32"/>
  <c r="U32" s="1"/>
  <c r="P32"/>
  <c r="O32"/>
  <c r="L32"/>
  <c r="K32"/>
  <c r="M32" s="1"/>
  <c r="H32"/>
  <c r="G32"/>
  <c r="I32" s="1"/>
  <c r="D32"/>
  <c r="C32"/>
  <c r="X31"/>
  <c r="W31"/>
  <c r="T31"/>
  <c r="S31"/>
  <c r="U31" s="1"/>
  <c r="P31"/>
  <c r="O31"/>
  <c r="L31"/>
  <c r="K31"/>
  <c r="M31" s="1"/>
  <c r="H31"/>
  <c r="G31"/>
  <c r="I31" s="1"/>
  <c r="D31"/>
  <c r="C31"/>
  <c r="E31" s="1"/>
  <c r="X30"/>
  <c r="W30"/>
  <c r="Y30" s="1"/>
  <c r="T30"/>
  <c r="S30"/>
  <c r="U30" s="1"/>
  <c r="P30"/>
  <c r="O30"/>
  <c r="Q30" s="1"/>
  <c r="L30"/>
  <c r="K30"/>
  <c r="M30" s="1"/>
  <c r="H30"/>
  <c r="G30"/>
  <c r="I30" s="1"/>
  <c r="D30"/>
  <c r="C30"/>
  <c r="E30" s="1"/>
  <c r="X29"/>
  <c r="W29"/>
  <c r="T29"/>
  <c r="S29"/>
  <c r="U29" s="1"/>
  <c r="P29"/>
  <c r="O29"/>
  <c r="Q29" s="1"/>
  <c r="L29"/>
  <c r="K29"/>
  <c r="H29"/>
  <c r="G29"/>
  <c r="I29" s="1"/>
  <c r="D29"/>
  <c r="C29"/>
  <c r="X28"/>
  <c r="W28"/>
  <c r="Y28" s="1"/>
  <c r="T28"/>
  <c r="S28"/>
  <c r="U28" s="1"/>
  <c r="P28"/>
  <c r="O28"/>
  <c r="Q28" s="1"/>
  <c r="L28"/>
  <c r="K28"/>
  <c r="M28" s="1"/>
  <c r="H28"/>
  <c r="G28"/>
  <c r="I28" s="1"/>
  <c r="D28"/>
  <c r="C28"/>
  <c r="E28" s="1"/>
  <c r="X27"/>
  <c r="W27"/>
  <c r="T27"/>
  <c r="S27"/>
  <c r="U27" s="1"/>
  <c r="P27"/>
  <c r="O27"/>
  <c r="Q27" s="1"/>
  <c r="L27"/>
  <c r="K27"/>
  <c r="M27" s="1"/>
  <c r="H27"/>
  <c r="G27"/>
  <c r="I27" s="1"/>
  <c r="D27"/>
  <c r="C27"/>
  <c r="E27" s="1"/>
  <c r="X26"/>
  <c r="W26"/>
  <c r="Y26" s="1"/>
  <c r="T26"/>
  <c r="S26"/>
  <c r="U26" s="1"/>
  <c r="P26"/>
  <c r="O26"/>
  <c r="Q26" s="1"/>
  <c r="L26"/>
  <c r="K26"/>
  <c r="H26"/>
  <c r="G26"/>
  <c r="D26"/>
  <c r="C26"/>
  <c r="E26" s="1"/>
  <c r="X25"/>
  <c r="W25"/>
  <c r="T25"/>
  <c r="S25"/>
  <c r="U25" s="1"/>
  <c r="P25"/>
  <c r="O25"/>
  <c r="Q25" s="1"/>
  <c r="L25"/>
  <c r="K25"/>
  <c r="H25"/>
  <c r="G25"/>
  <c r="I25" s="1"/>
  <c r="D25"/>
  <c r="C25"/>
  <c r="E25" s="1"/>
  <c r="X24"/>
  <c r="W24"/>
  <c r="T24"/>
  <c r="S24"/>
  <c r="P24"/>
  <c r="O24"/>
  <c r="Q24" s="1"/>
  <c r="L24"/>
  <c r="K24"/>
  <c r="M24" s="1"/>
  <c r="H24"/>
  <c r="G24"/>
  <c r="I24" s="1"/>
  <c r="D24"/>
  <c r="C24"/>
  <c r="E24" s="1"/>
  <c r="X23"/>
  <c r="W23"/>
  <c r="Y23" s="1"/>
  <c r="T23"/>
  <c r="S23"/>
  <c r="P23"/>
  <c r="O23"/>
  <c r="Q23" s="1"/>
  <c r="L23"/>
  <c r="K23"/>
  <c r="M23" s="1"/>
  <c r="H23"/>
  <c r="G23"/>
  <c r="I23" s="1"/>
  <c r="D23"/>
  <c r="C23"/>
  <c r="E23" s="1"/>
  <c r="X22"/>
  <c r="W22"/>
  <c r="Y22" s="1"/>
  <c r="T22"/>
  <c r="S22"/>
  <c r="U22" s="1"/>
  <c r="P22"/>
  <c r="O22"/>
  <c r="Q22" s="1"/>
  <c r="L22"/>
  <c r="K22"/>
  <c r="H22"/>
  <c r="G22"/>
  <c r="D22"/>
  <c r="C22"/>
  <c r="E22" s="1"/>
  <c r="X21"/>
  <c r="W21"/>
  <c r="T21"/>
  <c r="S21"/>
  <c r="P21"/>
  <c r="O21"/>
  <c r="Q21" s="1"/>
  <c r="L21"/>
  <c r="K21"/>
  <c r="M21" s="1"/>
  <c r="H21"/>
  <c r="G21"/>
  <c r="I21" s="1"/>
  <c r="D21"/>
  <c r="C21"/>
  <c r="E21" s="1"/>
  <c r="X20"/>
  <c r="W20"/>
  <c r="Y20" s="1"/>
  <c r="T20"/>
  <c r="S20"/>
  <c r="U20" s="1"/>
  <c r="P20"/>
  <c r="O20"/>
  <c r="Q20" s="1"/>
  <c r="L20"/>
  <c r="K20"/>
  <c r="M20" s="1"/>
  <c r="H20"/>
  <c r="G20"/>
  <c r="I20" s="1"/>
  <c r="D20"/>
  <c r="C20"/>
  <c r="E20" s="1"/>
  <c r="X19"/>
  <c r="W19"/>
  <c r="Y19" s="1"/>
  <c r="T19"/>
  <c r="S19"/>
  <c r="P19"/>
  <c r="O19"/>
  <c r="L19"/>
  <c r="K19"/>
  <c r="M19" s="1"/>
  <c r="H19"/>
  <c r="G19"/>
  <c r="I19" s="1"/>
  <c r="D19"/>
  <c r="C19"/>
  <c r="E19" s="1"/>
  <c r="X18"/>
  <c r="W18"/>
  <c r="Y18" s="1"/>
  <c r="T18"/>
  <c r="S18"/>
  <c r="P18"/>
  <c r="O18"/>
  <c r="Q18" s="1"/>
  <c r="L18"/>
  <c r="K18"/>
  <c r="M18" s="1"/>
  <c r="H18"/>
  <c r="G18"/>
  <c r="I18" s="1"/>
  <c r="D18"/>
  <c r="C18"/>
  <c r="E18" s="1"/>
  <c r="X17"/>
  <c r="W17"/>
  <c r="Y17" s="1"/>
  <c r="T17"/>
  <c r="S17"/>
  <c r="P17"/>
  <c r="O17"/>
  <c r="L17"/>
  <c r="K17"/>
  <c r="M17" s="1"/>
  <c r="H17"/>
  <c r="G17"/>
  <c r="I17" s="1"/>
  <c r="D17"/>
  <c r="C17"/>
  <c r="E17" s="1"/>
  <c r="X16"/>
  <c r="W16"/>
  <c r="Y16" s="1"/>
  <c r="T16"/>
  <c r="S16"/>
  <c r="U16" s="1"/>
  <c r="P16"/>
  <c r="O16"/>
  <c r="Q16" s="1"/>
  <c r="L16"/>
  <c r="K16"/>
  <c r="M16" s="1"/>
  <c r="H16"/>
  <c r="G16"/>
  <c r="I16" s="1"/>
  <c r="D16"/>
  <c r="C16"/>
  <c r="E16" s="1"/>
  <c r="X15"/>
  <c r="W15"/>
  <c r="T15"/>
  <c r="S15"/>
  <c r="U15" s="1"/>
  <c r="P15"/>
  <c r="O15"/>
  <c r="Q15" s="1"/>
  <c r="L15"/>
  <c r="K15"/>
  <c r="M15" s="1"/>
  <c r="H15"/>
  <c r="G15"/>
  <c r="D15"/>
  <c r="C15"/>
  <c r="E15" s="1"/>
  <c r="X14"/>
  <c r="W14"/>
  <c r="Y14" s="1"/>
  <c r="T14"/>
  <c r="S14"/>
  <c r="P14"/>
  <c r="O14"/>
  <c r="L14"/>
  <c r="K14"/>
  <c r="H14"/>
  <c r="G14"/>
  <c r="I14" s="1"/>
  <c r="D14"/>
  <c r="C14"/>
  <c r="X13"/>
  <c r="W13"/>
  <c r="Y13" s="1"/>
  <c r="T13"/>
  <c r="S13"/>
  <c r="U13" s="1"/>
  <c r="P13"/>
  <c r="O13"/>
  <c r="Q13" s="1"/>
  <c r="L13"/>
  <c r="K13"/>
  <c r="M13" s="1"/>
  <c r="H13"/>
  <c r="G13"/>
  <c r="I13" s="1"/>
  <c r="D13"/>
  <c r="C13"/>
  <c r="E13" s="1"/>
  <c r="X12"/>
  <c r="W12"/>
  <c r="T12"/>
  <c r="S12"/>
  <c r="U12" s="1"/>
  <c r="P12"/>
  <c r="O12"/>
  <c r="Q12" s="1"/>
  <c r="L12"/>
  <c r="K12"/>
  <c r="M12" s="1"/>
  <c r="H12"/>
  <c r="G12"/>
  <c r="I12" s="1"/>
  <c r="D12"/>
  <c r="C12"/>
  <c r="E12" s="1"/>
  <c r="X11"/>
  <c r="W11"/>
  <c r="T11"/>
  <c r="S11"/>
  <c r="P11"/>
  <c r="O11"/>
  <c r="Q11" s="1"/>
  <c r="L11"/>
  <c r="K11"/>
  <c r="M11" s="1"/>
  <c r="H11"/>
  <c r="G11"/>
  <c r="D11"/>
  <c r="C11"/>
  <c r="X10"/>
  <c r="W10"/>
  <c r="Y10" s="1"/>
  <c r="T10"/>
  <c r="S10"/>
  <c r="U10" s="1"/>
  <c r="P10"/>
  <c r="O10"/>
  <c r="Q10" s="1"/>
  <c r="L10"/>
  <c r="K10"/>
  <c r="M10" s="1"/>
  <c r="H10"/>
  <c r="G10"/>
  <c r="D10"/>
  <c r="C10"/>
  <c r="E10" s="1"/>
  <c r="X9"/>
  <c r="W9"/>
  <c r="Y9" s="1"/>
  <c r="T9"/>
  <c r="S9"/>
  <c r="U9" s="1"/>
  <c r="P9"/>
  <c r="O9"/>
  <c r="L9"/>
  <c r="K9"/>
  <c r="M9" s="1"/>
  <c r="H9"/>
  <c r="G9"/>
  <c r="D9"/>
  <c r="C9"/>
  <c r="E9" s="1"/>
  <c r="X8"/>
  <c r="W8"/>
  <c r="Y8" s="1"/>
  <c r="T8"/>
  <c r="S8"/>
  <c r="U8" s="1"/>
  <c r="P8"/>
  <c r="O8"/>
  <c r="Q8" s="1"/>
  <c r="L8"/>
  <c r="K8"/>
  <c r="M8" s="1"/>
  <c r="H8"/>
  <c r="G8"/>
  <c r="I8" s="1"/>
  <c r="D8"/>
  <c r="C8"/>
  <c r="X7"/>
  <c r="W7"/>
  <c r="Y7" s="1"/>
  <c r="T7"/>
  <c r="S7"/>
  <c r="U7" s="1"/>
  <c r="P7"/>
  <c r="O7"/>
  <c r="Q7" s="1"/>
  <c r="L7"/>
  <c r="K7"/>
  <c r="M7" s="1"/>
  <c r="H7"/>
  <c r="G7"/>
  <c r="I7" s="1"/>
  <c r="D7"/>
  <c r="C7"/>
  <c r="X6"/>
  <c r="W6"/>
  <c r="Y6" s="1"/>
  <c r="T6"/>
  <c r="S6"/>
  <c r="U6" s="1"/>
  <c r="P6"/>
  <c r="O6"/>
  <c r="Q6" s="1"/>
  <c r="L6"/>
  <c r="K6"/>
  <c r="M6" s="1"/>
  <c r="H6"/>
  <c r="G6"/>
  <c r="I6" s="1"/>
  <c r="D6"/>
  <c r="C6"/>
  <c r="E6" s="1"/>
  <c r="X5"/>
  <c r="W5"/>
  <c r="Y5" s="1"/>
  <c r="T5"/>
  <c r="S5"/>
  <c r="U5" s="1"/>
  <c r="P5"/>
  <c r="O5"/>
  <c r="L5"/>
  <c r="K5"/>
  <c r="M5" s="1"/>
  <c r="H5"/>
  <c r="G5"/>
  <c r="I5" s="1"/>
  <c r="D5"/>
  <c r="C5"/>
  <c r="E5" s="1"/>
  <c r="X4"/>
  <c r="W4"/>
  <c r="Y4" s="1"/>
  <c r="T4"/>
  <c r="S4"/>
  <c r="P4"/>
  <c r="O4"/>
  <c r="L4"/>
  <c r="K4"/>
  <c r="M4" s="1"/>
  <c r="H4"/>
  <c r="G4"/>
  <c r="I4" s="1"/>
  <c r="D4"/>
  <c r="C4"/>
  <c r="C124" s="1"/>
  <c r="C125" s="1"/>
  <c r="Q5" i="88"/>
  <c r="P5"/>
  <c r="O5"/>
  <c r="N5"/>
  <c r="L5"/>
  <c r="K5"/>
  <c r="J5"/>
  <c r="I5"/>
  <c r="G5"/>
  <c r="F5"/>
  <c r="E5"/>
  <c r="D5"/>
  <c r="K4" i="32"/>
  <c r="M4"/>
  <c r="J4"/>
  <c r="H4"/>
  <c r="G4"/>
  <c r="F4"/>
  <c r="E4"/>
  <c r="D4"/>
  <c r="K4" i="31"/>
  <c r="M4" s="1"/>
  <c r="I4"/>
  <c r="H4"/>
  <c r="G4"/>
  <c r="F4"/>
  <c r="E4"/>
  <c r="D4"/>
  <c r="O132" i="47"/>
  <c r="N132"/>
  <c r="M132"/>
  <c r="K132"/>
  <c r="J132"/>
  <c r="I132"/>
  <c r="G132"/>
  <c r="F132"/>
  <c r="E132"/>
  <c r="O131"/>
  <c r="N131"/>
  <c r="M131"/>
  <c r="K131"/>
  <c r="J131"/>
  <c r="I131"/>
  <c r="G131"/>
  <c r="F131"/>
  <c r="E131"/>
  <c r="O130"/>
  <c r="N130"/>
  <c r="M130"/>
  <c r="K130"/>
  <c r="J130"/>
  <c r="I130"/>
  <c r="G130"/>
  <c r="F130"/>
  <c r="E130"/>
  <c r="O129"/>
  <c r="N129"/>
  <c r="M129"/>
  <c r="L129"/>
  <c r="K129"/>
  <c r="J129"/>
  <c r="I129"/>
  <c r="G129"/>
  <c r="F129"/>
  <c r="E129"/>
  <c r="O128"/>
  <c r="N128"/>
  <c r="M128"/>
  <c r="K128"/>
  <c r="J128"/>
  <c r="I128"/>
  <c r="G128"/>
  <c r="F128"/>
  <c r="E128"/>
  <c r="O122" i="41"/>
  <c r="Q122" s="1"/>
  <c r="O120"/>
  <c r="Q120" s="1"/>
  <c r="O118"/>
  <c r="Q118" s="1"/>
  <c r="O116"/>
  <c r="O114"/>
  <c r="Q114" s="1"/>
  <c r="O112"/>
  <c r="O110"/>
  <c r="Q110" s="1"/>
  <c r="O108"/>
  <c r="O106"/>
  <c r="Q106" s="1"/>
  <c r="O104"/>
  <c r="O102"/>
  <c r="Q102" s="1"/>
  <c r="O100"/>
  <c r="O98"/>
  <c r="Q98" s="1"/>
  <c r="O96"/>
  <c r="O94"/>
  <c r="Q94" s="1"/>
  <c r="O92"/>
  <c r="O90"/>
  <c r="Q90" s="1"/>
  <c r="O88"/>
  <c r="O86"/>
  <c r="Q86" s="1"/>
  <c r="O84"/>
  <c r="O82"/>
  <c r="Q82" s="1"/>
  <c r="O80"/>
  <c r="O78"/>
  <c r="O76"/>
  <c r="O74"/>
  <c r="Q74" s="1"/>
  <c r="O72"/>
  <c r="O70"/>
  <c r="O68"/>
  <c r="Q68" s="1"/>
  <c r="O66"/>
  <c r="Q66" s="1"/>
  <c r="O64"/>
  <c r="O62"/>
  <c r="O60"/>
  <c r="Q60" s="1"/>
  <c r="O58"/>
  <c r="Q58" s="1"/>
  <c r="O56"/>
  <c r="O54"/>
  <c r="Q54" s="1"/>
  <c r="O52"/>
  <c r="Q52" s="1"/>
  <c r="O50"/>
  <c r="Q50" s="1"/>
  <c r="O48"/>
  <c r="Q48" s="1"/>
  <c r="O46"/>
  <c r="Q46" s="1"/>
  <c r="O44"/>
  <c r="O42"/>
  <c r="O40"/>
  <c r="Q40" s="1"/>
  <c r="O38"/>
  <c r="Q38" s="1"/>
  <c r="O36"/>
  <c r="Q36" s="1"/>
  <c r="O34"/>
  <c r="Q34" s="1"/>
  <c r="O32"/>
  <c r="O30"/>
  <c r="Q30" s="1"/>
  <c r="O28"/>
  <c r="Q28" s="1"/>
  <c r="O26"/>
  <c r="O24"/>
  <c r="Q24" s="1"/>
  <c r="O22"/>
  <c r="O20"/>
  <c r="Q20" s="1"/>
  <c r="O18"/>
  <c r="Q18" s="1"/>
  <c r="O16"/>
  <c r="Q16" s="1"/>
  <c r="O14"/>
  <c r="Q14" s="1"/>
  <c r="O12"/>
  <c r="O10"/>
  <c r="Q10" s="1"/>
  <c r="O8"/>
  <c r="Q8" s="1"/>
  <c r="O6"/>
  <c r="N5" i="47"/>
  <c r="M5"/>
  <c r="O5" s="1"/>
  <c r="J5"/>
  <c r="I5"/>
  <c r="H5"/>
  <c r="F5"/>
  <c r="E5"/>
  <c r="O132" i="49"/>
  <c r="N132"/>
  <c r="M132"/>
  <c r="K132"/>
  <c r="J132"/>
  <c r="I132"/>
  <c r="G132"/>
  <c r="F132"/>
  <c r="E132"/>
  <c r="O131"/>
  <c r="N131"/>
  <c r="M131"/>
  <c r="K131"/>
  <c r="J131"/>
  <c r="I131"/>
  <c r="H131" s="1"/>
  <c r="G131"/>
  <c r="F131"/>
  <c r="E131"/>
  <c r="O130"/>
  <c r="N130"/>
  <c r="M130"/>
  <c r="K130"/>
  <c r="J130"/>
  <c r="I130"/>
  <c r="G130"/>
  <c r="F130"/>
  <c r="E130"/>
  <c r="O129"/>
  <c r="N129"/>
  <c r="M129"/>
  <c r="K129"/>
  <c r="J129"/>
  <c r="I129"/>
  <c r="G129"/>
  <c r="F129"/>
  <c r="E129"/>
  <c r="O128"/>
  <c r="N128"/>
  <c r="M128"/>
  <c r="K128"/>
  <c r="J128"/>
  <c r="I128"/>
  <c r="G128"/>
  <c r="F128"/>
  <c r="E128"/>
  <c r="BD132" i="24"/>
  <c r="BC132"/>
  <c r="AZ132"/>
  <c r="BA132" s="1"/>
  <c r="O132" s="1"/>
  <c r="AY132"/>
  <c r="AW132"/>
  <c r="AV132"/>
  <c r="AX132" s="1"/>
  <c r="N132" s="1"/>
  <c r="AT132"/>
  <c r="AU132" s="1"/>
  <c r="M132" s="1"/>
  <c r="AS132"/>
  <c r="AR132"/>
  <c r="AQ132"/>
  <c r="AP132"/>
  <c r="AN132"/>
  <c r="AO132" s="1"/>
  <c r="K132" s="1"/>
  <c r="AM132"/>
  <c r="AL132"/>
  <c r="AK132"/>
  <c r="AJ132"/>
  <c r="AH132"/>
  <c r="AI132" s="1"/>
  <c r="I132" s="1"/>
  <c r="AG132"/>
  <c r="AE132"/>
  <c r="AD132"/>
  <c r="AF132" s="1"/>
  <c r="H132" s="1"/>
  <c r="AB132"/>
  <c r="AC132" s="1"/>
  <c r="G132" s="1"/>
  <c r="AA132"/>
  <c r="Y132"/>
  <c r="X132"/>
  <c r="Z132" s="1"/>
  <c r="F132" s="1"/>
  <c r="V132"/>
  <c r="W132" s="1"/>
  <c r="E132" s="1"/>
  <c r="U132"/>
  <c r="T132"/>
  <c r="S132"/>
  <c r="R132"/>
  <c r="L132"/>
  <c r="J132"/>
  <c r="D132"/>
  <c r="BD131"/>
  <c r="BC131"/>
  <c r="AZ131"/>
  <c r="BA131" s="1"/>
  <c r="O131" s="1"/>
  <c r="AY131"/>
  <c r="AX131"/>
  <c r="AW131"/>
  <c r="AV131"/>
  <c r="AT131"/>
  <c r="AU131" s="1"/>
  <c r="M131" s="1"/>
  <c r="AS131"/>
  <c r="AQ131"/>
  <c r="AP131"/>
  <c r="AR131" s="1"/>
  <c r="L131" s="1"/>
  <c r="AN131"/>
  <c r="AO131" s="1"/>
  <c r="K131" s="1"/>
  <c r="AM131"/>
  <c r="AK131"/>
  <c r="AJ131"/>
  <c r="AL131" s="1"/>
  <c r="J131" s="1"/>
  <c r="AH131"/>
  <c r="AI131" s="1"/>
  <c r="I131" s="1"/>
  <c r="AG131"/>
  <c r="AF131"/>
  <c r="AE131"/>
  <c r="AD131"/>
  <c r="AB131"/>
  <c r="AC131" s="1"/>
  <c r="G131" s="1"/>
  <c r="AA131"/>
  <c r="Z131"/>
  <c r="Y131"/>
  <c r="X131"/>
  <c r="V131"/>
  <c r="W131" s="1"/>
  <c r="E131" s="1"/>
  <c r="U131"/>
  <c r="S131"/>
  <c r="R131"/>
  <c r="T131" s="1"/>
  <c r="D131" s="1"/>
  <c r="N131"/>
  <c r="H131"/>
  <c r="F131"/>
  <c r="BD130"/>
  <c r="BC130"/>
  <c r="AZ130"/>
  <c r="BA130" s="1"/>
  <c r="O130" s="1"/>
  <c r="AY130"/>
  <c r="AW130"/>
  <c r="AV130"/>
  <c r="AX130" s="1"/>
  <c r="N130" s="1"/>
  <c r="AT130"/>
  <c r="AU130" s="1"/>
  <c r="M130" s="1"/>
  <c r="AS130"/>
  <c r="AR130"/>
  <c r="AQ130"/>
  <c r="AP130"/>
  <c r="AN130"/>
  <c r="AO130" s="1"/>
  <c r="K130" s="1"/>
  <c r="AM130"/>
  <c r="AL130"/>
  <c r="AK130"/>
  <c r="AJ130"/>
  <c r="AH130"/>
  <c r="AI130" s="1"/>
  <c r="I130" s="1"/>
  <c r="AG130"/>
  <c r="AE130"/>
  <c r="AD130"/>
  <c r="AF130" s="1"/>
  <c r="H130" s="1"/>
  <c r="AB130"/>
  <c r="AC130" s="1"/>
  <c r="G130" s="1"/>
  <c r="AA130"/>
  <c r="Y130"/>
  <c r="X130"/>
  <c r="Z130" s="1"/>
  <c r="F130" s="1"/>
  <c r="V130"/>
  <c r="W130" s="1"/>
  <c r="E130" s="1"/>
  <c r="U130"/>
  <c r="T130"/>
  <c r="S130"/>
  <c r="R130"/>
  <c r="L130"/>
  <c r="J130"/>
  <c r="D130"/>
  <c r="BD129"/>
  <c r="BC129"/>
  <c r="AZ129"/>
  <c r="BA129" s="1"/>
  <c r="AY129"/>
  <c r="AX129"/>
  <c r="AW129"/>
  <c r="AV129"/>
  <c r="AT129"/>
  <c r="AU129" s="1"/>
  <c r="M129" s="1"/>
  <c r="AS129"/>
  <c r="AQ129"/>
  <c r="AP129"/>
  <c r="AR129" s="1"/>
  <c r="L129" s="1"/>
  <c r="AN129"/>
  <c r="AO129" s="1"/>
  <c r="K129" s="1"/>
  <c r="AM129"/>
  <c r="AK129"/>
  <c r="AJ129"/>
  <c r="AL129" s="1"/>
  <c r="J129" s="1"/>
  <c r="AH129"/>
  <c r="AI129" s="1"/>
  <c r="I129" s="1"/>
  <c r="AG129"/>
  <c r="AF129"/>
  <c r="H129" s="1"/>
  <c r="AE129"/>
  <c r="AD129"/>
  <c r="AB129"/>
  <c r="AC129" s="1"/>
  <c r="G129" s="1"/>
  <c r="AA129"/>
  <c r="Y129"/>
  <c r="X129"/>
  <c r="Z129" s="1"/>
  <c r="F129" s="1"/>
  <c r="V129"/>
  <c r="W129" s="1"/>
  <c r="E129" s="1"/>
  <c r="U129"/>
  <c r="T129"/>
  <c r="D129" s="1"/>
  <c r="S129"/>
  <c r="R129"/>
  <c r="O129"/>
  <c r="N129"/>
  <c r="BD128"/>
  <c r="BC128"/>
  <c r="AZ128"/>
  <c r="BA128" s="1"/>
  <c r="O128" s="1"/>
  <c r="AY128"/>
  <c r="AX128"/>
  <c r="N128" s="1"/>
  <c r="AW128"/>
  <c r="AV128"/>
  <c r="AT128"/>
  <c r="AU128" s="1"/>
  <c r="M128" s="1"/>
  <c r="AS128"/>
  <c r="AQ128"/>
  <c r="AP128"/>
  <c r="AR128" s="1"/>
  <c r="L128" s="1"/>
  <c r="AN128"/>
  <c r="AO128" s="1"/>
  <c r="K128" s="1"/>
  <c r="AM128"/>
  <c r="AL128"/>
  <c r="J128" s="1"/>
  <c r="AK128"/>
  <c r="AJ128"/>
  <c r="AH128"/>
  <c r="AI128" s="1"/>
  <c r="I128" s="1"/>
  <c r="AG128"/>
  <c r="AE128"/>
  <c r="AD128"/>
  <c r="AF128" s="1"/>
  <c r="H128" s="1"/>
  <c r="AB128"/>
  <c r="AC128" s="1"/>
  <c r="G128" s="1"/>
  <c r="AA128"/>
  <c r="Z128"/>
  <c r="F128" s="1"/>
  <c r="Y128"/>
  <c r="X128"/>
  <c r="V128"/>
  <c r="W128" s="1"/>
  <c r="E128" s="1"/>
  <c r="U128"/>
  <c r="S128"/>
  <c r="R128"/>
  <c r="T128" s="1"/>
  <c r="D128" s="1"/>
  <c r="BE125"/>
  <c r="P125"/>
  <c r="BA125"/>
  <c r="AX125"/>
  <c r="AU125"/>
  <c r="AR125"/>
  <c r="AO125"/>
  <c r="AL125"/>
  <c r="AI125"/>
  <c r="AF125"/>
  <c r="AC125"/>
  <c r="Z125"/>
  <c r="W125"/>
  <c r="T125"/>
  <c r="O125"/>
  <c r="N125"/>
  <c r="M125"/>
  <c r="L125"/>
  <c r="K125"/>
  <c r="J125"/>
  <c r="I125"/>
  <c r="H125"/>
  <c r="G125"/>
  <c r="F125"/>
  <c r="E125"/>
  <c r="D125"/>
  <c r="BE124"/>
  <c r="P124"/>
  <c r="BA124"/>
  <c r="AX124"/>
  <c r="AU124"/>
  <c r="AR124"/>
  <c r="AO124"/>
  <c r="AL124"/>
  <c r="AI124"/>
  <c r="AF124"/>
  <c r="AC124"/>
  <c r="Z124"/>
  <c r="W124"/>
  <c r="T124"/>
  <c r="O124"/>
  <c r="N124"/>
  <c r="M124"/>
  <c r="L124"/>
  <c r="K124"/>
  <c r="J124"/>
  <c r="I124"/>
  <c r="H124"/>
  <c r="G124"/>
  <c r="F124"/>
  <c r="E124"/>
  <c r="D124"/>
  <c r="BE123"/>
  <c r="P123"/>
  <c r="BA123"/>
  <c r="AX123"/>
  <c r="AU123"/>
  <c r="AR123"/>
  <c r="AO123"/>
  <c r="AL123"/>
  <c r="AI123"/>
  <c r="AF123"/>
  <c r="AC123"/>
  <c r="Z123"/>
  <c r="W123"/>
  <c r="T123"/>
  <c r="O123"/>
  <c r="N123"/>
  <c r="M123"/>
  <c r="L123"/>
  <c r="K123"/>
  <c r="J123"/>
  <c r="I123"/>
  <c r="H123"/>
  <c r="G123"/>
  <c r="F123"/>
  <c r="E123"/>
  <c r="D123"/>
  <c r="BE122"/>
  <c r="P122"/>
  <c r="BA122"/>
  <c r="AX122"/>
  <c r="AU122"/>
  <c r="AR122"/>
  <c r="AO122"/>
  <c r="AL122"/>
  <c r="AI122"/>
  <c r="AF122"/>
  <c r="AC122"/>
  <c r="Z122"/>
  <c r="W122"/>
  <c r="T122"/>
  <c r="O122"/>
  <c r="N122"/>
  <c r="M122"/>
  <c r="L122"/>
  <c r="K122"/>
  <c r="J122"/>
  <c r="I122"/>
  <c r="H122"/>
  <c r="G122"/>
  <c r="F122"/>
  <c r="E122"/>
  <c r="D122"/>
  <c r="BE121"/>
  <c r="P121"/>
  <c r="BA121"/>
  <c r="AX121"/>
  <c r="AU121"/>
  <c r="AR121"/>
  <c r="AO121"/>
  <c r="AL121"/>
  <c r="AI121"/>
  <c r="AF121"/>
  <c r="AC121"/>
  <c r="Z121"/>
  <c r="W121"/>
  <c r="T121"/>
  <c r="O121"/>
  <c r="N121"/>
  <c r="M121"/>
  <c r="L121"/>
  <c r="K121"/>
  <c r="J121"/>
  <c r="I121"/>
  <c r="H121"/>
  <c r="G121"/>
  <c r="F121"/>
  <c r="E121"/>
  <c r="D121"/>
  <c r="BE120"/>
  <c r="P120"/>
  <c r="BA120"/>
  <c r="AX120"/>
  <c r="AU120"/>
  <c r="AR120"/>
  <c r="AO120"/>
  <c r="AL120"/>
  <c r="AI120"/>
  <c r="AF120"/>
  <c r="AC120"/>
  <c r="Z120"/>
  <c r="W120"/>
  <c r="T120"/>
  <c r="O120"/>
  <c r="N120"/>
  <c r="M120"/>
  <c r="L120"/>
  <c r="K120"/>
  <c r="J120"/>
  <c r="I120"/>
  <c r="H120"/>
  <c r="G120"/>
  <c r="F120"/>
  <c r="E120"/>
  <c r="D120"/>
  <c r="BE119"/>
  <c r="P119"/>
  <c r="BA119"/>
  <c r="AX119"/>
  <c r="AU119"/>
  <c r="AR119"/>
  <c r="AO119"/>
  <c r="AL119"/>
  <c r="AI119"/>
  <c r="AF119"/>
  <c r="AC119"/>
  <c r="Z119"/>
  <c r="W119"/>
  <c r="T119"/>
  <c r="O119"/>
  <c r="N119"/>
  <c r="M119"/>
  <c r="L119"/>
  <c r="K119"/>
  <c r="J119"/>
  <c r="I119"/>
  <c r="H119"/>
  <c r="G119"/>
  <c r="F119"/>
  <c r="E119"/>
  <c r="D119"/>
  <c r="BE118"/>
  <c r="P118"/>
  <c r="BA118"/>
  <c r="AX118"/>
  <c r="AU118"/>
  <c r="AR118"/>
  <c r="AO118"/>
  <c r="AL118"/>
  <c r="AI118"/>
  <c r="AF118"/>
  <c r="AC118"/>
  <c r="Z118"/>
  <c r="W118"/>
  <c r="T118"/>
  <c r="O118"/>
  <c r="N118"/>
  <c r="M118"/>
  <c r="L118"/>
  <c r="K118"/>
  <c r="J118"/>
  <c r="I118"/>
  <c r="H118"/>
  <c r="G118"/>
  <c r="F118"/>
  <c r="E118"/>
  <c r="D118"/>
  <c r="BE117"/>
  <c r="P117"/>
  <c r="BA117"/>
  <c r="AX117"/>
  <c r="AU117"/>
  <c r="AR117"/>
  <c r="AO117"/>
  <c r="AL117"/>
  <c r="AI117"/>
  <c r="AF117"/>
  <c r="AC117"/>
  <c r="Z117"/>
  <c r="W117"/>
  <c r="T117"/>
  <c r="O117"/>
  <c r="N117"/>
  <c r="M117"/>
  <c r="L117"/>
  <c r="K117"/>
  <c r="J117"/>
  <c r="I117"/>
  <c r="H117"/>
  <c r="G117"/>
  <c r="F117"/>
  <c r="E117"/>
  <c r="D117"/>
  <c r="BE116"/>
  <c r="P116"/>
  <c r="BA116"/>
  <c r="AX116"/>
  <c r="AU116"/>
  <c r="AR116"/>
  <c r="AO116"/>
  <c r="AL116"/>
  <c r="AI116"/>
  <c r="AF116"/>
  <c r="AC116"/>
  <c r="Z116"/>
  <c r="W116"/>
  <c r="T116"/>
  <c r="O116"/>
  <c r="N116"/>
  <c r="M116"/>
  <c r="L116"/>
  <c r="K116"/>
  <c r="J116"/>
  <c r="I116"/>
  <c r="H116"/>
  <c r="G116"/>
  <c r="F116"/>
  <c r="E116"/>
  <c r="D116"/>
  <c r="BE115"/>
  <c r="P115"/>
  <c r="BA115"/>
  <c r="AX115"/>
  <c r="AU115"/>
  <c r="AR115"/>
  <c r="AO115"/>
  <c r="AL115"/>
  <c r="AI115"/>
  <c r="AF115"/>
  <c r="AC115"/>
  <c r="Z115"/>
  <c r="W115"/>
  <c r="T115"/>
  <c r="O115"/>
  <c r="N115"/>
  <c r="M115"/>
  <c r="L115"/>
  <c r="K115"/>
  <c r="J115"/>
  <c r="I115"/>
  <c r="H115"/>
  <c r="G115"/>
  <c r="F115"/>
  <c r="E115"/>
  <c r="D115"/>
  <c r="BE114"/>
  <c r="P114"/>
  <c r="BA114"/>
  <c r="AX114"/>
  <c r="AU114"/>
  <c r="AR114"/>
  <c r="AO114"/>
  <c r="AL114"/>
  <c r="AI114"/>
  <c r="AF114"/>
  <c r="AC114"/>
  <c r="Z114"/>
  <c r="W114"/>
  <c r="T114"/>
  <c r="O114"/>
  <c r="N114"/>
  <c r="M114"/>
  <c r="L114"/>
  <c r="K114"/>
  <c r="J114"/>
  <c r="I114"/>
  <c r="H114"/>
  <c r="G114"/>
  <c r="F114"/>
  <c r="E114"/>
  <c r="D114"/>
  <c r="BE113"/>
  <c r="P113"/>
  <c r="BA113"/>
  <c r="AX113"/>
  <c r="AU113"/>
  <c r="AR113"/>
  <c r="AO113"/>
  <c r="AL113"/>
  <c r="AI113"/>
  <c r="AF113"/>
  <c r="AC113"/>
  <c r="Z113"/>
  <c r="W113"/>
  <c r="T113"/>
  <c r="O113"/>
  <c r="N113"/>
  <c r="M113"/>
  <c r="L113"/>
  <c r="K113"/>
  <c r="J113"/>
  <c r="I113"/>
  <c r="H113"/>
  <c r="G113"/>
  <c r="F113"/>
  <c r="E113"/>
  <c r="D113"/>
  <c r="BE112"/>
  <c r="P112"/>
  <c r="BA112"/>
  <c r="AX112"/>
  <c r="AU112"/>
  <c r="AR112"/>
  <c r="AO112"/>
  <c r="AL112"/>
  <c r="AI112"/>
  <c r="AF112"/>
  <c r="AC112"/>
  <c r="Z112"/>
  <c r="W112"/>
  <c r="T112"/>
  <c r="O112"/>
  <c r="N112"/>
  <c r="M112"/>
  <c r="L112"/>
  <c r="K112"/>
  <c r="J112"/>
  <c r="I112"/>
  <c r="H112"/>
  <c r="G112"/>
  <c r="F112"/>
  <c r="E112"/>
  <c r="D112"/>
  <c r="BE111"/>
  <c r="P111"/>
  <c r="BA111"/>
  <c r="AX111"/>
  <c r="AU111"/>
  <c r="AR111"/>
  <c r="AO111"/>
  <c r="AL111"/>
  <c r="AI111"/>
  <c r="AF111"/>
  <c r="AC111"/>
  <c r="Z111"/>
  <c r="W111"/>
  <c r="T111"/>
  <c r="O111"/>
  <c r="N111"/>
  <c r="M111"/>
  <c r="L111"/>
  <c r="K111"/>
  <c r="J111"/>
  <c r="I111"/>
  <c r="H111"/>
  <c r="G111"/>
  <c r="F111"/>
  <c r="E111"/>
  <c r="D111"/>
  <c r="BE110"/>
  <c r="P110"/>
  <c r="BA110"/>
  <c r="AX110"/>
  <c r="AU110"/>
  <c r="AR110"/>
  <c r="AO110"/>
  <c r="AL110"/>
  <c r="AI110"/>
  <c r="AF110"/>
  <c r="AC110"/>
  <c r="Z110"/>
  <c r="W110"/>
  <c r="T110"/>
  <c r="O110"/>
  <c r="N110"/>
  <c r="M110"/>
  <c r="L110"/>
  <c r="K110"/>
  <c r="J110"/>
  <c r="I110"/>
  <c r="H110"/>
  <c r="G110"/>
  <c r="F110"/>
  <c r="E110"/>
  <c r="D110"/>
  <c r="BE109"/>
  <c r="P109"/>
  <c r="BA109"/>
  <c r="AX109"/>
  <c r="AU109"/>
  <c r="AR109"/>
  <c r="AO109"/>
  <c r="AL109"/>
  <c r="AI109"/>
  <c r="AF109"/>
  <c r="AC109"/>
  <c r="Z109"/>
  <c r="W109"/>
  <c r="T109"/>
  <c r="O109"/>
  <c r="N109"/>
  <c r="M109"/>
  <c r="L109"/>
  <c r="K109"/>
  <c r="J109"/>
  <c r="I109"/>
  <c r="H109"/>
  <c r="G109"/>
  <c r="F109"/>
  <c r="E109"/>
  <c r="D109"/>
  <c r="BE108"/>
  <c r="P108"/>
  <c r="BA108"/>
  <c r="AX108"/>
  <c r="AU108"/>
  <c r="AR108"/>
  <c r="AO108"/>
  <c r="AL108"/>
  <c r="AI108"/>
  <c r="AF108"/>
  <c r="AC108"/>
  <c r="Z108"/>
  <c r="W108"/>
  <c r="T108"/>
  <c r="O108"/>
  <c r="N108"/>
  <c r="M108"/>
  <c r="L108"/>
  <c r="K108"/>
  <c r="J108"/>
  <c r="I108"/>
  <c r="H108"/>
  <c r="G108"/>
  <c r="F108"/>
  <c r="E108"/>
  <c r="D108"/>
  <c r="BE107"/>
  <c r="P107"/>
  <c r="BA107"/>
  <c r="AX107"/>
  <c r="AU107"/>
  <c r="AR107"/>
  <c r="AO107"/>
  <c r="AL107"/>
  <c r="AI107"/>
  <c r="AF107"/>
  <c r="AC107"/>
  <c r="Z107"/>
  <c r="W107"/>
  <c r="T107"/>
  <c r="O107"/>
  <c r="N107"/>
  <c r="M107"/>
  <c r="L107"/>
  <c r="K107"/>
  <c r="J107"/>
  <c r="I107"/>
  <c r="H107"/>
  <c r="G107"/>
  <c r="F107"/>
  <c r="E107"/>
  <c r="D107"/>
  <c r="BE106"/>
  <c r="P106"/>
  <c r="BA106"/>
  <c r="AX106"/>
  <c r="AU106"/>
  <c r="AR106"/>
  <c r="AO106"/>
  <c r="AL106"/>
  <c r="AI106"/>
  <c r="AF106"/>
  <c r="AC106"/>
  <c r="Z106"/>
  <c r="W106"/>
  <c r="T106"/>
  <c r="O106"/>
  <c r="N106"/>
  <c r="M106"/>
  <c r="L106"/>
  <c r="K106"/>
  <c r="J106"/>
  <c r="I106"/>
  <c r="H106"/>
  <c r="G106"/>
  <c r="F106"/>
  <c r="E106"/>
  <c r="D106"/>
  <c r="BE105"/>
  <c r="P105"/>
  <c r="BA105"/>
  <c r="AX105"/>
  <c r="AU105"/>
  <c r="AR105"/>
  <c r="AO105"/>
  <c r="AL105"/>
  <c r="AI105"/>
  <c r="AF105"/>
  <c r="AC105"/>
  <c r="Z105"/>
  <c r="W105"/>
  <c r="T105"/>
  <c r="O105"/>
  <c r="N105"/>
  <c r="M105"/>
  <c r="L105"/>
  <c r="K105"/>
  <c r="J105"/>
  <c r="I105"/>
  <c r="H105"/>
  <c r="G105"/>
  <c r="F105"/>
  <c r="E105"/>
  <c r="D105"/>
  <c r="BE104"/>
  <c r="P104"/>
  <c r="BA104"/>
  <c r="AX104"/>
  <c r="AU104"/>
  <c r="AR104"/>
  <c r="AO104"/>
  <c r="AL104"/>
  <c r="AI104"/>
  <c r="AF104"/>
  <c r="AC104"/>
  <c r="Z104"/>
  <c r="W104"/>
  <c r="T104"/>
  <c r="O104"/>
  <c r="N104"/>
  <c r="M104"/>
  <c r="L104"/>
  <c r="K104"/>
  <c r="J104"/>
  <c r="I104"/>
  <c r="H104"/>
  <c r="G104"/>
  <c r="F104"/>
  <c r="E104"/>
  <c r="D104"/>
  <c r="BE103"/>
  <c r="P103"/>
  <c r="BA103"/>
  <c r="AX103"/>
  <c r="AU103"/>
  <c r="AR103"/>
  <c r="AO103"/>
  <c r="AL103"/>
  <c r="AI103"/>
  <c r="AF103"/>
  <c r="AC103"/>
  <c r="Z103"/>
  <c r="W103"/>
  <c r="T103"/>
  <c r="O103"/>
  <c r="N103"/>
  <c r="M103"/>
  <c r="L103"/>
  <c r="K103"/>
  <c r="J103"/>
  <c r="I103"/>
  <c r="H103"/>
  <c r="G103"/>
  <c r="F103"/>
  <c r="E103"/>
  <c r="D103"/>
  <c r="BE102"/>
  <c r="P102"/>
  <c r="BA102"/>
  <c r="AX102"/>
  <c r="AU102"/>
  <c r="AR102"/>
  <c r="AO102"/>
  <c r="AL102"/>
  <c r="AI102"/>
  <c r="AF102"/>
  <c r="AC102"/>
  <c r="Z102"/>
  <c r="W102"/>
  <c r="T102"/>
  <c r="O102"/>
  <c r="N102"/>
  <c r="M102"/>
  <c r="L102"/>
  <c r="K102"/>
  <c r="J102"/>
  <c r="I102"/>
  <c r="H102"/>
  <c r="G102"/>
  <c r="F102"/>
  <c r="E102"/>
  <c r="D102"/>
  <c r="BE101"/>
  <c r="P101"/>
  <c r="BA101"/>
  <c r="AX101"/>
  <c r="AU101"/>
  <c r="AR101"/>
  <c r="AO101"/>
  <c r="AL101"/>
  <c r="AI101"/>
  <c r="AF101"/>
  <c r="AC101"/>
  <c r="Z101"/>
  <c r="W101"/>
  <c r="T101"/>
  <c r="O101"/>
  <c r="N101"/>
  <c r="M101"/>
  <c r="L101"/>
  <c r="K101"/>
  <c r="J101"/>
  <c r="I101"/>
  <c r="H101"/>
  <c r="G101"/>
  <c r="F101"/>
  <c r="E101"/>
  <c r="D101"/>
  <c r="BE100"/>
  <c r="P100"/>
  <c r="BA100"/>
  <c r="AX100"/>
  <c r="AU100"/>
  <c r="AR100"/>
  <c r="AO100"/>
  <c r="AL100"/>
  <c r="AI100"/>
  <c r="AF100"/>
  <c r="AC100"/>
  <c r="Z100"/>
  <c r="W100"/>
  <c r="T100"/>
  <c r="O100"/>
  <c r="N100"/>
  <c r="M100"/>
  <c r="L100"/>
  <c r="K100"/>
  <c r="J100"/>
  <c r="I100"/>
  <c r="H100"/>
  <c r="G100"/>
  <c r="F100"/>
  <c r="E100"/>
  <c r="D100"/>
  <c r="BE99"/>
  <c r="P99"/>
  <c r="BA99"/>
  <c r="AX99"/>
  <c r="AU99"/>
  <c r="AR99"/>
  <c r="AO99"/>
  <c r="AL99"/>
  <c r="AI99"/>
  <c r="AF99"/>
  <c r="AC99"/>
  <c r="Z99"/>
  <c r="W99"/>
  <c r="T99"/>
  <c r="O99"/>
  <c r="N99"/>
  <c r="M99"/>
  <c r="L99"/>
  <c r="K99"/>
  <c r="J99"/>
  <c r="I99"/>
  <c r="H99"/>
  <c r="G99"/>
  <c r="F99"/>
  <c r="E99"/>
  <c r="D99"/>
  <c r="BE98"/>
  <c r="P98"/>
  <c r="BA98"/>
  <c r="AX98"/>
  <c r="AU98"/>
  <c r="AR98"/>
  <c r="AO98"/>
  <c r="AL98"/>
  <c r="AI98"/>
  <c r="AF98"/>
  <c r="AC98"/>
  <c r="Z98"/>
  <c r="W98"/>
  <c r="T98"/>
  <c r="O98"/>
  <c r="N98"/>
  <c r="M98"/>
  <c r="L98"/>
  <c r="K98"/>
  <c r="J98"/>
  <c r="I98"/>
  <c r="H98"/>
  <c r="G98"/>
  <c r="F98"/>
  <c r="E98"/>
  <c r="D98"/>
  <c r="BE97"/>
  <c r="P97"/>
  <c r="BA97"/>
  <c r="AX97"/>
  <c r="AU97"/>
  <c r="AR97"/>
  <c r="AO97"/>
  <c r="AL97"/>
  <c r="AI97"/>
  <c r="AF97"/>
  <c r="AC97"/>
  <c r="Z97"/>
  <c r="W97"/>
  <c r="T97"/>
  <c r="O97"/>
  <c r="N97"/>
  <c r="M97"/>
  <c r="L97"/>
  <c r="K97"/>
  <c r="J97"/>
  <c r="I97"/>
  <c r="H97"/>
  <c r="G97"/>
  <c r="F97"/>
  <c r="E97"/>
  <c r="D97"/>
  <c r="BE96"/>
  <c r="P96"/>
  <c r="BA96"/>
  <c r="AX96"/>
  <c r="AU96"/>
  <c r="AR96"/>
  <c r="AO96"/>
  <c r="AL96"/>
  <c r="AI96"/>
  <c r="AF96"/>
  <c r="AC96"/>
  <c r="Z96"/>
  <c r="W96"/>
  <c r="T96"/>
  <c r="O96"/>
  <c r="N96"/>
  <c r="M96"/>
  <c r="L96"/>
  <c r="K96"/>
  <c r="J96"/>
  <c r="I96"/>
  <c r="H96"/>
  <c r="G96"/>
  <c r="F96"/>
  <c r="E96"/>
  <c r="D96"/>
  <c r="BE95"/>
  <c r="P95"/>
  <c r="BA95"/>
  <c r="AX95"/>
  <c r="AU95"/>
  <c r="AR95"/>
  <c r="AO95"/>
  <c r="AL95"/>
  <c r="AI95"/>
  <c r="AF95"/>
  <c r="AC95"/>
  <c r="Z95"/>
  <c r="W95"/>
  <c r="T95"/>
  <c r="O95"/>
  <c r="N95"/>
  <c r="M95"/>
  <c r="L95"/>
  <c r="K95"/>
  <c r="J95"/>
  <c r="I95"/>
  <c r="H95"/>
  <c r="G95"/>
  <c r="F95"/>
  <c r="E95"/>
  <c r="D95"/>
  <c r="BE94"/>
  <c r="P94"/>
  <c r="BA94"/>
  <c r="AX94"/>
  <c r="AU94"/>
  <c r="AR94"/>
  <c r="AO94"/>
  <c r="AL94"/>
  <c r="AI94"/>
  <c r="AF94"/>
  <c r="AC94"/>
  <c r="Z94"/>
  <c r="W94"/>
  <c r="T94"/>
  <c r="O94"/>
  <c r="N94"/>
  <c r="M94"/>
  <c r="L94"/>
  <c r="K94"/>
  <c r="J94"/>
  <c r="I94"/>
  <c r="H94"/>
  <c r="G94"/>
  <c r="F94"/>
  <c r="E94"/>
  <c r="D94"/>
  <c r="BE93"/>
  <c r="P93"/>
  <c r="BA93"/>
  <c r="AX93"/>
  <c r="AU93"/>
  <c r="AR93"/>
  <c r="AO93"/>
  <c r="AL93"/>
  <c r="AI93"/>
  <c r="AF93"/>
  <c r="AC93"/>
  <c r="Z93"/>
  <c r="W93"/>
  <c r="T93"/>
  <c r="O93"/>
  <c r="N93"/>
  <c r="M93"/>
  <c r="L93"/>
  <c r="K93"/>
  <c r="J93"/>
  <c r="I93"/>
  <c r="H93"/>
  <c r="G93"/>
  <c r="F93"/>
  <c r="E93"/>
  <c r="D93"/>
  <c r="BE92"/>
  <c r="P92"/>
  <c r="BA92"/>
  <c r="AX92"/>
  <c r="AU92"/>
  <c r="AR92"/>
  <c r="AO92"/>
  <c r="AL92"/>
  <c r="AI92"/>
  <c r="AF92"/>
  <c r="AC92"/>
  <c r="Z92"/>
  <c r="W92"/>
  <c r="T92"/>
  <c r="O92"/>
  <c r="N92"/>
  <c r="M92"/>
  <c r="L92"/>
  <c r="K92"/>
  <c r="J92"/>
  <c r="I92"/>
  <c r="H92"/>
  <c r="G92"/>
  <c r="F92"/>
  <c r="E92"/>
  <c r="D92"/>
  <c r="BE91"/>
  <c r="P91"/>
  <c r="BA91"/>
  <c r="AX91"/>
  <c r="AU91"/>
  <c r="AR91"/>
  <c r="AO91"/>
  <c r="AL91"/>
  <c r="AI91"/>
  <c r="AF91"/>
  <c r="AC91"/>
  <c r="Z91"/>
  <c r="W91"/>
  <c r="T91"/>
  <c r="O91"/>
  <c r="N91"/>
  <c r="M91"/>
  <c r="L91"/>
  <c r="K91"/>
  <c r="J91"/>
  <c r="I91"/>
  <c r="H91"/>
  <c r="G91"/>
  <c r="F91"/>
  <c r="E91"/>
  <c r="D91"/>
  <c r="BE90"/>
  <c r="P90"/>
  <c r="BA90"/>
  <c r="AX90"/>
  <c r="AU90"/>
  <c r="AR90"/>
  <c r="AO90"/>
  <c r="AL90"/>
  <c r="AI90"/>
  <c r="AF90"/>
  <c r="AC90"/>
  <c r="Z90"/>
  <c r="W90"/>
  <c r="T90"/>
  <c r="O90"/>
  <c r="N90"/>
  <c r="M90"/>
  <c r="L90"/>
  <c r="K90"/>
  <c r="J90"/>
  <c r="I90"/>
  <c r="H90"/>
  <c r="G90"/>
  <c r="F90"/>
  <c r="E90"/>
  <c r="D90"/>
  <c r="BE89"/>
  <c r="P89"/>
  <c r="BA89"/>
  <c r="AX89"/>
  <c r="AU89"/>
  <c r="AR89"/>
  <c r="AO89"/>
  <c r="AL89"/>
  <c r="AI89"/>
  <c r="AF89"/>
  <c r="AC89"/>
  <c r="Z89"/>
  <c r="W89"/>
  <c r="T89"/>
  <c r="O89"/>
  <c r="N89"/>
  <c r="M89"/>
  <c r="L89"/>
  <c r="K89"/>
  <c r="J89"/>
  <c r="I89"/>
  <c r="H89"/>
  <c r="G89"/>
  <c r="F89"/>
  <c r="E89"/>
  <c r="D89"/>
  <c r="BE88"/>
  <c r="P88"/>
  <c r="BA88"/>
  <c r="AX88"/>
  <c r="AU88"/>
  <c r="AR88"/>
  <c r="AO88"/>
  <c r="AL88"/>
  <c r="AI88"/>
  <c r="AF88"/>
  <c r="AC88"/>
  <c r="Z88"/>
  <c r="W88"/>
  <c r="T88"/>
  <c r="O88"/>
  <c r="N88"/>
  <c r="M88"/>
  <c r="L88"/>
  <c r="K88"/>
  <c r="J88"/>
  <c r="I88"/>
  <c r="H88"/>
  <c r="G88"/>
  <c r="F88"/>
  <c r="E88"/>
  <c r="D88"/>
  <c r="BE87"/>
  <c r="P87"/>
  <c r="BA87"/>
  <c r="AX87"/>
  <c r="AU87"/>
  <c r="AR87"/>
  <c r="AO87"/>
  <c r="AL87"/>
  <c r="AI87"/>
  <c r="AF87"/>
  <c r="AC87"/>
  <c r="Z87"/>
  <c r="W87"/>
  <c r="T87"/>
  <c r="O87"/>
  <c r="N87"/>
  <c r="M87"/>
  <c r="L87"/>
  <c r="K87"/>
  <c r="J87"/>
  <c r="I87"/>
  <c r="H87"/>
  <c r="G87"/>
  <c r="F87"/>
  <c r="E87"/>
  <c r="D87"/>
  <c r="BE86"/>
  <c r="P86"/>
  <c r="BA86"/>
  <c r="AX86"/>
  <c r="AU86"/>
  <c r="AR86"/>
  <c r="AO86"/>
  <c r="AL86"/>
  <c r="AI86"/>
  <c r="AF86"/>
  <c r="AC86"/>
  <c r="Z86"/>
  <c r="W86"/>
  <c r="T86"/>
  <c r="O86"/>
  <c r="N86"/>
  <c r="M86"/>
  <c r="L86"/>
  <c r="K86"/>
  <c r="J86"/>
  <c r="I86"/>
  <c r="H86"/>
  <c r="G86"/>
  <c r="F86"/>
  <c r="E86"/>
  <c r="D86"/>
  <c r="BE85"/>
  <c r="P85"/>
  <c r="BA85"/>
  <c r="AX85"/>
  <c r="AU85"/>
  <c r="AR85"/>
  <c r="AO85"/>
  <c r="AL85"/>
  <c r="AI85"/>
  <c r="AF85"/>
  <c r="AC85"/>
  <c r="Z85"/>
  <c r="W85"/>
  <c r="T85"/>
  <c r="O85"/>
  <c r="N85"/>
  <c r="M85"/>
  <c r="L85"/>
  <c r="K85"/>
  <c r="J85"/>
  <c r="I85"/>
  <c r="H85"/>
  <c r="G85"/>
  <c r="F85"/>
  <c r="E85"/>
  <c r="D85"/>
  <c r="BE84"/>
  <c r="P84"/>
  <c r="BA84"/>
  <c r="AX84"/>
  <c r="AU84"/>
  <c r="AR84"/>
  <c r="AO84"/>
  <c r="AL84"/>
  <c r="AI84"/>
  <c r="AF84"/>
  <c r="AC84"/>
  <c r="Z84"/>
  <c r="W84"/>
  <c r="T84"/>
  <c r="O84"/>
  <c r="N84"/>
  <c r="M84"/>
  <c r="L84"/>
  <c r="K84"/>
  <c r="J84"/>
  <c r="I84"/>
  <c r="H84"/>
  <c r="G84"/>
  <c r="F84"/>
  <c r="E84"/>
  <c r="D84"/>
  <c r="BE83"/>
  <c r="P83"/>
  <c r="BA83"/>
  <c r="AX83"/>
  <c r="AU83"/>
  <c r="AR83"/>
  <c r="AO83"/>
  <c r="AL83"/>
  <c r="AI83"/>
  <c r="AF83"/>
  <c r="AC83"/>
  <c r="Z83"/>
  <c r="W83"/>
  <c r="T83"/>
  <c r="O83"/>
  <c r="N83"/>
  <c r="M83"/>
  <c r="L83"/>
  <c r="K83"/>
  <c r="J83"/>
  <c r="I83"/>
  <c r="H83"/>
  <c r="G83"/>
  <c r="F83"/>
  <c r="E83"/>
  <c r="D83"/>
  <c r="BE82"/>
  <c r="P82"/>
  <c r="BA82"/>
  <c r="AX82"/>
  <c r="AU82"/>
  <c r="AR82"/>
  <c r="AO82"/>
  <c r="AL82"/>
  <c r="AI82"/>
  <c r="AF82"/>
  <c r="AC82"/>
  <c r="Z82"/>
  <c r="W82"/>
  <c r="T82"/>
  <c r="O82"/>
  <c r="N82"/>
  <c r="M82"/>
  <c r="L82"/>
  <c r="K82"/>
  <c r="J82"/>
  <c r="I82"/>
  <c r="H82"/>
  <c r="G82"/>
  <c r="F82"/>
  <c r="E82"/>
  <c r="D82"/>
  <c r="BE81"/>
  <c r="P81"/>
  <c r="BA81"/>
  <c r="AX81"/>
  <c r="AU81"/>
  <c r="AR81"/>
  <c r="AO81"/>
  <c r="AL81"/>
  <c r="AI81"/>
  <c r="AF81"/>
  <c r="AC81"/>
  <c r="Z81"/>
  <c r="W81"/>
  <c r="T81"/>
  <c r="O81"/>
  <c r="N81"/>
  <c r="M81"/>
  <c r="L81"/>
  <c r="K81"/>
  <c r="J81"/>
  <c r="I81"/>
  <c r="H81"/>
  <c r="G81"/>
  <c r="F81"/>
  <c r="E81"/>
  <c r="D81"/>
  <c r="BE80"/>
  <c r="P80"/>
  <c r="BA80"/>
  <c r="AX80"/>
  <c r="AU80"/>
  <c r="AR80"/>
  <c r="AO80"/>
  <c r="AL80"/>
  <c r="AI80"/>
  <c r="AF80"/>
  <c r="AC80"/>
  <c r="Z80"/>
  <c r="W80"/>
  <c r="T80"/>
  <c r="O80"/>
  <c r="N80"/>
  <c r="M80"/>
  <c r="L80"/>
  <c r="K80"/>
  <c r="J80"/>
  <c r="I80"/>
  <c r="H80"/>
  <c r="G80"/>
  <c r="F80"/>
  <c r="E80"/>
  <c r="D80"/>
  <c r="BE79"/>
  <c r="P79"/>
  <c r="BA79"/>
  <c r="AX79"/>
  <c r="AU79"/>
  <c r="AR79"/>
  <c r="AO79"/>
  <c r="AL79"/>
  <c r="AI79"/>
  <c r="AF79"/>
  <c r="AC79"/>
  <c r="Z79"/>
  <c r="W79"/>
  <c r="T79"/>
  <c r="O79"/>
  <c r="N79"/>
  <c r="M79"/>
  <c r="L79"/>
  <c r="K79"/>
  <c r="J79"/>
  <c r="I79"/>
  <c r="H79"/>
  <c r="G79"/>
  <c r="F79"/>
  <c r="E79"/>
  <c r="D79"/>
  <c r="BE78"/>
  <c r="P78"/>
  <c r="BA78"/>
  <c r="AX78"/>
  <c r="AU78"/>
  <c r="AR78"/>
  <c r="AO78"/>
  <c r="AL78"/>
  <c r="AI78"/>
  <c r="AF78"/>
  <c r="AC78"/>
  <c r="Z78"/>
  <c r="W78"/>
  <c r="T78"/>
  <c r="O78"/>
  <c r="N78"/>
  <c r="M78"/>
  <c r="L78"/>
  <c r="K78"/>
  <c r="J78"/>
  <c r="I78"/>
  <c r="H78"/>
  <c r="G78"/>
  <c r="F78"/>
  <c r="E78"/>
  <c r="D78"/>
  <c r="BE77"/>
  <c r="P77"/>
  <c r="BA77"/>
  <c r="AX77"/>
  <c r="AU77"/>
  <c r="AR77"/>
  <c r="AO77"/>
  <c r="AL77"/>
  <c r="AI77"/>
  <c r="AF77"/>
  <c r="AC77"/>
  <c r="Z77"/>
  <c r="W77"/>
  <c r="T77"/>
  <c r="O77"/>
  <c r="N77"/>
  <c r="M77"/>
  <c r="L77"/>
  <c r="K77"/>
  <c r="J77"/>
  <c r="I77"/>
  <c r="H77"/>
  <c r="G77"/>
  <c r="F77"/>
  <c r="E77"/>
  <c r="D77"/>
  <c r="BE76"/>
  <c r="P76"/>
  <c r="BA76"/>
  <c r="AX76"/>
  <c r="AU76"/>
  <c r="AR76"/>
  <c r="AO76"/>
  <c r="AL76"/>
  <c r="AI76"/>
  <c r="AF76"/>
  <c r="AC76"/>
  <c r="Z76"/>
  <c r="W76"/>
  <c r="T76"/>
  <c r="O76"/>
  <c r="N76"/>
  <c r="M76"/>
  <c r="L76"/>
  <c r="K76"/>
  <c r="J76"/>
  <c r="I76"/>
  <c r="H76"/>
  <c r="G76"/>
  <c r="F76"/>
  <c r="E76"/>
  <c r="D76"/>
  <c r="BE75"/>
  <c r="P75"/>
  <c r="BA75"/>
  <c r="AX75"/>
  <c r="AU75"/>
  <c r="AR75"/>
  <c r="AO75"/>
  <c r="AL75"/>
  <c r="AI75"/>
  <c r="AF75"/>
  <c r="AC75"/>
  <c r="Z75"/>
  <c r="W75"/>
  <c r="T75"/>
  <c r="O75"/>
  <c r="N75"/>
  <c r="M75"/>
  <c r="L75"/>
  <c r="K75"/>
  <c r="J75"/>
  <c r="I75"/>
  <c r="H75"/>
  <c r="G75"/>
  <c r="F75"/>
  <c r="E75"/>
  <c r="D75"/>
  <c r="BE74"/>
  <c r="P74"/>
  <c r="BA74"/>
  <c r="AX74"/>
  <c r="AU74"/>
  <c r="AR74"/>
  <c r="AO74"/>
  <c r="AL74"/>
  <c r="AI74"/>
  <c r="AF74"/>
  <c r="AC74"/>
  <c r="Z74"/>
  <c r="W74"/>
  <c r="T74"/>
  <c r="O74"/>
  <c r="N74"/>
  <c r="M74"/>
  <c r="L74"/>
  <c r="K74"/>
  <c r="J74"/>
  <c r="I74"/>
  <c r="H74"/>
  <c r="G74"/>
  <c r="F74"/>
  <c r="E74"/>
  <c r="D74"/>
  <c r="BE73"/>
  <c r="P73"/>
  <c r="BA73"/>
  <c r="AX73"/>
  <c r="AU73"/>
  <c r="AR73"/>
  <c r="AO73"/>
  <c r="AL73"/>
  <c r="AI73"/>
  <c r="AF73"/>
  <c r="AC73"/>
  <c r="Z73"/>
  <c r="W73"/>
  <c r="T73"/>
  <c r="O73"/>
  <c r="N73"/>
  <c r="M73"/>
  <c r="L73"/>
  <c r="K73"/>
  <c r="J73"/>
  <c r="I73"/>
  <c r="H73"/>
  <c r="G73"/>
  <c r="F73"/>
  <c r="E73"/>
  <c r="D73"/>
  <c r="BE72"/>
  <c r="P72"/>
  <c r="BA72"/>
  <c r="AX72"/>
  <c r="AU72"/>
  <c r="AR72"/>
  <c r="AO72"/>
  <c r="AL72"/>
  <c r="AI72"/>
  <c r="AF72"/>
  <c r="AC72"/>
  <c r="Z72"/>
  <c r="W72"/>
  <c r="T72"/>
  <c r="O72"/>
  <c r="N72"/>
  <c r="M72"/>
  <c r="L72"/>
  <c r="K72"/>
  <c r="J72"/>
  <c r="I72"/>
  <c r="H72"/>
  <c r="G72"/>
  <c r="F72"/>
  <c r="E72"/>
  <c r="D72"/>
  <c r="BE71"/>
  <c r="P71"/>
  <c r="BA71"/>
  <c r="AX71"/>
  <c r="AU71"/>
  <c r="AR71"/>
  <c r="AO71"/>
  <c r="AL71"/>
  <c r="AI71"/>
  <c r="AF71"/>
  <c r="AC71"/>
  <c r="Z71"/>
  <c r="W71"/>
  <c r="T71"/>
  <c r="O71"/>
  <c r="N71"/>
  <c r="M71"/>
  <c r="L71"/>
  <c r="K71"/>
  <c r="J71"/>
  <c r="I71"/>
  <c r="H71"/>
  <c r="G71"/>
  <c r="F71"/>
  <c r="E71"/>
  <c r="D71"/>
  <c r="BE70"/>
  <c r="P70"/>
  <c r="BA70"/>
  <c r="AX70"/>
  <c r="AU70"/>
  <c r="AR70"/>
  <c r="AO70"/>
  <c r="AL70"/>
  <c r="AI70"/>
  <c r="AF70"/>
  <c r="AC70"/>
  <c r="Z70"/>
  <c r="W70"/>
  <c r="T70"/>
  <c r="O70"/>
  <c r="N70"/>
  <c r="M70"/>
  <c r="L70"/>
  <c r="K70"/>
  <c r="J70"/>
  <c r="I70"/>
  <c r="H70"/>
  <c r="G70"/>
  <c r="F70"/>
  <c r="E70"/>
  <c r="D70"/>
  <c r="BE69"/>
  <c r="P69"/>
  <c r="BA69"/>
  <c r="AX69"/>
  <c r="AU69"/>
  <c r="AR69"/>
  <c r="AO69"/>
  <c r="AL69"/>
  <c r="AI69"/>
  <c r="AF69"/>
  <c r="AC69"/>
  <c r="Z69"/>
  <c r="W69"/>
  <c r="T69"/>
  <c r="O69"/>
  <c r="N69"/>
  <c r="M69"/>
  <c r="L69"/>
  <c r="K69"/>
  <c r="J69"/>
  <c r="I69"/>
  <c r="H69"/>
  <c r="G69"/>
  <c r="F69"/>
  <c r="E69"/>
  <c r="D69"/>
  <c r="BE68"/>
  <c r="P68"/>
  <c r="BA68"/>
  <c r="AX68"/>
  <c r="AU68"/>
  <c r="AR68"/>
  <c r="AO68"/>
  <c r="AL68"/>
  <c r="AI68"/>
  <c r="AF68"/>
  <c r="AC68"/>
  <c r="Z68"/>
  <c r="W68"/>
  <c r="T68"/>
  <c r="O68"/>
  <c r="N68"/>
  <c r="M68"/>
  <c r="L68"/>
  <c r="K68"/>
  <c r="J68"/>
  <c r="I68"/>
  <c r="H68"/>
  <c r="G68"/>
  <c r="F68"/>
  <c r="E68"/>
  <c r="D68"/>
  <c r="BE67"/>
  <c r="P67"/>
  <c r="BA67"/>
  <c r="AX67"/>
  <c r="AU67"/>
  <c r="AR67"/>
  <c r="AO67"/>
  <c r="AL67"/>
  <c r="AI67"/>
  <c r="AF67"/>
  <c r="AC67"/>
  <c r="Z67"/>
  <c r="W67"/>
  <c r="T67"/>
  <c r="O67"/>
  <c r="N67"/>
  <c r="M67"/>
  <c r="L67"/>
  <c r="K67"/>
  <c r="J67"/>
  <c r="I67"/>
  <c r="H67"/>
  <c r="G67"/>
  <c r="F67"/>
  <c r="E67"/>
  <c r="D67"/>
  <c r="BE66"/>
  <c r="P66"/>
  <c r="BA66"/>
  <c r="AX66"/>
  <c r="AU66"/>
  <c r="AR66"/>
  <c r="AO66"/>
  <c r="AL66"/>
  <c r="AI66"/>
  <c r="AF66"/>
  <c r="AC66"/>
  <c r="Z66"/>
  <c r="W66"/>
  <c r="T66"/>
  <c r="O66"/>
  <c r="N66"/>
  <c r="M66"/>
  <c r="L66"/>
  <c r="K66"/>
  <c r="J66"/>
  <c r="I66"/>
  <c r="H66"/>
  <c r="G66"/>
  <c r="F66"/>
  <c r="E66"/>
  <c r="D66"/>
  <c r="BE65"/>
  <c r="P65"/>
  <c r="BA65"/>
  <c r="AX65"/>
  <c r="AU65"/>
  <c r="AR65"/>
  <c r="AO65"/>
  <c r="AL65"/>
  <c r="AI65"/>
  <c r="AF65"/>
  <c r="AC65"/>
  <c r="Z65"/>
  <c r="W65"/>
  <c r="T65"/>
  <c r="O65"/>
  <c r="N65"/>
  <c r="M65"/>
  <c r="L65"/>
  <c r="K65"/>
  <c r="J65"/>
  <c r="I65"/>
  <c r="H65"/>
  <c r="G65"/>
  <c r="F65"/>
  <c r="E65"/>
  <c r="D65"/>
  <c r="BE64"/>
  <c r="P64"/>
  <c r="BA64"/>
  <c r="AX64"/>
  <c r="AU64"/>
  <c r="AR64"/>
  <c r="AO64"/>
  <c r="AL64"/>
  <c r="AI64"/>
  <c r="AF64"/>
  <c r="AC64"/>
  <c r="Z64"/>
  <c r="W64"/>
  <c r="T64"/>
  <c r="O64"/>
  <c r="N64"/>
  <c r="M64"/>
  <c r="L64"/>
  <c r="K64"/>
  <c r="J64"/>
  <c r="I64"/>
  <c r="H64"/>
  <c r="G64"/>
  <c r="F64"/>
  <c r="E64"/>
  <c r="D64"/>
  <c r="BE63"/>
  <c r="P63"/>
  <c r="BA63"/>
  <c r="AX63"/>
  <c r="AU63"/>
  <c r="AR63"/>
  <c r="AO63"/>
  <c r="AL63"/>
  <c r="AI63"/>
  <c r="AF63"/>
  <c r="AC63"/>
  <c r="Z63"/>
  <c r="W63"/>
  <c r="T63"/>
  <c r="O63"/>
  <c r="N63"/>
  <c r="M63"/>
  <c r="L63"/>
  <c r="K63"/>
  <c r="J63"/>
  <c r="I63"/>
  <c r="H63"/>
  <c r="G63"/>
  <c r="F63"/>
  <c r="E63"/>
  <c r="D63"/>
  <c r="BE62"/>
  <c r="P62"/>
  <c r="BA62"/>
  <c r="AX62"/>
  <c r="AU62"/>
  <c r="AR62"/>
  <c r="AO62"/>
  <c r="AL62"/>
  <c r="AI62"/>
  <c r="AF62"/>
  <c r="AC62"/>
  <c r="Z62"/>
  <c r="W62"/>
  <c r="T62"/>
  <c r="O62"/>
  <c r="N62"/>
  <c r="M62"/>
  <c r="L62"/>
  <c r="K62"/>
  <c r="J62"/>
  <c r="I62"/>
  <c r="H62"/>
  <c r="G62"/>
  <c r="F62"/>
  <c r="E62"/>
  <c r="D62"/>
  <c r="BE61"/>
  <c r="P61"/>
  <c r="BA61"/>
  <c r="AX61"/>
  <c r="AU61"/>
  <c r="AR61"/>
  <c r="AO61"/>
  <c r="AL61"/>
  <c r="AI61"/>
  <c r="AF61"/>
  <c r="AC61"/>
  <c r="Z61"/>
  <c r="W61"/>
  <c r="T61"/>
  <c r="O61"/>
  <c r="N61"/>
  <c r="M61"/>
  <c r="L61"/>
  <c r="K61"/>
  <c r="J61"/>
  <c r="I61"/>
  <c r="H61"/>
  <c r="G61"/>
  <c r="F61"/>
  <c r="E61"/>
  <c r="D61"/>
  <c r="BE60"/>
  <c r="P60"/>
  <c r="BA60"/>
  <c r="AX60"/>
  <c r="AU60"/>
  <c r="AR60"/>
  <c r="AO60"/>
  <c r="AL60"/>
  <c r="AI60"/>
  <c r="AF60"/>
  <c r="AC60"/>
  <c r="Z60"/>
  <c r="W60"/>
  <c r="T60"/>
  <c r="O60"/>
  <c r="N60"/>
  <c r="M60"/>
  <c r="L60"/>
  <c r="K60"/>
  <c r="J60"/>
  <c r="I60"/>
  <c r="H60"/>
  <c r="G60"/>
  <c r="F60"/>
  <c r="E60"/>
  <c r="D60"/>
  <c r="BE59"/>
  <c r="P59"/>
  <c r="BA59"/>
  <c r="AX59"/>
  <c r="AU59"/>
  <c r="AR59"/>
  <c r="AO59"/>
  <c r="AL59"/>
  <c r="AI59"/>
  <c r="AF59"/>
  <c r="AC59"/>
  <c r="Z59"/>
  <c r="W59"/>
  <c r="T59"/>
  <c r="O59"/>
  <c r="N59"/>
  <c r="M59"/>
  <c r="L59"/>
  <c r="K59"/>
  <c r="J59"/>
  <c r="I59"/>
  <c r="H59"/>
  <c r="G59"/>
  <c r="F59"/>
  <c r="E59"/>
  <c r="D59"/>
  <c r="BE58"/>
  <c r="P58"/>
  <c r="BA58"/>
  <c r="AX58"/>
  <c r="AU58"/>
  <c r="AR58"/>
  <c r="AO58"/>
  <c r="AL58"/>
  <c r="AI58"/>
  <c r="AF58"/>
  <c r="AC58"/>
  <c r="Z58"/>
  <c r="W58"/>
  <c r="T58"/>
  <c r="O58"/>
  <c r="N58"/>
  <c r="M58"/>
  <c r="L58"/>
  <c r="K58"/>
  <c r="J58"/>
  <c r="I58"/>
  <c r="H58"/>
  <c r="G58"/>
  <c r="F58"/>
  <c r="E58"/>
  <c r="D58"/>
  <c r="BE57"/>
  <c r="P57"/>
  <c r="BA57"/>
  <c r="AX57"/>
  <c r="AU57"/>
  <c r="AR57"/>
  <c r="AO57"/>
  <c r="AL57"/>
  <c r="AI57"/>
  <c r="AF57"/>
  <c r="AC57"/>
  <c r="Z57"/>
  <c r="W57"/>
  <c r="T57"/>
  <c r="O57"/>
  <c r="N57"/>
  <c r="M57"/>
  <c r="L57"/>
  <c r="K57"/>
  <c r="J57"/>
  <c r="I57"/>
  <c r="H57"/>
  <c r="G57"/>
  <c r="F57"/>
  <c r="E57"/>
  <c r="D57"/>
  <c r="BE56"/>
  <c r="P56"/>
  <c r="BA56"/>
  <c r="AX56"/>
  <c r="AU56"/>
  <c r="AR56"/>
  <c r="AO56"/>
  <c r="AL56"/>
  <c r="AI56"/>
  <c r="AF56"/>
  <c r="AC56"/>
  <c r="Z56"/>
  <c r="W56"/>
  <c r="T56"/>
  <c r="O56"/>
  <c r="N56"/>
  <c r="M56"/>
  <c r="L56"/>
  <c r="K56"/>
  <c r="J56"/>
  <c r="I56"/>
  <c r="H56"/>
  <c r="G56"/>
  <c r="F56"/>
  <c r="E56"/>
  <c r="D56"/>
  <c r="BE55"/>
  <c r="P55"/>
  <c r="BA55"/>
  <c r="AX55"/>
  <c r="AU55"/>
  <c r="AR55"/>
  <c r="AO55"/>
  <c r="AL55"/>
  <c r="AI55"/>
  <c r="AF55"/>
  <c r="AC55"/>
  <c r="Z55"/>
  <c r="W55"/>
  <c r="T55"/>
  <c r="O55"/>
  <c r="N55"/>
  <c r="M55"/>
  <c r="L55"/>
  <c r="K55"/>
  <c r="J55"/>
  <c r="I55"/>
  <c r="H55"/>
  <c r="G55"/>
  <c r="F55"/>
  <c r="E55"/>
  <c r="D55"/>
  <c r="BE54"/>
  <c r="P54"/>
  <c r="BA54"/>
  <c r="AX54"/>
  <c r="AU54"/>
  <c r="AR54"/>
  <c r="AO54"/>
  <c r="AL54"/>
  <c r="AI54"/>
  <c r="AF54"/>
  <c r="AC54"/>
  <c r="Z54"/>
  <c r="W54"/>
  <c r="T54"/>
  <c r="O54"/>
  <c r="N54"/>
  <c r="M54"/>
  <c r="L54"/>
  <c r="K54"/>
  <c r="J54"/>
  <c r="I54"/>
  <c r="H54"/>
  <c r="G54"/>
  <c r="F54"/>
  <c r="E54"/>
  <c r="D54"/>
  <c r="BE53"/>
  <c r="P53"/>
  <c r="BA53"/>
  <c r="AX53"/>
  <c r="AU53"/>
  <c r="AR53"/>
  <c r="AO53"/>
  <c r="AL53"/>
  <c r="AI53"/>
  <c r="AF53"/>
  <c r="AC53"/>
  <c r="Z53"/>
  <c r="W53"/>
  <c r="T53"/>
  <c r="O53"/>
  <c r="N53"/>
  <c r="M53"/>
  <c r="L53"/>
  <c r="K53"/>
  <c r="J53"/>
  <c r="I53"/>
  <c r="H53"/>
  <c r="G53"/>
  <c r="F53"/>
  <c r="E53"/>
  <c r="D53"/>
  <c r="BE52"/>
  <c r="P52"/>
  <c r="BA52"/>
  <c r="AX52"/>
  <c r="AU52"/>
  <c r="AR52"/>
  <c r="AO52"/>
  <c r="AL52"/>
  <c r="AI52"/>
  <c r="AF52"/>
  <c r="AC52"/>
  <c r="Z52"/>
  <c r="W52"/>
  <c r="T52"/>
  <c r="O52"/>
  <c r="N52"/>
  <c r="M52"/>
  <c r="L52"/>
  <c r="K52"/>
  <c r="J52"/>
  <c r="I52"/>
  <c r="H52"/>
  <c r="G52"/>
  <c r="F52"/>
  <c r="E52"/>
  <c r="D52"/>
  <c r="BE51"/>
  <c r="P51"/>
  <c r="BA51"/>
  <c r="AX51"/>
  <c r="AU51"/>
  <c r="AR51"/>
  <c r="AO51"/>
  <c r="AL51"/>
  <c r="AI51"/>
  <c r="AF51"/>
  <c r="AC51"/>
  <c r="Z51"/>
  <c r="W51"/>
  <c r="T51"/>
  <c r="O51"/>
  <c r="N51"/>
  <c r="M51"/>
  <c r="L51"/>
  <c r="K51"/>
  <c r="J51"/>
  <c r="I51"/>
  <c r="H51"/>
  <c r="G51"/>
  <c r="F51"/>
  <c r="E51"/>
  <c r="D51"/>
  <c r="BE50"/>
  <c r="P50"/>
  <c r="BA50"/>
  <c r="AX50"/>
  <c r="AU50"/>
  <c r="AR50"/>
  <c r="AO50"/>
  <c r="AL50"/>
  <c r="AI50"/>
  <c r="AF50"/>
  <c r="AC50"/>
  <c r="Z50"/>
  <c r="W50"/>
  <c r="T50"/>
  <c r="O50"/>
  <c r="N50"/>
  <c r="M50"/>
  <c r="L50"/>
  <c r="K50"/>
  <c r="J50"/>
  <c r="I50"/>
  <c r="H50"/>
  <c r="G50"/>
  <c r="F50"/>
  <c r="E50"/>
  <c r="D50"/>
  <c r="BE49"/>
  <c r="P49"/>
  <c r="BA49"/>
  <c r="AX49"/>
  <c r="AU49"/>
  <c r="AR49"/>
  <c r="AO49"/>
  <c r="AL49"/>
  <c r="AI49"/>
  <c r="AF49"/>
  <c r="AC49"/>
  <c r="Z49"/>
  <c r="W49"/>
  <c r="T49"/>
  <c r="O49"/>
  <c r="N49"/>
  <c r="M49"/>
  <c r="L49"/>
  <c r="K49"/>
  <c r="J49"/>
  <c r="I49"/>
  <c r="H49"/>
  <c r="G49"/>
  <c r="F49"/>
  <c r="E49"/>
  <c r="D49"/>
  <c r="BE48"/>
  <c r="P48"/>
  <c r="BA48"/>
  <c r="AX48"/>
  <c r="AU48"/>
  <c r="AR48"/>
  <c r="AO48"/>
  <c r="AL48"/>
  <c r="AI48"/>
  <c r="AF48"/>
  <c r="AC48"/>
  <c r="Z48"/>
  <c r="W48"/>
  <c r="T48"/>
  <c r="O48"/>
  <c r="N48"/>
  <c r="M48"/>
  <c r="L48"/>
  <c r="K48"/>
  <c r="J48"/>
  <c r="I48"/>
  <c r="H48"/>
  <c r="G48"/>
  <c r="F48"/>
  <c r="E48"/>
  <c r="D48"/>
  <c r="BE47"/>
  <c r="P47"/>
  <c r="BA47"/>
  <c r="AX47"/>
  <c r="AU47"/>
  <c r="AR47"/>
  <c r="AO47"/>
  <c r="AL47"/>
  <c r="AI47"/>
  <c r="AF47"/>
  <c r="AC47"/>
  <c r="Z47"/>
  <c r="W47"/>
  <c r="T47"/>
  <c r="O47"/>
  <c r="N47"/>
  <c r="M47"/>
  <c r="L47"/>
  <c r="K47"/>
  <c r="J47"/>
  <c r="I47"/>
  <c r="H47"/>
  <c r="G47"/>
  <c r="F47"/>
  <c r="E47"/>
  <c r="D47"/>
  <c r="BE46"/>
  <c r="P46"/>
  <c r="BA46"/>
  <c r="AX46"/>
  <c r="AU46"/>
  <c r="AR46"/>
  <c r="AO46"/>
  <c r="AL46"/>
  <c r="AI46"/>
  <c r="AF46"/>
  <c r="AC46"/>
  <c r="Z46"/>
  <c r="W46"/>
  <c r="T46"/>
  <c r="O46"/>
  <c r="N46"/>
  <c r="M46"/>
  <c r="L46"/>
  <c r="K46"/>
  <c r="J46"/>
  <c r="I46"/>
  <c r="H46"/>
  <c r="G46"/>
  <c r="F46"/>
  <c r="E46"/>
  <c r="D46"/>
  <c r="BE45"/>
  <c r="P45"/>
  <c r="BA45"/>
  <c r="AX45"/>
  <c r="AU45"/>
  <c r="AR45"/>
  <c r="AO45"/>
  <c r="AL45"/>
  <c r="AI45"/>
  <c r="AF45"/>
  <c r="AC45"/>
  <c r="Z45"/>
  <c r="W45"/>
  <c r="T45"/>
  <c r="O45"/>
  <c r="N45"/>
  <c r="M45"/>
  <c r="L45"/>
  <c r="K45"/>
  <c r="J45"/>
  <c r="I45"/>
  <c r="H45"/>
  <c r="G45"/>
  <c r="F45"/>
  <c r="E45"/>
  <c r="D45"/>
  <c r="BE44"/>
  <c r="P44"/>
  <c r="BA44"/>
  <c r="AX44"/>
  <c r="AU44"/>
  <c r="AR44"/>
  <c r="AO44"/>
  <c r="AL44"/>
  <c r="AI44"/>
  <c r="AF44"/>
  <c r="AC44"/>
  <c r="Z44"/>
  <c r="W44"/>
  <c r="T44"/>
  <c r="O44"/>
  <c r="N44"/>
  <c r="M44"/>
  <c r="L44"/>
  <c r="K44"/>
  <c r="J44"/>
  <c r="I44"/>
  <c r="H44"/>
  <c r="G44"/>
  <c r="F44"/>
  <c r="E44"/>
  <c r="D44"/>
  <c r="BE43"/>
  <c r="P43"/>
  <c r="BA43"/>
  <c r="AX43"/>
  <c r="AU43"/>
  <c r="AR43"/>
  <c r="AO43"/>
  <c r="AL43"/>
  <c r="AI43"/>
  <c r="AF43"/>
  <c r="AC43"/>
  <c r="Z43"/>
  <c r="W43"/>
  <c r="T43"/>
  <c r="O43"/>
  <c r="N43"/>
  <c r="M43"/>
  <c r="L43"/>
  <c r="K43"/>
  <c r="J43"/>
  <c r="I43"/>
  <c r="H43"/>
  <c r="G43"/>
  <c r="F43"/>
  <c r="E43"/>
  <c r="D43"/>
  <c r="BE42"/>
  <c r="P42"/>
  <c r="BA42"/>
  <c r="AX42"/>
  <c r="AU42"/>
  <c r="AR42"/>
  <c r="AO42"/>
  <c r="AL42"/>
  <c r="AI42"/>
  <c r="AF42"/>
  <c r="AC42"/>
  <c r="Z42"/>
  <c r="W42"/>
  <c r="T42"/>
  <c r="O42"/>
  <c r="N42"/>
  <c r="M42"/>
  <c r="L42"/>
  <c r="K42"/>
  <c r="J42"/>
  <c r="I42"/>
  <c r="H42"/>
  <c r="G42"/>
  <c r="F42"/>
  <c r="E42"/>
  <c r="D42"/>
  <c r="BE41"/>
  <c r="P41"/>
  <c r="BA41"/>
  <c r="AX41"/>
  <c r="AU41"/>
  <c r="AR41"/>
  <c r="AO41"/>
  <c r="AL41"/>
  <c r="AI41"/>
  <c r="AF41"/>
  <c r="AC41"/>
  <c r="Z41"/>
  <c r="W41"/>
  <c r="T41"/>
  <c r="O41"/>
  <c r="N41"/>
  <c r="M41"/>
  <c r="L41"/>
  <c r="K41"/>
  <c r="J41"/>
  <c r="I41"/>
  <c r="H41"/>
  <c r="G41"/>
  <c r="F41"/>
  <c r="E41"/>
  <c r="D41"/>
  <c r="BE40"/>
  <c r="P40"/>
  <c r="BA40"/>
  <c r="AX40"/>
  <c r="AU40"/>
  <c r="AR40"/>
  <c r="AO40"/>
  <c r="AL40"/>
  <c r="AI40"/>
  <c r="AF40"/>
  <c r="AC40"/>
  <c r="Z40"/>
  <c r="W40"/>
  <c r="T40"/>
  <c r="O40"/>
  <c r="N40"/>
  <c r="M40"/>
  <c r="L40"/>
  <c r="K40"/>
  <c r="J40"/>
  <c r="I40"/>
  <c r="H40"/>
  <c r="G40"/>
  <c r="F40"/>
  <c r="E40"/>
  <c r="D40"/>
  <c r="BE39"/>
  <c r="P39"/>
  <c r="BA39"/>
  <c r="AX39"/>
  <c r="AU39"/>
  <c r="AR39"/>
  <c r="AO39"/>
  <c r="AL39"/>
  <c r="AI39"/>
  <c r="AF39"/>
  <c r="AC39"/>
  <c r="Z39"/>
  <c r="W39"/>
  <c r="T39"/>
  <c r="O39"/>
  <c r="N39"/>
  <c r="M39"/>
  <c r="L39"/>
  <c r="K39"/>
  <c r="J39"/>
  <c r="I39"/>
  <c r="H39"/>
  <c r="G39"/>
  <c r="F39"/>
  <c r="E39"/>
  <c r="D39"/>
  <c r="BE38"/>
  <c r="P38"/>
  <c r="BA38"/>
  <c r="AX38"/>
  <c r="AU38"/>
  <c r="AR38"/>
  <c r="AO38"/>
  <c r="AL38"/>
  <c r="AI38"/>
  <c r="AF38"/>
  <c r="AC38"/>
  <c r="Z38"/>
  <c r="W38"/>
  <c r="T38"/>
  <c r="O38"/>
  <c r="N38"/>
  <c r="M38"/>
  <c r="L38"/>
  <c r="K38"/>
  <c r="J38"/>
  <c r="I38"/>
  <c r="H38"/>
  <c r="G38"/>
  <c r="F38"/>
  <c r="E38"/>
  <c r="D38"/>
  <c r="BE37"/>
  <c r="P37"/>
  <c r="BA37"/>
  <c r="AX37"/>
  <c r="AU37"/>
  <c r="AR37"/>
  <c r="AO37"/>
  <c r="AL37"/>
  <c r="AI37"/>
  <c r="AF37"/>
  <c r="AC37"/>
  <c r="Z37"/>
  <c r="W37"/>
  <c r="T37"/>
  <c r="O37"/>
  <c r="N37"/>
  <c r="M37"/>
  <c r="L37"/>
  <c r="K37"/>
  <c r="J37"/>
  <c r="I37"/>
  <c r="H37"/>
  <c r="G37"/>
  <c r="F37"/>
  <c r="E37"/>
  <c r="D37"/>
  <c r="BE36"/>
  <c r="P36"/>
  <c r="BA36"/>
  <c r="AX36"/>
  <c r="AU36"/>
  <c r="AR36"/>
  <c r="AO36"/>
  <c r="AL36"/>
  <c r="AI36"/>
  <c r="AF36"/>
  <c r="AC36"/>
  <c r="Z36"/>
  <c r="W36"/>
  <c r="T36"/>
  <c r="O36"/>
  <c r="N36"/>
  <c r="M36"/>
  <c r="L36"/>
  <c r="K36"/>
  <c r="J36"/>
  <c r="I36"/>
  <c r="H36"/>
  <c r="G36"/>
  <c r="F36"/>
  <c r="E36"/>
  <c r="D36"/>
  <c r="BE35"/>
  <c r="P35"/>
  <c r="BA35"/>
  <c r="AX35"/>
  <c r="AU35"/>
  <c r="AR35"/>
  <c r="AO35"/>
  <c r="AL35"/>
  <c r="AI35"/>
  <c r="AF35"/>
  <c r="AC35"/>
  <c r="Z35"/>
  <c r="W35"/>
  <c r="T35"/>
  <c r="O35"/>
  <c r="N35"/>
  <c r="M35"/>
  <c r="L35"/>
  <c r="K35"/>
  <c r="J35"/>
  <c r="I35"/>
  <c r="H35"/>
  <c r="G35"/>
  <c r="F35"/>
  <c r="E35"/>
  <c r="D35"/>
  <c r="BE34"/>
  <c r="P34"/>
  <c r="BA34"/>
  <c r="AX34"/>
  <c r="AU34"/>
  <c r="AR34"/>
  <c r="AO34"/>
  <c r="AL34"/>
  <c r="AI34"/>
  <c r="AF34"/>
  <c r="AC34"/>
  <c r="Z34"/>
  <c r="W34"/>
  <c r="T34"/>
  <c r="O34"/>
  <c r="N34"/>
  <c r="M34"/>
  <c r="L34"/>
  <c r="K34"/>
  <c r="J34"/>
  <c r="I34"/>
  <c r="H34"/>
  <c r="G34"/>
  <c r="F34"/>
  <c r="E34"/>
  <c r="D34"/>
  <c r="BE33"/>
  <c r="P33"/>
  <c r="BA33"/>
  <c r="AX33"/>
  <c r="AU33"/>
  <c r="AR33"/>
  <c r="AO33"/>
  <c r="AL33"/>
  <c r="AI33"/>
  <c r="AF33"/>
  <c r="AC33"/>
  <c r="Z33"/>
  <c r="W33"/>
  <c r="T33"/>
  <c r="O33"/>
  <c r="N33"/>
  <c r="M33"/>
  <c r="L33"/>
  <c r="K33"/>
  <c r="J33"/>
  <c r="I33"/>
  <c r="H33"/>
  <c r="G33"/>
  <c r="F33"/>
  <c r="E33"/>
  <c r="D33"/>
  <c r="BE32"/>
  <c r="P32"/>
  <c r="BA32"/>
  <c r="AX32"/>
  <c r="AU32"/>
  <c r="AR32"/>
  <c r="AO32"/>
  <c r="AL32"/>
  <c r="AI32"/>
  <c r="AF32"/>
  <c r="AC32"/>
  <c r="Z32"/>
  <c r="W32"/>
  <c r="T32"/>
  <c r="O32"/>
  <c r="N32"/>
  <c r="M32"/>
  <c r="L32"/>
  <c r="K32"/>
  <c r="J32"/>
  <c r="I32"/>
  <c r="H32"/>
  <c r="G32"/>
  <c r="F32"/>
  <c r="E32"/>
  <c r="D32"/>
  <c r="BE31"/>
  <c r="P31"/>
  <c r="BA31"/>
  <c r="AX31"/>
  <c r="AU31"/>
  <c r="AR31"/>
  <c r="AO31"/>
  <c r="AL31"/>
  <c r="AI31"/>
  <c r="AF31"/>
  <c r="AC31"/>
  <c r="Z31"/>
  <c r="W31"/>
  <c r="T31"/>
  <c r="O31"/>
  <c r="N31"/>
  <c r="M31"/>
  <c r="L31"/>
  <c r="K31"/>
  <c r="J31"/>
  <c r="I31"/>
  <c r="H31"/>
  <c r="G31"/>
  <c r="F31"/>
  <c r="E31"/>
  <c r="D31"/>
  <c r="BE30"/>
  <c r="P30"/>
  <c r="BA30"/>
  <c r="AX30"/>
  <c r="AU30"/>
  <c r="AR30"/>
  <c r="AO30"/>
  <c r="AL30"/>
  <c r="AI30"/>
  <c r="AF30"/>
  <c r="AC30"/>
  <c r="Z30"/>
  <c r="W30"/>
  <c r="T30"/>
  <c r="O30"/>
  <c r="N30"/>
  <c r="M30"/>
  <c r="L30"/>
  <c r="K30"/>
  <c r="J30"/>
  <c r="I30"/>
  <c r="H30"/>
  <c r="G30"/>
  <c r="F30"/>
  <c r="E30"/>
  <c r="D30"/>
  <c r="BE29"/>
  <c r="P29"/>
  <c r="BA29"/>
  <c r="AX29"/>
  <c r="AU29"/>
  <c r="AR29"/>
  <c r="AO29"/>
  <c r="AL29"/>
  <c r="AI29"/>
  <c r="AF29"/>
  <c r="AC29"/>
  <c r="Z29"/>
  <c r="W29"/>
  <c r="T29"/>
  <c r="O29"/>
  <c r="N29"/>
  <c r="M29"/>
  <c r="L29"/>
  <c r="K29"/>
  <c r="J29"/>
  <c r="I29"/>
  <c r="H29"/>
  <c r="G29"/>
  <c r="F29"/>
  <c r="E29"/>
  <c r="D29"/>
  <c r="BE28"/>
  <c r="P28"/>
  <c r="BA28"/>
  <c r="AX28"/>
  <c r="AU28"/>
  <c r="AR28"/>
  <c r="AO28"/>
  <c r="AL28"/>
  <c r="AI28"/>
  <c r="AF28"/>
  <c r="AC28"/>
  <c r="Z28"/>
  <c r="W28"/>
  <c r="T28"/>
  <c r="O28"/>
  <c r="N28"/>
  <c r="M28"/>
  <c r="L28"/>
  <c r="K28"/>
  <c r="J28"/>
  <c r="I28"/>
  <c r="H28"/>
  <c r="G28"/>
  <c r="F28"/>
  <c r="E28"/>
  <c r="D28"/>
  <c r="BE27"/>
  <c r="P27"/>
  <c r="BA27"/>
  <c r="AX27"/>
  <c r="AU27"/>
  <c r="AR27"/>
  <c r="AO27"/>
  <c r="AL27"/>
  <c r="AI27"/>
  <c r="AF27"/>
  <c r="AC27"/>
  <c r="Z27"/>
  <c r="W27"/>
  <c r="T27"/>
  <c r="O27"/>
  <c r="N27"/>
  <c r="M27"/>
  <c r="L27"/>
  <c r="K27"/>
  <c r="J27"/>
  <c r="I27"/>
  <c r="H27"/>
  <c r="G27"/>
  <c r="F27"/>
  <c r="E27"/>
  <c r="D27"/>
  <c r="BE26"/>
  <c r="P26"/>
  <c r="BA26"/>
  <c r="AX26"/>
  <c r="AU26"/>
  <c r="AR26"/>
  <c r="AO26"/>
  <c r="AL26"/>
  <c r="AI26"/>
  <c r="AF26"/>
  <c r="AC26"/>
  <c r="Z26"/>
  <c r="W26"/>
  <c r="T26"/>
  <c r="O26"/>
  <c r="N26"/>
  <c r="M26"/>
  <c r="L26"/>
  <c r="K26"/>
  <c r="J26"/>
  <c r="I26"/>
  <c r="H26"/>
  <c r="G26"/>
  <c r="F26"/>
  <c r="E26"/>
  <c r="D26"/>
  <c r="BE25"/>
  <c r="P25"/>
  <c r="BA25"/>
  <c r="AX25"/>
  <c r="AU25"/>
  <c r="AR25"/>
  <c r="AO25"/>
  <c r="AL25"/>
  <c r="AI25"/>
  <c r="AF25"/>
  <c r="AC25"/>
  <c r="Z25"/>
  <c r="W25"/>
  <c r="T25"/>
  <c r="O25"/>
  <c r="N25"/>
  <c r="M25"/>
  <c r="L25"/>
  <c r="K25"/>
  <c r="J25"/>
  <c r="I25"/>
  <c r="H25"/>
  <c r="G25"/>
  <c r="F25"/>
  <c r="E25"/>
  <c r="D25"/>
  <c r="BE24"/>
  <c r="P24"/>
  <c r="BA24"/>
  <c r="AX24"/>
  <c r="AU24"/>
  <c r="AR24"/>
  <c r="AO24"/>
  <c r="AL24"/>
  <c r="AI24"/>
  <c r="AF24"/>
  <c r="AC24"/>
  <c r="Z24"/>
  <c r="W24"/>
  <c r="T24"/>
  <c r="O24"/>
  <c r="N24"/>
  <c r="M24"/>
  <c r="L24"/>
  <c r="K24"/>
  <c r="J24"/>
  <c r="I24"/>
  <c r="H24"/>
  <c r="G24"/>
  <c r="F24"/>
  <c r="E24"/>
  <c r="D24"/>
  <c r="BE23"/>
  <c r="P23"/>
  <c r="BA23"/>
  <c r="AX23"/>
  <c r="AU23"/>
  <c r="AR23"/>
  <c r="AO23"/>
  <c r="AL23"/>
  <c r="AI23"/>
  <c r="AF23"/>
  <c r="AC23"/>
  <c r="Z23"/>
  <c r="W23"/>
  <c r="T23"/>
  <c r="O23"/>
  <c r="N23"/>
  <c r="M23"/>
  <c r="L23"/>
  <c r="K23"/>
  <c r="J23"/>
  <c r="I23"/>
  <c r="H23"/>
  <c r="G23"/>
  <c r="F23"/>
  <c r="E23"/>
  <c r="D23"/>
  <c r="BE22"/>
  <c r="P22"/>
  <c r="BA22"/>
  <c r="AX22"/>
  <c r="AU22"/>
  <c r="AR22"/>
  <c r="AO22"/>
  <c r="AL22"/>
  <c r="AI22"/>
  <c r="AF22"/>
  <c r="AC22"/>
  <c r="Z22"/>
  <c r="W22"/>
  <c r="T22"/>
  <c r="O22"/>
  <c r="N22"/>
  <c r="M22"/>
  <c r="L22"/>
  <c r="K22"/>
  <c r="J22"/>
  <c r="I22"/>
  <c r="H22"/>
  <c r="G22"/>
  <c r="F22"/>
  <c r="E22"/>
  <c r="D22"/>
  <c r="BE21"/>
  <c r="P21"/>
  <c r="BA21"/>
  <c r="AX21"/>
  <c r="AU21"/>
  <c r="AR21"/>
  <c r="AO21"/>
  <c r="AL21"/>
  <c r="AI21"/>
  <c r="AF21"/>
  <c r="AC21"/>
  <c r="Z21"/>
  <c r="W21"/>
  <c r="T21"/>
  <c r="O21"/>
  <c r="N21"/>
  <c r="M21"/>
  <c r="L21"/>
  <c r="K21"/>
  <c r="J21"/>
  <c r="I21"/>
  <c r="H21"/>
  <c r="G21"/>
  <c r="F21"/>
  <c r="E21"/>
  <c r="D21"/>
  <c r="BE20"/>
  <c r="P20"/>
  <c r="BA20"/>
  <c r="AX20"/>
  <c r="AU20"/>
  <c r="AR20"/>
  <c r="AO20"/>
  <c r="AL20"/>
  <c r="AI20"/>
  <c r="AF20"/>
  <c r="AC20"/>
  <c r="Z20"/>
  <c r="W20"/>
  <c r="T20"/>
  <c r="O20"/>
  <c r="N20"/>
  <c r="M20"/>
  <c r="L20"/>
  <c r="K20"/>
  <c r="J20"/>
  <c r="I20"/>
  <c r="H20"/>
  <c r="G20"/>
  <c r="F20"/>
  <c r="E20"/>
  <c r="D20"/>
  <c r="BE19"/>
  <c r="P19"/>
  <c r="BA19"/>
  <c r="AX19"/>
  <c r="AU19"/>
  <c r="AR19"/>
  <c r="AO19"/>
  <c r="AL19"/>
  <c r="AI19"/>
  <c r="AF19"/>
  <c r="AC19"/>
  <c r="Z19"/>
  <c r="W19"/>
  <c r="T19"/>
  <c r="O19"/>
  <c r="N19"/>
  <c r="M19"/>
  <c r="L19"/>
  <c r="K19"/>
  <c r="J19"/>
  <c r="I19"/>
  <c r="H19"/>
  <c r="G19"/>
  <c r="F19"/>
  <c r="E19"/>
  <c r="D19"/>
  <c r="BE18"/>
  <c r="P18"/>
  <c r="BA18"/>
  <c r="AX18"/>
  <c r="AU18"/>
  <c r="AR18"/>
  <c r="AO18"/>
  <c r="AL18"/>
  <c r="AI18"/>
  <c r="AF18"/>
  <c r="AC18"/>
  <c r="Z18"/>
  <c r="W18"/>
  <c r="T18"/>
  <c r="O18"/>
  <c r="N18"/>
  <c r="M18"/>
  <c r="L18"/>
  <c r="K18"/>
  <c r="J18"/>
  <c r="I18"/>
  <c r="H18"/>
  <c r="G18"/>
  <c r="F18"/>
  <c r="E18"/>
  <c r="D18"/>
  <c r="BE17"/>
  <c r="P17"/>
  <c r="BA17"/>
  <c r="AX17"/>
  <c r="AU17"/>
  <c r="AR17"/>
  <c r="AO17"/>
  <c r="AL17"/>
  <c r="AI17"/>
  <c r="AF17"/>
  <c r="AC17"/>
  <c r="Z17"/>
  <c r="W17"/>
  <c r="T17"/>
  <c r="O17"/>
  <c r="N17"/>
  <c r="M17"/>
  <c r="L17"/>
  <c r="K17"/>
  <c r="J17"/>
  <c r="I17"/>
  <c r="H17"/>
  <c r="G17"/>
  <c r="F17"/>
  <c r="E17"/>
  <c r="D17"/>
  <c r="BE16"/>
  <c r="P16"/>
  <c r="BA16"/>
  <c r="AX16"/>
  <c r="AU16"/>
  <c r="AR16"/>
  <c r="AO16"/>
  <c r="AL16"/>
  <c r="AI16"/>
  <c r="AF16"/>
  <c r="AC16"/>
  <c r="Z16"/>
  <c r="W16"/>
  <c r="T16"/>
  <c r="O16"/>
  <c r="N16"/>
  <c r="M16"/>
  <c r="L16"/>
  <c r="K16"/>
  <c r="J16"/>
  <c r="I16"/>
  <c r="H16"/>
  <c r="G16"/>
  <c r="F16"/>
  <c r="E16"/>
  <c r="D16"/>
  <c r="BE15"/>
  <c r="P15"/>
  <c r="BA15"/>
  <c r="AX15"/>
  <c r="AU15"/>
  <c r="AR15"/>
  <c r="AO15"/>
  <c r="AL15"/>
  <c r="AI15"/>
  <c r="AF15"/>
  <c r="AC15"/>
  <c r="Z15"/>
  <c r="W15"/>
  <c r="T15"/>
  <c r="O15"/>
  <c r="N15"/>
  <c r="M15"/>
  <c r="L15"/>
  <c r="K15"/>
  <c r="J15"/>
  <c r="I15"/>
  <c r="H15"/>
  <c r="G15"/>
  <c r="F15"/>
  <c r="E15"/>
  <c r="D15"/>
  <c r="BE14"/>
  <c r="P14"/>
  <c r="BA14"/>
  <c r="AX14"/>
  <c r="AU14"/>
  <c r="AR14"/>
  <c r="AO14"/>
  <c r="AL14"/>
  <c r="AI14"/>
  <c r="AF14"/>
  <c r="AC14"/>
  <c r="Z14"/>
  <c r="W14"/>
  <c r="T14"/>
  <c r="O14"/>
  <c r="N14"/>
  <c r="M14"/>
  <c r="L14"/>
  <c r="K14"/>
  <c r="J14"/>
  <c r="I14"/>
  <c r="H14"/>
  <c r="G14"/>
  <c r="F14"/>
  <c r="E14"/>
  <c r="D14"/>
  <c r="BE13"/>
  <c r="P13"/>
  <c r="BA13"/>
  <c r="AX13"/>
  <c r="AU13"/>
  <c r="AR13"/>
  <c r="AO13"/>
  <c r="AL13"/>
  <c r="AI13"/>
  <c r="AF13"/>
  <c r="AC13"/>
  <c r="Z13"/>
  <c r="W13"/>
  <c r="T13"/>
  <c r="O13"/>
  <c r="N13"/>
  <c r="M13"/>
  <c r="L13"/>
  <c r="K13"/>
  <c r="J13"/>
  <c r="I13"/>
  <c r="H13"/>
  <c r="G13"/>
  <c r="F13"/>
  <c r="E13"/>
  <c r="D13"/>
  <c r="BE12"/>
  <c r="P12"/>
  <c r="BA12"/>
  <c r="AX12"/>
  <c r="AU12"/>
  <c r="AR12"/>
  <c r="AO12"/>
  <c r="AL12"/>
  <c r="AI12"/>
  <c r="AF12"/>
  <c r="AC12"/>
  <c r="Z12"/>
  <c r="W12"/>
  <c r="T12"/>
  <c r="O12"/>
  <c r="N12"/>
  <c r="M12"/>
  <c r="L12"/>
  <c r="K12"/>
  <c r="J12"/>
  <c r="I12"/>
  <c r="H12"/>
  <c r="G12"/>
  <c r="F12"/>
  <c r="E12"/>
  <c r="D12"/>
  <c r="BE11"/>
  <c r="P11"/>
  <c r="BA11"/>
  <c r="AX11"/>
  <c r="AU11"/>
  <c r="AR11"/>
  <c r="AO11"/>
  <c r="AL11"/>
  <c r="AI11"/>
  <c r="AF11"/>
  <c r="AC11"/>
  <c r="Z11"/>
  <c r="W11"/>
  <c r="T11"/>
  <c r="O11"/>
  <c r="N11"/>
  <c r="M11"/>
  <c r="L11"/>
  <c r="K11"/>
  <c r="J11"/>
  <c r="I11"/>
  <c r="H11"/>
  <c r="G11"/>
  <c r="F11"/>
  <c r="E11"/>
  <c r="D11"/>
  <c r="BE10"/>
  <c r="P10"/>
  <c r="BA10"/>
  <c r="AX10"/>
  <c r="AU10"/>
  <c r="AR10"/>
  <c r="AO10"/>
  <c r="AL10"/>
  <c r="AI10"/>
  <c r="AF10"/>
  <c r="AC10"/>
  <c r="Z10"/>
  <c r="W10"/>
  <c r="T10"/>
  <c r="O10"/>
  <c r="N10"/>
  <c r="M10"/>
  <c r="L10"/>
  <c r="K10"/>
  <c r="J10"/>
  <c r="I10"/>
  <c r="H10"/>
  <c r="G10"/>
  <c r="F10"/>
  <c r="E10"/>
  <c r="D10"/>
  <c r="BE9"/>
  <c r="P9"/>
  <c r="BA9"/>
  <c r="AX9"/>
  <c r="AU9"/>
  <c r="AR9"/>
  <c r="AO9"/>
  <c r="AL9"/>
  <c r="AI9"/>
  <c r="AF9"/>
  <c r="AC9"/>
  <c r="Z9"/>
  <c r="W9"/>
  <c r="T9"/>
  <c r="O9"/>
  <c r="N9"/>
  <c r="M9"/>
  <c r="L9"/>
  <c r="K9"/>
  <c r="J9"/>
  <c r="I9"/>
  <c r="H9"/>
  <c r="G9"/>
  <c r="F9"/>
  <c r="E9"/>
  <c r="D9"/>
  <c r="BE8"/>
  <c r="P8"/>
  <c r="BA8"/>
  <c r="AX8"/>
  <c r="AU8"/>
  <c r="AR8"/>
  <c r="AO8"/>
  <c r="AL8"/>
  <c r="AI8"/>
  <c r="AF8"/>
  <c r="AC8"/>
  <c r="Z8"/>
  <c r="W8"/>
  <c r="T8"/>
  <c r="O8"/>
  <c r="N8"/>
  <c r="M8"/>
  <c r="L8"/>
  <c r="K8"/>
  <c r="J8"/>
  <c r="I8"/>
  <c r="H8"/>
  <c r="G8"/>
  <c r="F8"/>
  <c r="E8"/>
  <c r="D8"/>
  <c r="BE7"/>
  <c r="P7"/>
  <c r="BA7"/>
  <c r="AX7"/>
  <c r="AU7"/>
  <c r="AR7"/>
  <c r="AO7"/>
  <c r="AL7"/>
  <c r="AI7"/>
  <c r="AF7"/>
  <c r="AC7"/>
  <c r="Z7"/>
  <c r="W7"/>
  <c r="T7"/>
  <c r="O7"/>
  <c r="N7"/>
  <c r="M7"/>
  <c r="L7"/>
  <c r="K7"/>
  <c r="J7"/>
  <c r="I7"/>
  <c r="H7"/>
  <c r="G7"/>
  <c r="F7"/>
  <c r="E7"/>
  <c r="D7"/>
  <c r="BE6"/>
  <c r="P6"/>
  <c r="BA6"/>
  <c r="AX6"/>
  <c r="AU6"/>
  <c r="AR6"/>
  <c r="AO6"/>
  <c r="AL6"/>
  <c r="AI6"/>
  <c r="AF6"/>
  <c r="AC6"/>
  <c r="Z6"/>
  <c r="W6"/>
  <c r="T6"/>
  <c r="O6"/>
  <c r="N6"/>
  <c r="M6"/>
  <c r="L6"/>
  <c r="K6"/>
  <c r="J6"/>
  <c r="I6"/>
  <c r="H6"/>
  <c r="G6"/>
  <c r="F6"/>
  <c r="E6"/>
  <c r="D6"/>
  <c r="BE5"/>
  <c r="P5"/>
  <c r="F58" i="1" s="1"/>
  <c r="BA5" i="24"/>
  <c r="O5" s="1"/>
  <c r="AZ5"/>
  <c r="AY5"/>
  <c r="AW5"/>
  <c r="AX5" s="1"/>
  <c r="N5" s="1"/>
  <c r="AV5"/>
  <c r="AT5"/>
  <c r="AS5"/>
  <c r="AU5" s="1"/>
  <c r="M5" s="1"/>
  <c r="AQ5"/>
  <c r="AR5" s="1"/>
  <c r="L5" s="1"/>
  <c r="AP5"/>
  <c r="AO5"/>
  <c r="K5" s="1"/>
  <c r="AN5"/>
  <c r="AM5"/>
  <c r="AK5"/>
  <c r="AL5" s="1"/>
  <c r="J5" s="1"/>
  <c r="AJ5"/>
  <c r="AH5"/>
  <c r="AG5"/>
  <c r="AI5" s="1"/>
  <c r="I5" s="1"/>
  <c r="AE5"/>
  <c r="AF5" s="1"/>
  <c r="H5" s="1"/>
  <c r="AD5"/>
  <c r="AC5"/>
  <c r="G5" s="1"/>
  <c r="AB5"/>
  <c r="AA5"/>
  <c r="Y5"/>
  <c r="Z5" s="1"/>
  <c r="F5" s="1"/>
  <c r="X5"/>
  <c r="V5"/>
  <c r="U5"/>
  <c r="W5" s="1"/>
  <c r="E5" s="1"/>
  <c r="T5"/>
  <c r="D5"/>
  <c r="M132" i="87"/>
  <c r="L132"/>
  <c r="K132"/>
  <c r="J132"/>
  <c r="I132"/>
  <c r="H132"/>
  <c r="G132"/>
  <c r="F132"/>
  <c r="E132"/>
  <c r="D132"/>
  <c r="C132"/>
  <c r="M131"/>
  <c r="L131"/>
  <c r="K131"/>
  <c r="J131"/>
  <c r="I131"/>
  <c r="H131"/>
  <c r="G131"/>
  <c r="F131"/>
  <c r="E131"/>
  <c r="D131"/>
  <c r="C131"/>
  <c r="M130"/>
  <c r="L130"/>
  <c r="K130"/>
  <c r="J130"/>
  <c r="I130"/>
  <c r="H130"/>
  <c r="G130"/>
  <c r="F130"/>
  <c r="E130"/>
  <c r="D130"/>
  <c r="C130"/>
  <c r="M129"/>
  <c r="L129"/>
  <c r="K129"/>
  <c r="J129"/>
  <c r="I129"/>
  <c r="H129"/>
  <c r="G129"/>
  <c r="F129"/>
  <c r="E129"/>
  <c r="D129"/>
  <c r="C129"/>
  <c r="M128"/>
  <c r="L128"/>
  <c r="K128"/>
  <c r="J128"/>
  <c r="I128"/>
  <c r="H128"/>
  <c r="G128"/>
  <c r="F128"/>
  <c r="E128"/>
  <c r="D128"/>
  <c r="C128"/>
  <c r="Z130" i="86"/>
  <c r="Y130"/>
  <c r="X130"/>
  <c r="W130"/>
  <c r="V130"/>
  <c r="U130"/>
  <c r="T130"/>
  <c r="S130"/>
  <c r="R130"/>
  <c r="Q130"/>
  <c r="P130"/>
  <c r="Z129"/>
  <c r="Y129"/>
  <c r="X129"/>
  <c r="W129"/>
  <c r="V129"/>
  <c r="U129"/>
  <c r="T129"/>
  <c r="S129"/>
  <c r="R129"/>
  <c r="Q129"/>
  <c r="P129"/>
  <c r="Z128"/>
  <c r="Y128"/>
  <c r="X128"/>
  <c r="W128"/>
  <c r="V128"/>
  <c r="U128"/>
  <c r="T128"/>
  <c r="S128"/>
  <c r="R128"/>
  <c r="Q128"/>
  <c r="P128"/>
  <c r="Z127"/>
  <c r="Y127"/>
  <c r="X127"/>
  <c r="W127"/>
  <c r="V127"/>
  <c r="U127"/>
  <c r="T127"/>
  <c r="S127"/>
  <c r="R127"/>
  <c r="Q127"/>
  <c r="P127"/>
  <c r="Z126"/>
  <c r="Y126"/>
  <c r="X126"/>
  <c r="W126"/>
  <c r="V126"/>
  <c r="U126"/>
  <c r="T126"/>
  <c r="S126"/>
  <c r="R126"/>
  <c r="Q126"/>
  <c r="P126"/>
  <c r="G40" i="1"/>
  <c r="Z4" i="86"/>
  <c r="AQ132" i="84"/>
  <c r="AO132"/>
  <c r="AN132"/>
  <c r="AM132"/>
  <c r="Z132"/>
  <c r="U132"/>
  <c r="AB132" s="1"/>
  <c r="Q132"/>
  <c r="AA132" s="1"/>
  <c r="M132"/>
  <c r="AN132" i="87" s="1"/>
  <c r="H132" i="84"/>
  <c r="Y132" s="1"/>
  <c r="G132"/>
  <c r="X132" s="1"/>
  <c r="F132"/>
  <c r="W132" s="1"/>
  <c r="AQ131"/>
  <c r="AO131"/>
  <c r="AN131"/>
  <c r="AM131"/>
  <c r="Z131"/>
  <c r="U131"/>
  <c r="AB131" s="1"/>
  <c r="Q131"/>
  <c r="AA131" s="1"/>
  <c r="M131"/>
  <c r="AN131" i="87" s="1"/>
  <c r="H131" i="84"/>
  <c r="Y131" s="1"/>
  <c r="G131"/>
  <c r="X131" s="1"/>
  <c r="F131"/>
  <c r="W131" s="1"/>
  <c r="AQ130"/>
  <c r="AO130"/>
  <c r="AN130"/>
  <c r="AM130"/>
  <c r="Z130"/>
  <c r="U130"/>
  <c r="AB130" s="1"/>
  <c r="Q130"/>
  <c r="AA130" s="1"/>
  <c r="M130"/>
  <c r="AN130" i="87" s="1"/>
  <c r="H130" i="84"/>
  <c r="Y130" s="1"/>
  <c r="G130"/>
  <c r="X130" s="1"/>
  <c r="F130"/>
  <c r="W130" s="1"/>
  <c r="AQ129"/>
  <c r="AO129"/>
  <c r="AN129"/>
  <c r="AM129"/>
  <c r="Z129"/>
  <c r="U129"/>
  <c r="AB129" s="1"/>
  <c r="Q129"/>
  <c r="AA129" s="1"/>
  <c r="M129"/>
  <c r="AN129" i="87" s="1"/>
  <c r="H129" i="84"/>
  <c r="Y129" s="1"/>
  <c r="G129"/>
  <c r="X129" s="1"/>
  <c r="F129"/>
  <c r="W129" s="1"/>
  <c r="AQ128"/>
  <c r="AO128"/>
  <c r="AN128"/>
  <c r="AM128"/>
  <c r="Z128"/>
  <c r="U128"/>
  <c r="AB128" s="1"/>
  <c r="Q128"/>
  <c r="AA128" s="1"/>
  <c r="M128"/>
  <c r="AN128" i="87" s="1"/>
  <c r="H128" i="84"/>
  <c r="Y128" s="1"/>
  <c r="G128"/>
  <c r="X128" s="1"/>
  <c r="F128"/>
  <c r="W128" s="1"/>
  <c r="AQ125"/>
  <c r="AO125"/>
  <c r="AN125"/>
  <c r="AM125"/>
  <c r="Z125"/>
  <c r="U125"/>
  <c r="AB125" s="1"/>
  <c r="Q125"/>
  <c r="AA125" s="1"/>
  <c r="M125"/>
  <c r="AN125" i="87" s="1"/>
  <c r="H125" i="84"/>
  <c r="Y125" s="1"/>
  <c r="G125"/>
  <c r="X125" s="1"/>
  <c r="F125"/>
  <c r="W125" s="1"/>
  <c r="AQ124"/>
  <c r="AO124"/>
  <c r="AN124"/>
  <c r="AM124"/>
  <c r="Z124"/>
  <c r="U124"/>
  <c r="AB124" s="1"/>
  <c r="Q124"/>
  <c r="AA124" s="1"/>
  <c r="M124"/>
  <c r="AN124" i="87" s="1"/>
  <c r="H124" i="84"/>
  <c r="Y124" s="1"/>
  <c r="G124"/>
  <c r="X124" s="1"/>
  <c r="F124"/>
  <c r="W124" s="1"/>
  <c r="AQ123"/>
  <c r="AO123"/>
  <c r="AN123"/>
  <c r="AM123"/>
  <c r="Z123"/>
  <c r="U123"/>
  <c r="AB123" s="1"/>
  <c r="Q123"/>
  <c r="AA123" s="1"/>
  <c r="M123"/>
  <c r="AN123" i="87" s="1"/>
  <c r="H123" i="84"/>
  <c r="Y123" s="1"/>
  <c r="G123"/>
  <c r="X123" s="1"/>
  <c r="F123"/>
  <c r="W123" s="1"/>
  <c r="AQ122"/>
  <c r="AO122"/>
  <c r="AN122"/>
  <c r="AM122"/>
  <c r="Z122"/>
  <c r="U122"/>
  <c r="AB122" s="1"/>
  <c r="Q122"/>
  <c r="AA122" s="1"/>
  <c r="M122"/>
  <c r="AN122" i="87" s="1"/>
  <c r="H122" i="84"/>
  <c r="Y122" s="1"/>
  <c r="G122"/>
  <c r="X122" s="1"/>
  <c r="F122"/>
  <c r="W122" s="1"/>
  <c r="AQ121"/>
  <c r="AO121"/>
  <c r="AN121"/>
  <c r="AM121"/>
  <c r="Z121"/>
  <c r="U121"/>
  <c r="AB121" s="1"/>
  <c r="Q121"/>
  <c r="AA121" s="1"/>
  <c r="M121"/>
  <c r="AN121" i="87" s="1"/>
  <c r="H121" i="84"/>
  <c r="Y121" s="1"/>
  <c r="G121"/>
  <c r="X121" s="1"/>
  <c r="F121"/>
  <c r="W121" s="1"/>
  <c r="AQ120"/>
  <c r="AO120"/>
  <c r="AN120"/>
  <c r="AM120"/>
  <c r="Z120"/>
  <c r="U120"/>
  <c r="AB120" s="1"/>
  <c r="Q120"/>
  <c r="AA120" s="1"/>
  <c r="M120"/>
  <c r="AN120" i="87" s="1"/>
  <c r="H120" i="84"/>
  <c r="Y120" s="1"/>
  <c r="G120"/>
  <c r="X120" s="1"/>
  <c r="F120"/>
  <c r="W120" s="1"/>
  <c r="AQ119"/>
  <c r="AO119"/>
  <c r="AN119"/>
  <c r="AM119"/>
  <c r="Z119"/>
  <c r="U119"/>
  <c r="AB119" s="1"/>
  <c r="Q119"/>
  <c r="AA119" s="1"/>
  <c r="M119"/>
  <c r="AN119" i="87" s="1"/>
  <c r="H119" i="84"/>
  <c r="Y119" s="1"/>
  <c r="G119"/>
  <c r="X119" s="1"/>
  <c r="F119"/>
  <c r="W119" s="1"/>
  <c r="AQ118"/>
  <c r="AO118"/>
  <c r="AN118"/>
  <c r="AM118"/>
  <c r="Z118"/>
  <c r="U118"/>
  <c r="AB118" s="1"/>
  <c r="Q118"/>
  <c r="AA118" s="1"/>
  <c r="M118"/>
  <c r="AN118" i="87" s="1"/>
  <c r="H118" i="84"/>
  <c r="Y118" s="1"/>
  <c r="G118"/>
  <c r="X118" s="1"/>
  <c r="F118"/>
  <c r="W118" s="1"/>
  <c r="AQ117"/>
  <c r="AO117"/>
  <c r="AN117"/>
  <c r="AM117"/>
  <c r="Z117"/>
  <c r="U117"/>
  <c r="AB117" s="1"/>
  <c r="Q117"/>
  <c r="AA117" s="1"/>
  <c r="M117"/>
  <c r="AN117" i="87" s="1"/>
  <c r="H117" i="84"/>
  <c r="Y117" s="1"/>
  <c r="G117"/>
  <c r="X117" s="1"/>
  <c r="F117"/>
  <c r="W117" s="1"/>
  <c r="AQ116"/>
  <c r="AO116"/>
  <c r="AN116"/>
  <c r="AM116"/>
  <c r="Z116"/>
  <c r="U116"/>
  <c r="AB116" s="1"/>
  <c r="Q116"/>
  <c r="AA116" s="1"/>
  <c r="M116"/>
  <c r="AN116" i="87" s="1"/>
  <c r="H116" i="84"/>
  <c r="Y116" s="1"/>
  <c r="G116"/>
  <c r="X116" s="1"/>
  <c r="F116"/>
  <c r="W116" s="1"/>
  <c r="AQ115"/>
  <c r="AO115"/>
  <c r="AN115"/>
  <c r="AM115"/>
  <c r="Z115"/>
  <c r="U115"/>
  <c r="AB115" s="1"/>
  <c r="Q115"/>
  <c r="AA115" s="1"/>
  <c r="M115"/>
  <c r="AN115" i="87" s="1"/>
  <c r="H115" i="84"/>
  <c r="Y115" s="1"/>
  <c r="G115"/>
  <c r="X115" s="1"/>
  <c r="F115"/>
  <c r="W115" s="1"/>
  <c r="AQ114"/>
  <c r="AO114"/>
  <c r="AN114"/>
  <c r="AM114"/>
  <c r="Z114"/>
  <c r="U114"/>
  <c r="AB114" s="1"/>
  <c r="Q114"/>
  <c r="AA114" s="1"/>
  <c r="M114"/>
  <c r="AN114" i="87" s="1"/>
  <c r="H114" i="84"/>
  <c r="Y114" s="1"/>
  <c r="G114"/>
  <c r="X114" s="1"/>
  <c r="F114"/>
  <c r="W114" s="1"/>
  <c r="AQ113"/>
  <c r="AO113"/>
  <c r="AN113"/>
  <c r="AM113"/>
  <c r="Z113"/>
  <c r="U113"/>
  <c r="AB113" s="1"/>
  <c r="Q113"/>
  <c r="AA113" s="1"/>
  <c r="M113"/>
  <c r="AN113" i="87" s="1"/>
  <c r="H113" i="84"/>
  <c r="Y113" s="1"/>
  <c r="G113"/>
  <c r="X113" s="1"/>
  <c r="F113"/>
  <c r="W113" s="1"/>
  <c r="AQ112"/>
  <c r="AO112"/>
  <c r="AN112"/>
  <c r="AM112"/>
  <c r="Z112"/>
  <c r="U112"/>
  <c r="AB112" s="1"/>
  <c r="Q112"/>
  <c r="AA112" s="1"/>
  <c r="M112"/>
  <c r="AN112" i="87" s="1"/>
  <c r="H112" i="84"/>
  <c r="Y112" s="1"/>
  <c r="G112"/>
  <c r="X112" s="1"/>
  <c r="F112"/>
  <c r="W112" s="1"/>
  <c r="AQ111"/>
  <c r="AO111"/>
  <c r="AN111"/>
  <c r="AM111"/>
  <c r="Z111"/>
  <c r="U111"/>
  <c r="AB111" s="1"/>
  <c r="Q111"/>
  <c r="AA111" s="1"/>
  <c r="M111"/>
  <c r="AN111" i="87" s="1"/>
  <c r="H111" i="84"/>
  <c r="Y111" s="1"/>
  <c r="G111"/>
  <c r="X111" s="1"/>
  <c r="F111"/>
  <c r="W111" s="1"/>
  <c r="AQ110"/>
  <c r="AO110"/>
  <c r="AN110"/>
  <c r="AM110"/>
  <c r="Z110"/>
  <c r="U110"/>
  <c r="AB110" s="1"/>
  <c r="Q110"/>
  <c r="AA110" s="1"/>
  <c r="M110"/>
  <c r="AN110" i="87" s="1"/>
  <c r="H110" i="84"/>
  <c r="Y110" s="1"/>
  <c r="G110"/>
  <c r="X110" s="1"/>
  <c r="F110"/>
  <c r="W110" s="1"/>
  <c r="AQ109"/>
  <c r="AO109"/>
  <c r="AN109"/>
  <c r="AM109"/>
  <c r="Z109"/>
  <c r="U109"/>
  <c r="AB109" s="1"/>
  <c r="Q109"/>
  <c r="AA109" s="1"/>
  <c r="M109"/>
  <c r="AN109" i="87" s="1"/>
  <c r="H109" i="84"/>
  <c r="Y109" s="1"/>
  <c r="G109"/>
  <c r="X109" s="1"/>
  <c r="F109"/>
  <c r="W109" s="1"/>
  <c r="AQ108"/>
  <c r="AO108"/>
  <c r="AN108"/>
  <c r="AM108"/>
  <c r="Z108"/>
  <c r="Y108"/>
  <c r="U108"/>
  <c r="AB108" s="1"/>
  <c r="Q108"/>
  <c r="AA108" s="1"/>
  <c r="M108"/>
  <c r="AN108" i="87" s="1"/>
  <c r="H108" i="84"/>
  <c r="G108"/>
  <c r="X108" s="1"/>
  <c r="F108"/>
  <c r="W108" s="1"/>
  <c r="AQ107"/>
  <c r="AO107"/>
  <c r="AN107"/>
  <c r="AM107"/>
  <c r="Z107"/>
  <c r="Y107"/>
  <c r="U107"/>
  <c r="AB107" s="1"/>
  <c r="Q107"/>
  <c r="AA107" s="1"/>
  <c r="M107"/>
  <c r="AN107" i="87" s="1"/>
  <c r="H107" i="84"/>
  <c r="G107"/>
  <c r="X107" s="1"/>
  <c r="F107"/>
  <c r="W107" s="1"/>
  <c r="AQ106"/>
  <c r="AO106"/>
  <c r="AN106"/>
  <c r="AM106"/>
  <c r="Z106"/>
  <c r="Y106"/>
  <c r="U106"/>
  <c r="AB106" s="1"/>
  <c r="Q106"/>
  <c r="AA106" s="1"/>
  <c r="M106"/>
  <c r="AN106" i="87" s="1"/>
  <c r="H106" i="84"/>
  <c r="G106"/>
  <c r="X106" s="1"/>
  <c r="F106"/>
  <c r="W106" s="1"/>
  <c r="AQ105"/>
  <c r="AO105"/>
  <c r="AN105"/>
  <c r="AM105"/>
  <c r="Z105"/>
  <c r="Y105"/>
  <c r="U105"/>
  <c r="AB105" s="1"/>
  <c r="Q105"/>
  <c r="AA105" s="1"/>
  <c r="M105"/>
  <c r="AN105" i="87" s="1"/>
  <c r="H105" i="84"/>
  <c r="G105"/>
  <c r="X105" s="1"/>
  <c r="F105"/>
  <c r="W105" s="1"/>
  <c r="AQ104"/>
  <c r="AO104"/>
  <c r="AN104"/>
  <c r="AM104"/>
  <c r="Z104"/>
  <c r="Y104"/>
  <c r="U104"/>
  <c r="AB104" s="1"/>
  <c r="Q104"/>
  <c r="AA104" s="1"/>
  <c r="M104"/>
  <c r="AN104" i="87" s="1"/>
  <c r="H104" i="84"/>
  <c r="G104"/>
  <c r="X104" s="1"/>
  <c r="F104"/>
  <c r="W104" s="1"/>
  <c r="AQ103"/>
  <c r="AO103"/>
  <c r="AN103"/>
  <c r="AM103"/>
  <c r="Z103"/>
  <c r="Y103"/>
  <c r="U103"/>
  <c r="AB103" s="1"/>
  <c r="Q103"/>
  <c r="AA103" s="1"/>
  <c r="M103"/>
  <c r="AN103" i="87" s="1"/>
  <c r="H103" i="84"/>
  <c r="G103"/>
  <c r="X103" s="1"/>
  <c r="F103"/>
  <c r="W103" s="1"/>
  <c r="AQ102"/>
  <c r="AO102"/>
  <c r="AN102"/>
  <c r="AM102"/>
  <c r="Z102"/>
  <c r="Y102"/>
  <c r="U102"/>
  <c r="AB102" s="1"/>
  <c r="Q102"/>
  <c r="AA102" s="1"/>
  <c r="M102"/>
  <c r="AN102" i="87" s="1"/>
  <c r="H102" i="84"/>
  <c r="G102"/>
  <c r="X102" s="1"/>
  <c r="F102"/>
  <c r="W102" s="1"/>
  <c r="AQ101"/>
  <c r="AO101"/>
  <c r="AN101"/>
  <c r="AM101"/>
  <c r="Z101"/>
  <c r="Y101"/>
  <c r="U101"/>
  <c r="AB101" s="1"/>
  <c r="Q101"/>
  <c r="AA101" s="1"/>
  <c r="M101"/>
  <c r="AN101" i="87" s="1"/>
  <c r="H101" i="84"/>
  <c r="G101"/>
  <c r="X101" s="1"/>
  <c r="F101"/>
  <c r="W101" s="1"/>
  <c r="AQ100"/>
  <c r="AO100"/>
  <c r="AN100"/>
  <c r="AM100"/>
  <c r="Z100"/>
  <c r="Y100"/>
  <c r="U100"/>
  <c r="AB100" s="1"/>
  <c r="Q100"/>
  <c r="AA100" s="1"/>
  <c r="M100"/>
  <c r="AN100" i="87" s="1"/>
  <c r="H100" i="84"/>
  <c r="G100"/>
  <c r="X100" s="1"/>
  <c r="F100"/>
  <c r="W100" s="1"/>
  <c r="AQ99"/>
  <c r="AO99"/>
  <c r="AN99"/>
  <c r="AM99"/>
  <c r="Z99"/>
  <c r="Y99"/>
  <c r="U99"/>
  <c r="AB99" s="1"/>
  <c r="Q99"/>
  <c r="AA99" s="1"/>
  <c r="M99"/>
  <c r="AN99" i="87" s="1"/>
  <c r="H99" i="84"/>
  <c r="G99"/>
  <c r="X99" s="1"/>
  <c r="F99"/>
  <c r="W99" s="1"/>
  <c r="AQ98"/>
  <c r="AO98"/>
  <c r="AN98"/>
  <c r="AM98"/>
  <c r="Z98"/>
  <c r="Y98"/>
  <c r="U98"/>
  <c r="AB98" s="1"/>
  <c r="Q98"/>
  <c r="AA98" s="1"/>
  <c r="M98"/>
  <c r="AN98" i="87" s="1"/>
  <c r="H98" i="84"/>
  <c r="G98"/>
  <c r="X98" s="1"/>
  <c r="F98"/>
  <c r="W98" s="1"/>
  <c r="AQ97"/>
  <c r="AO97"/>
  <c r="AN97"/>
  <c r="AM97"/>
  <c r="Z97"/>
  <c r="Y97"/>
  <c r="U97"/>
  <c r="AB97" s="1"/>
  <c r="Q97"/>
  <c r="AA97" s="1"/>
  <c r="M97"/>
  <c r="AN97" i="87" s="1"/>
  <c r="H97" i="84"/>
  <c r="G97"/>
  <c r="X97" s="1"/>
  <c r="F97"/>
  <c r="W97" s="1"/>
  <c r="AQ96"/>
  <c r="AO96"/>
  <c r="AN96"/>
  <c r="AM96"/>
  <c r="Z96"/>
  <c r="Y96"/>
  <c r="U96"/>
  <c r="AB96" s="1"/>
  <c r="Q96"/>
  <c r="AA96" s="1"/>
  <c r="M96"/>
  <c r="AN96" i="87" s="1"/>
  <c r="H96" i="84"/>
  <c r="G96"/>
  <c r="X96" s="1"/>
  <c r="F96"/>
  <c r="W96" s="1"/>
  <c r="AQ95"/>
  <c r="AO95"/>
  <c r="AN95"/>
  <c r="AM95"/>
  <c r="Z95"/>
  <c r="Y95"/>
  <c r="U95"/>
  <c r="AB95" s="1"/>
  <c r="Q95"/>
  <c r="AA95" s="1"/>
  <c r="M95"/>
  <c r="AN95" i="87" s="1"/>
  <c r="H95" i="84"/>
  <c r="G95"/>
  <c r="X95" s="1"/>
  <c r="F95"/>
  <c r="W95" s="1"/>
  <c r="AQ94"/>
  <c r="AO94"/>
  <c r="AN94"/>
  <c r="AM94"/>
  <c r="Z94"/>
  <c r="Y94"/>
  <c r="U94"/>
  <c r="AB94" s="1"/>
  <c r="Q94"/>
  <c r="AA94" s="1"/>
  <c r="M94"/>
  <c r="AN94" i="87" s="1"/>
  <c r="H94" i="84"/>
  <c r="G94"/>
  <c r="X94" s="1"/>
  <c r="F94"/>
  <c r="W94" s="1"/>
  <c r="AQ93"/>
  <c r="AO93"/>
  <c r="AN93"/>
  <c r="AM93"/>
  <c r="Z93"/>
  <c r="Y93"/>
  <c r="U93"/>
  <c r="AB93" s="1"/>
  <c r="Q93"/>
  <c r="AA93" s="1"/>
  <c r="M93"/>
  <c r="AN93" i="87" s="1"/>
  <c r="H93" i="84"/>
  <c r="G93"/>
  <c r="X93" s="1"/>
  <c r="F93"/>
  <c r="W93" s="1"/>
  <c r="AQ92"/>
  <c r="AO92"/>
  <c r="AN92"/>
  <c r="AM92"/>
  <c r="Z92"/>
  <c r="Y92"/>
  <c r="U92"/>
  <c r="AB92" s="1"/>
  <c r="Q92"/>
  <c r="AA92" s="1"/>
  <c r="M92"/>
  <c r="AN92" i="87" s="1"/>
  <c r="H92" i="84"/>
  <c r="G92"/>
  <c r="X92" s="1"/>
  <c r="F92"/>
  <c r="W92" s="1"/>
  <c r="AQ91"/>
  <c r="AO91"/>
  <c r="AN91"/>
  <c r="AM91"/>
  <c r="Z91"/>
  <c r="Y91"/>
  <c r="U91"/>
  <c r="AB91" s="1"/>
  <c r="Q91"/>
  <c r="AA91" s="1"/>
  <c r="M91"/>
  <c r="AN91" i="87" s="1"/>
  <c r="H91" i="84"/>
  <c r="G91"/>
  <c r="X91" s="1"/>
  <c r="F91"/>
  <c r="W91" s="1"/>
  <c r="AQ90"/>
  <c r="AO90"/>
  <c r="AN90"/>
  <c r="AM90"/>
  <c r="Z90"/>
  <c r="Y90"/>
  <c r="U90"/>
  <c r="AB90" s="1"/>
  <c r="Q90"/>
  <c r="AA90" s="1"/>
  <c r="M90"/>
  <c r="AN90" i="87" s="1"/>
  <c r="H90" i="84"/>
  <c r="G90"/>
  <c r="X90" s="1"/>
  <c r="F90"/>
  <c r="W90" s="1"/>
  <c r="AQ89"/>
  <c r="AO89"/>
  <c r="AN89"/>
  <c r="AM89"/>
  <c r="Z89"/>
  <c r="Y89"/>
  <c r="U89"/>
  <c r="AB89" s="1"/>
  <c r="Q89"/>
  <c r="AA89" s="1"/>
  <c r="M89"/>
  <c r="AN89" i="87" s="1"/>
  <c r="H89" i="84"/>
  <c r="G89"/>
  <c r="X89" s="1"/>
  <c r="F89"/>
  <c r="W89" s="1"/>
  <c r="AQ88"/>
  <c r="AO88"/>
  <c r="AN88"/>
  <c r="AM88"/>
  <c r="Z88"/>
  <c r="Y88"/>
  <c r="U88"/>
  <c r="AB88" s="1"/>
  <c r="Q88"/>
  <c r="AA88" s="1"/>
  <c r="M88"/>
  <c r="AN88" i="87" s="1"/>
  <c r="H88" i="84"/>
  <c r="G88"/>
  <c r="X88" s="1"/>
  <c r="F88"/>
  <c r="W88" s="1"/>
  <c r="AQ87"/>
  <c r="AO87"/>
  <c r="AN87"/>
  <c r="AM87"/>
  <c r="Z87"/>
  <c r="Y87"/>
  <c r="U87"/>
  <c r="AB87" s="1"/>
  <c r="Q87"/>
  <c r="AA87" s="1"/>
  <c r="M87"/>
  <c r="AN87" i="87" s="1"/>
  <c r="H87" i="84"/>
  <c r="G87"/>
  <c r="X87" s="1"/>
  <c r="F87"/>
  <c r="W87" s="1"/>
  <c r="AQ86"/>
  <c r="AO86"/>
  <c r="AN86"/>
  <c r="AM86"/>
  <c r="Z86"/>
  <c r="Y86"/>
  <c r="U86"/>
  <c r="AB86" s="1"/>
  <c r="Q86"/>
  <c r="AA86" s="1"/>
  <c r="M86"/>
  <c r="AN86" i="87" s="1"/>
  <c r="H86" i="84"/>
  <c r="G86"/>
  <c r="X86" s="1"/>
  <c r="F86"/>
  <c r="W86" s="1"/>
  <c r="AQ85"/>
  <c r="AO85"/>
  <c r="AN85"/>
  <c r="AM85"/>
  <c r="Z85"/>
  <c r="Y85"/>
  <c r="U85"/>
  <c r="AB85" s="1"/>
  <c r="Q85"/>
  <c r="AA85" s="1"/>
  <c r="M85"/>
  <c r="AN85" i="87" s="1"/>
  <c r="H85" i="84"/>
  <c r="G85"/>
  <c r="X85" s="1"/>
  <c r="F85"/>
  <c r="W85" s="1"/>
  <c r="AQ84"/>
  <c r="AO84"/>
  <c r="AN84"/>
  <c r="AM84"/>
  <c r="Z84"/>
  <c r="Y84"/>
  <c r="U84"/>
  <c r="AB84" s="1"/>
  <c r="Q84"/>
  <c r="AA84" s="1"/>
  <c r="M84"/>
  <c r="AN84" i="87" s="1"/>
  <c r="H84" i="84"/>
  <c r="G84"/>
  <c r="X84" s="1"/>
  <c r="F84"/>
  <c r="W84" s="1"/>
  <c r="AQ83"/>
  <c r="AO83"/>
  <c r="AN83"/>
  <c r="AM83"/>
  <c r="Z83"/>
  <c r="Y83"/>
  <c r="U83"/>
  <c r="AB83" s="1"/>
  <c r="Q83"/>
  <c r="AA83" s="1"/>
  <c r="M83"/>
  <c r="AN83" i="87" s="1"/>
  <c r="H83" i="84"/>
  <c r="G83"/>
  <c r="X83" s="1"/>
  <c r="F83"/>
  <c r="W83" s="1"/>
  <c r="AQ82"/>
  <c r="AO82"/>
  <c r="AN82"/>
  <c r="AM82"/>
  <c r="Z82"/>
  <c r="Y82"/>
  <c r="U82"/>
  <c r="AB82" s="1"/>
  <c r="Q82"/>
  <c r="AA82" s="1"/>
  <c r="M82"/>
  <c r="AN82" i="87" s="1"/>
  <c r="H82" i="84"/>
  <c r="G82"/>
  <c r="X82" s="1"/>
  <c r="F82"/>
  <c r="W82" s="1"/>
  <c r="AQ81"/>
  <c r="AO81"/>
  <c r="AN81"/>
  <c r="AM81"/>
  <c r="Z81"/>
  <c r="Y81"/>
  <c r="U81"/>
  <c r="AB81" s="1"/>
  <c r="Q81"/>
  <c r="AA81" s="1"/>
  <c r="M81"/>
  <c r="AN81" i="87" s="1"/>
  <c r="H81" i="84"/>
  <c r="G81"/>
  <c r="X81" s="1"/>
  <c r="F81"/>
  <c r="W81" s="1"/>
  <c r="AQ80"/>
  <c r="AO80"/>
  <c r="AN80"/>
  <c r="AM80"/>
  <c r="Z80"/>
  <c r="Y80"/>
  <c r="U80"/>
  <c r="AB80" s="1"/>
  <c r="Q80"/>
  <c r="AA80" s="1"/>
  <c r="M80"/>
  <c r="AN80" i="87" s="1"/>
  <c r="H80" i="84"/>
  <c r="G80"/>
  <c r="X80" s="1"/>
  <c r="F80"/>
  <c r="W80" s="1"/>
  <c r="AQ79"/>
  <c r="AO79"/>
  <c r="AN79"/>
  <c r="AM79"/>
  <c r="Z79"/>
  <c r="Y79"/>
  <c r="U79"/>
  <c r="AB79" s="1"/>
  <c r="Q79"/>
  <c r="AA79" s="1"/>
  <c r="M79"/>
  <c r="AN79" i="87" s="1"/>
  <c r="H79" i="84"/>
  <c r="G79"/>
  <c r="X79" s="1"/>
  <c r="F79"/>
  <c r="W79" s="1"/>
  <c r="AQ78"/>
  <c r="AO78"/>
  <c r="AN78"/>
  <c r="AM78"/>
  <c r="Z78"/>
  <c r="Y78"/>
  <c r="U78"/>
  <c r="AB78" s="1"/>
  <c r="Q78"/>
  <c r="AA78" s="1"/>
  <c r="M78"/>
  <c r="AN78" i="87" s="1"/>
  <c r="H78" i="84"/>
  <c r="G78"/>
  <c r="X78" s="1"/>
  <c r="F78"/>
  <c r="W78" s="1"/>
  <c r="AQ77"/>
  <c r="AO77"/>
  <c r="AN77"/>
  <c r="AM77"/>
  <c r="Z77"/>
  <c r="Y77"/>
  <c r="U77"/>
  <c r="AB77" s="1"/>
  <c r="Q77"/>
  <c r="AA77" s="1"/>
  <c r="M77"/>
  <c r="AN77" i="87" s="1"/>
  <c r="H77" i="84"/>
  <c r="G77"/>
  <c r="X77" s="1"/>
  <c r="F77"/>
  <c r="W77" s="1"/>
  <c r="AQ76"/>
  <c r="AO76"/>
  <c r="AN76"/>
  <c r="AM76"/>
  <c r="Z76"/>
  <c r="Y76"/>
  <c r="U76"/>
  <c r="AB76" s="1"/>
  <c r="Q76"/>
  <c r="AA76" s="1"/>
  <c r="M76"/>
  <c r="AN76" i="87" s="1"/>
  <c r="H76" i="84"/>
  <c r="G76"/>
  <c r="X76" s="1"/>
  <c r="F76"/>
  <c r="W76" s="1"/>
  <c r="AQ75"/>
  <c r="AO75"/>
  <c r="AN75"/>
  <c r="AM75"/>
  <c r="Z75"/>
  <c r="Y75"/>
  <c r="U75"/>
  <c r="AB75" s="1"/>
  <c r="Q75"/>
  <c r="AA75" s="1"/>
  <c r="M75"/>
  <c r="AN75" i="87" s="1"/>
  <c r="H75" i="84"/>
  <c r="G75"/>
  <c r="X75" s="1"/>
  <c r="F75"/>
  <c r="W75" s="1"/>
  <c r="AQ74"/>
  <c r="AO74"/>
  <c r="AN74"/>
  <c r="AM74"/>
  <c r="Z74"/>
  <c r="Y74"/>
  <c r="U74"/>
  <c r="AB74" s="1"/>
  <c r="Q74"/>
  <c r="AA74" s="1"/>
  <c r="M74"/>
  <c r="AN74" i="87" s="1"/>
  <c r="H74" i="84"/>
  <c r="G74"/>
  <c r="X74" s="1"/>
  <c r="F74"/>
  <c r="W74" s="1"/>
  <c r="AQ73"/>
  <c r="AO73"/>
  <c r="AN73"/>
  <c r="AM73"/>
  <c r="Z73"/>
  <c r="Y73"/>
  <c r="U73"/>
  <c r="AB73" s="1"/>
  <c r="Q73"/>
  <c r="AA73" s="1"/>
  <c r="M73"/>
  <c r="AN73" i="87" s="1"/>
  <c r="H73" i="84"/>
  <c r="G73"/>
  <c r="X73" s="1"/>
  <c r="F73"/>
  <c r="W73" s="1"/>
  <c r="AQ72"/>
  <c r="AO72"/>
  <c r="AN72"/>
  <c r="AM72"/>
  <c r="Z72"/>
  <c r="Y72"/>
  <c r="U72"/>
  <c r="AB72" s="1"/>
  <c r="Q72"/>
  <c r="AA72" s="1"/>
  <c r="M72"/>
  <c r="AN72" i="87" s="1"/>
  <c r="H72" i="84"/>
  <c r="G72"/>
  <c r="X72" s="1"/>
  <c r="F72"/>
  <c r="W72" s="1"/>
  <c r="AQ71"/>
  <c r="AO71"/>
  <c r="AN71"/>
  <c r="AM71"/>
  <c r="Z71"/>
  <c r="Y71"/>
  <c r="U71"/>
  <c r="AB71" s="1"/>
  <c r="Q71"/>
  <c r="AA71" s="1"/>
  <c r="M71"/>
  <c r="AN71" i="87" s="1"/>
  <c r="H71" i="84"/>
  <c r="G71"/>
  <c r="X71" s="1"/>
  <c r="F71"/>
  <c r="W71" s="1"/>
  <c r="AQ70"/>
  <c r="AO70"/>
  <c r="AN70"/>
  <c r="AM70"/>
  <c r="Z70"/>
  <c r="Y70"/>
  <c r="U70"/>
  <c r="AB70" s="1"/>
  <c r="Q70"/>
  <c r="AA70" s="1"/>
  <c r="M70"/>
  <c r="AN70" i="87" s="1"/>
  <c r="H70" i="84"/>
  <c r="G70"/>
  <c r="X70" s="1"/>
  <c r="F70"/>
  <c r="W70" s="1"/>
  <c r="AQ69"/>
  <c r="AO69"/>
  <c r="AN69"/>
  <c r="AM69"/>
  <c r="Z69"/>
  <c r="Y69"/>
  <c r="U69"/>
  <c r="AB69" s="1"/>
  <c r="Q69"/>
  <c r="AA69" s="1"/>
  <c r="M69"/>
  <c r="AN69" i="87" s="1"/>
  <c r="H69" i="84"/>
  <c r="G69"/>
  <c r="X69" s="1"/>
  <c r="F69"/>
  <c r="W69" s="1"/>
  <c r="AQ68"/>
  <c r="AO68"/>
  <c r="AN68"/>
  <c r="AM68"/>
  <c r="Z68"/>
  <c r="Y68"/>
  <c r="U68"/>
  <c r="AB68" s="1"/>
  <c r="Q68"/>
  <c r="AA68" s="1"/>
  <c r="M68"/>
  <c r="AN68" i="87" s="1"/>
  <c r="H68" i="84"/>
  <c r="G68"/>
  <c r="X68" s="1"/>
  <c r="F68"/>
  <c r="W68" s="1"/>
  <c r="AQ67"/>
  <c r="AO67"/>
  <c r="AN67"/>
  <c r="AM67"/>
  <c r="Z67"/>
  <c r="Y67"/>
  <c r="U67"/>
  <c r="AB67" s="1"/>
  <c r="Q67"/>
  <c r="AA67" s="1"/>
  <c r="M67"/>
  <c r="AN67" i="87" s="1"/>
  <c r="H67" i="84"/>
  <c r="G67"/>
  <c r="X67" s="1"/>
  <c r="F67"/>
  <c r="W67" s="1"/>
  <c r="AQ66"/>
  <c r="AO66"/>
  <c r="AN66"/>
  <c r="AM66"/>
  <c r="Z66"/>
  <c r="Y66"/>
  <c r="U66"/>
  <c r="AB66" s="1"/>
  <c r="Q66"/>
  <c r="AA66" s="1"/>
  <c r="M66"/>
  <c r="AN66" i="87" s="1"/>
  <c r="H66" i="84"/>
  <c r="G66"/>
  <c r="X66" s="1"/>
  <c r="F66"/>
  <c r="W66" s="1"/>
  <c r="AQ65"/>
  <c r="AO65"/>
  <c r="AN65"/>
  <c r="AM65"/>
  <c r="Z65"/>
  <c r="Y65"/>
  <c r="U65"/>
  <c r="AB65" s="1"/>
  <c r="Q65"/>
  <c r="AA65" s="1"/>
  <c r="M65"/>
  <c r="AN65" i="87" s="1"/>
  <c r="H65" i="84"/>
  <c r="G65"/>
  <c r="X65" s="1"/>
  <c r="F65"/>
  <c r="W65" s="1"/>
  <c r="AQ64"/>
  <c r="AO64"/>
  <c r="AN64"/>
  <c r="AM64"/>
  <c r="Z64"/>
  <c r="Y64"/>
  <c r="U64"/>
  <c r="AB64" s="1"/>
  <c r="Q64"/>
  <c r="AA64" s="1"/>
  <c r="M64"/>
  <c r="AN64" i="87" s="1"/>
  <c r="H64" i="84"/>
  <c r="G64"/>
  <c r="X64" s="1"/>
  <c r="F64"/>
  <c r="W64" s="1"/>
  <c r="AQ63"/>
  <c r="AO63"/>
  <c r="AN63"/>
  <c r="AM63"/>
  <c r="Z63"/>
  <c r="Y63"/>
  <c r="U63"/>
  <c r="AB63" s="1"/>
  <c r="Q63"/>
  <c r="AA63" s="1"/>
  <c r="M63"/>
  <c r="AN63" i="87" s="1"/>
  <c r="H63" i="84"/>
  <c r="G63"/>
  <c r="X63" s="1"/>
  <c r="F63"/>
  <c r="W63" s="1"/>
  <c r="AQ62"/>
  <c r="AO62"/>
  <c r="AN62"/>
  <c r="AM62"/>
  <c r="Z62"/>
  <c r="Y62"/>
  <c r="U62"/>
  <c r="AB62" s="1"/>
  <c r="Q62"/>
  <c r="AA62" s="1"/>
  <c r="M62"/>
  <c r="AN62" i="87" s="1"/>
  <c r="H62" i="84"/>
  <c r="G62"/>
  <c r="X62" s="1"/>
  <c r="F62"/>
  <c r="W62" s="1"/>
  <c r="AQ61"/>
  <c r="AO61"/>
  <c r="AN61"/>
  <c r="AM61"/>
  <c r="Z61"/>
  <c r="Y61"/>
  <c r="U61"/>
  <c r="AB61" s="1"/>
  <c r="Q61"/>
  <c r="AA61" s="1"/>
  <c r="M61"/>
  <c r="AN61" i="87" s="1"/>
  <c r="H61" i="84"/>
  <c r="G61"/>
  <c r="X61" s="1"/>
  <c r="F61"/>
  <c r="W61" s="1"/>
  <c r="AQ60"/>
  <c r="AO60"/>
  <c r="AN60"/>
  <c r="AM60"/>
  <c r="Z60"/>
  <c r="Y60"/>
  <c r="U60"/>
  <c r="AB60" s="1"/>
  <c r="Q60"/>
  <c r="AA60" s="1"/>
  <c r="M60"/>
  <c r="AN60" i="87" s="1"/>
  <c r="H60" i="84"/>
  <c r="G60"/>
  <c r="X60" s="1"/>
  <c r="F60"/>
  <c r="W60" s="1"/>
  <c r="AQ59"/>
  <c r="AO59"/>
  <c r="AN59"/>
  <c r="AM59"/>
  <c r="Z59"/>
  <c r="Y59"/>
  <c r="U59"/>
  <c r="AB59" s="1"/>
  <c r="Q59"/>
  <c r="AA59" s="1"/>
  <c r="M59"/>
  <c r="AN59" i="87" s="1"/>
  <c r="H59" i="84"/>
  <c r="G59"/>
  <c r="X59" s="1"/>
  <c r="F59"/>
  <c r="W59" s="1"/>
  <c r="AQ58"/>
  <c r="AO58"/>
  <c r="AN58"/>
  <c r="AM58"/>
  <c r="Z58"/>
  <c r="Y58"/>
  <c r="U58"/>
  <c r="AB58" s="1"/>
  <c r="Q58"/>
  <c r="AA58" s="1"/>
  <c r="M58"/>
  <c r="AN58" i="87" s="1"/>
  <c r="H58" i="84"/>
  <c r="G58"/>
  <c r="X58" s="1"/>
  <c r="F58"/>
  <c r="W58" s="1"/>
  <c r="AQ57"/>
  <c r="AO57"/>
  <c r="AN57"/>
  <c r="AM57"/>
  <c r="Z57"/>
  <c r="Y57"/>
  <c r="U57"/>
  <c r="AB57" s="1"/>
  <c r="Q57"/>
  <c r="AA57" s="1"/>
  <c r="M57"/>
  <c r="AN57" i="87" s="1"/>
  <c r="H57" i="84"/>
  <c r="G57"/>
  <c r="X57" s="1"/>
  <c r="F57"/>
  <c r="W57" s="1"/>
  <c r="AQ56"/>
  <c r="AO56"/>
  <c r="AN56"/>
  <c r="AM56"/>
  <c r="Z56"/>
  <c r="Y56"/>
  <c r="U56"/>
  <c r="AB56" s="1"/>
  <c r="Q56"/>
  <c r="AA56" s="1"/>
  <c r="M56"/>
  <c r="AN56" i="87" s="1"/>
  <c r="H56" i="84"/>
  <c r="G56"/>
  <c r="X56" s="1"/>
  <c r="F56"/>
  <c r="W56" s="1"/>
  <c r="AQ55"/>
  <c r="AO55"/>
  <c r="AN55"/>
  <c r="AM55"/>
  <c r="Z55"/>
  <c r="Y55"/>
  <c r="U55"/>
  <c r="AB55" s="1"/>
  <c r="Q55"/>
  <c r="AA55" s="1"/>
  <c r="M55"/>
  <c r="AN55" i="87" s="1"/>
  <c r="H55" i="84"/>
  <c r="G55"/>
  <c r="X55" s="1"/>
  <c r="F55"/>
  <c r="W55" s="1"/>
  <c r="AQ54"/>
  <c r="AO54"/>
  <c r="AN54"/>
  <c r="AM54"/>
  <c r="Z54"/>
  <c r="Y54"/>
  <c r="U54"/>
  <c r="AB54" s="1"/>
  <c r="Q54"/>
  <c r="AA54" s="1"/>
  <c r="M54"/>
  <c r="AN54" i="87" s="1"/>
  <c r="H54" i="84"/>
  <c r="G54"/>
  <c r="X54" s="1"/>
  <c r="F54"/>
  <c r="W54" s="1"/>
  <c r="AQ53"/>
  <c r="AO53"/>
  <c r="AN53"/>
  <c r="AM53"/>
  <c r="Z53"/>
  <c r="Y53"/>
  <c r="U53"/>
  <c r="AB53" s="1"/>
  <c r="Q53"/>
  <c r="AA53" s="1"/>
  <c r="M53"/>
  <c r="AN53" i="87" s="1"/>
  <c r="H53" i="84"/>
  <c r="G53"/>
  <c r="X53" s="1"/>
  <c r="F53"/>
  <c r="W53" s="1"/>
  <c r="AQ52"/>
  <c r="AO52"/>
  <c r="AN52"/>
  <c r="AM52"/>
  <c r="Z52"/>
  <c r="Y52"/>
  <c r="U52"/>
  <c r="AB52" s="1"/>
  <c r="Q52"/>
  <c r="AA52" s="1"/>
  <c r="M52"/>
  <c r="AN52" i="87" s="1"/>
  <c r="H52" i="84"/>
  <c r="G52"/>
  <c r="X52" s="1"/>
  <c r="F52"/>
  <c r="W52" s="1"/>
  <c r="AQ51"/>
  <c r="AO51"/>
  <c r="AN51"/>
  <c r="AM51"/>
  <c r="Z51"/>
  <c r="Y51"/>
  <c r="U51"/>
  <c r="AB51" s="1"/>
  <c r="Q51"/>
  <c r="AA51" s="1"/>
  <c r="M51"/>
  <c r="AN51" i="87" s="1"/>
  <c r="H51" i="84"/>
  <c r="G51"/>
  <c r="X51" s="1"/>
  <c r="F51"/>
  <c r="W51" s="1"/>
  <c r="AQ50"/>
  <c r="AO50"/>
  <c r="AN50"/>
  <c r="AM50"/>
  <c r="Z50"/>
  <c r="Y50"/>
  <c r="U50"/>
  <c r="AB50" s="1"/>
  <c r="Q50"/>
  <c r="AA50" s="1"/>
  <c r="M50"/>
  <c r="AN50" i="87" s="1"/>
  <c r="H50" i="84"/>
  <c r="G50"/>
  <c r="X50" s="1"/>
  <c r="F50"/>
  <c r="W50" s="1"/>
  <c r="AQ49"/>
  <c r="AO49"/>
  <c r="AN49"/>
  <c r="AM49"/>
  <c r="Z49"/>
  <c r="Y49"/>
  <c r="U49"/>
  <c r="AB49" s="1"/>
  <c r="Q49"/>
  <c r="AA49" s="1"/>
  <c r="M49"/>
  <c r="AN49" i="87" s="1"/>
  <c r="H49" i="84"/>
  <c r="G49"/>
  <c r="X49" s="1"/>
  <c r="F49"/>
  <c r="W49" s="1"/>
  <c r="AQ48"/>
  <c r="AO48"/>
  <c r="AN48"/>
  <c r="AM48"/>
  <c r="Z48"/>
  <c r="Y48"/>
  <c r="U48"/>
  <c r="AB48" s="1"/>
  <c r="Q48"/>
  <c r="AA48" s="1"/>
  <c r="M48"/>
  <c r="AN48" i="87" s="1"/>
  <c r="H48" i="84"/>
  <c r="G48"/>
  <c r="X48" s="1"/>
  <c r="F48"/>
  <c r="W48" s="1"/>
  <c r="AQ47"/>
  <c r="AO47"/>
  <c r="AN47"/>
  <c r="AM47"/>
  <c r="Z47"/>
  <c r="Y47"/>
  <c r="U47"/>
  <c r="AB47" s="1"/>
  <c r="Q47"/>
  <c r="AA47" s="1"/>
  <c r="M47"/>
  <c r="AN47" i="87" s="1"/>
  <c r="H47" i="84"/>
  <c r="G47"/>
  <c r="X47" s="1"/>
  <c r="F47"/>
  <c r="W47" s="1"/>
  <c r="AQ46"/>
  <c r="AO46"/>
  <c r="AN46"/>
  <c r="AM46"/>
  <c r="Z46"/>
  <c r="Y46"/>
  <c r="U46"/>
  <c r="AB46" s="1"/>
  <c r="Q46"/>
  <c r="AA46" s="1"/>
  <c r="M46"/>
  <c r="AN46" i="87" s="1"/>
  <c r="H46" i="84"/>
  <c r="G46"/>
  <c r="X46" s="1"/>
  <c r="F46"/>
  <c r="W46" s="1"/>
  <c r="AQ45"/>
  <c r="AO45"/>
  <c r="AN45"/>
  <c r="AM45"/>
  <c r="Z45"/>
  <c r="Y45"/>
  <c r="U45"/>
  <c r="AB45" s="1"/>
  <c r="Q45"/>
  <c r="AA45" s="1"/>
  <c r="M45"/>
  <c r="AN45" i="87" s="1"/>
  <c r="H45" i="84"/>
  <c r="G45"/>
  <c r="X45" s="1"/>
  <c r="F45"/>
  <c r="W45" s="1"/>
  <c r="AQ44"/>
  <c r="AO44"/>
  <c r="AN44"/>
  <c r="AM44"/>
  <c r="Z44"/>
  <c r="Y44"/>
  <c r="U44"/>
  <c r="AB44" s="1"/>
  <c r="Q44"/>
  <c r="AA44" s="1"/>
  <c r="M44"/>
  <c r="AN44" i="87" s="1"/>
  <c r="H44" i="84"/>
  <c r="G44"/>
  <c r="X44" s="1"/>
  <c r="F44"/>
  <c r="W44" s="1"/>
  <c r="AQ43"/>
  <c r="AO43"/>
  <c r="AN43"/>
  <c r="AM43"/>
  <c r="Z43"/>
  <c r="Y43"/>
  <c r="U43"/>
  <c r="AB43" s="1"/>
  <c r="Q43"/>
  <c r="AA43" s="1"/>
  <c r="M43"/>
  <c r="AN43" i="87" s="1"/>
  <c r="H43" i="84"/>
  <c r="G43"/>
  <c r="X43" s="1"/>
  <c r="F43"/>
  <c r="W43" s="1"/>
  <c r="AQ42"/>
  <c r="AO42"/>
  <c r="AN42"/>
  <c r="AM42"/>
  <c r="Z42"/>
  <c r="Y42"/>
  <c r="U42"/>
  <c r="AB42" s="1"/>
  <c r="Q42"/>
  <c r="AA42" s="1"/>
  <c r="M42"/>
  <c r="AN42" i="87" s="1"/>
  <c r="H42" i="84"/>
  <c r="G42"/>
  <c r="X42" s="1"/>
  <c r="F42"/>
  <c r="W42" s="1"/>
  <c r="AQ41"/>
  <c r="AO41"/>
  <c r="AN41"/>
  <c r="AM41"/>
  <c r="Z41"/>
  <c r="Y41"/>
  <c r="U41"/>
  <c r="AB41" s="1"/>
  <c r="Q41"/>
  <c r="AA41" s="1"/>
  <c r="M41"/>
  <c r="AN41" i="87" s="1"/>
  <c r="H41" i="84"/>
  <c r="G41"/>
  <c r="X41" s="1"/>
  <c r="F41"/>
  <c r="W41" s="1"/>
  <c r="AQ40"/>
  <c r="AO40"/>
  <c r="AN40"/>
  <c r="AM40"/>
  <c r="Z40"/>
  <c r="Y40"/>
  <c r="U40"/>
  <c r="AB40" s="1"/>
  <c r="Q40"/>
  <c r="AA40" s="1"/>
  <c r="M40"/>
  <c r="AN40" i="87" s="1"/>
  <c r="H40" i="84"/>
  <c r="G40"/>
  <c r="X40" s="1"/>
  <c r="F40"/>
  <c r="W40" s="1"/>
  <c r="AQ39"/>
  <c r="AO39"/>
  <c r="AN39"/>
  <c r="AM39"/>
  <c r="Z39"/>
  <c r="Y39"/>
  <c r="U39"/>
  <c r="AB39" s="1"/>
  <c r="Q39"/>
  <c r="AA39" s="1"/>
  <c r="M39"/>
  <c r="AN39" i="87" s="1"/>
  <c r="H39" i="84"/>
  <c r="G39"/>
  <c r="X39" s="1"/>
  <c r="F39"/>
  <c r="W39" s="1"/>
  <c r="AQ38"/>
  <c r="AO38"/>
  <c r="AN38"/>
  <c r="AM38"/>
  <c r="Z38"/>
  <c r="Y38"/>
  <c r="U38"/>
  <c r="AB38" s="1"/>
  <c r="Q38"/>
  <c r="AA38" s="1"/>
  <c r="M38"/>
  <c r="AN38" i="87" s="1"/>
  <c r="H38" i="84"/>
  <c r="G38"/>
  <c r="X38" s="1"/>
  <c r="F38"/>
  <c r="W38" s="1"/>
  <c r="AQ37"/>
  <c r="AO37"/>
  <c r="AN37"/>
  <c r="AM37"/>
  <c r="Z37"/>
  <c r="Y37"/>
  <c r="U37"/>
  <c r="AB37" s="1"/>
  <c r="Q37"/>
  <c r="AA37" s="1"/>
  <c r="M37"/>
  <c r="AN37" i="87" s="1"/>
  <c r="H37" i="84"/>
  <c r="G37"/>
  <c r="X37" s="1"/>
  <c r="F37"/>
  <c r="W37" s="1"/>
  <c r="AQ36"/>
  <c r="AO36"/>
  <c r="AN36"/>
  <c r="AM36"/>
  <c r="Z36"/>
  <c r="Y36"/>
  <c r="U36"/>
  <c r="AB36" s="1"/>
  <c r="Q36"/>
  <c r="AA36" s="1"/>
  <c r="M36"/>
  <c r="AN36" i="87" s="1"/>
  <c r="H36" i="84"/>
  <c r="G36"/>
  <c r="X36" s="1"/>
  <c r="F36"/>
  <c r="W36" s="1"/>
  <c r="AQ35"/>
  <c r="AO35"/>
  <c r="AN35"/>
  <c r="AM35"/>
  <c r="Z35"/>
  <c r="Y35"/>
  <c r="U35"/>
  <c r="AB35" s="1"/>
  <c r="Q35"/>
  <c r="AA35" s="1"/>
  <c r="M35"/>
  <c r="AN35" i="87" s="1"/>
  <c r="H35" i="84"/>
  <c r="G35"/>
  <c r="X35" s="1"/>
  <c r="F35"/>
  <c r="W35" s="1"/>
  <c r="AQ34"/>
  <c r="AO34"/>
  <c r="AN34"/>
  <c r="AM34"/>
  <c r="Z34"/>
  <c r="Y34"/>
  <c r="U34"/>
  <c r="AB34" s="1"/>
  <c r="Q34"/>
  <c r="AA34" s="1"/>
  <c r="M34"/>
  <c r="AN34" i="87" s="1"/>
  <c r="H34" i="84"/>
  <c r="G34"/>
  <c r="X34" s="1"/>
  <c r="F34"/>
  <c r="W34" s="1"/>
  <c r="AQ33"/>
  <c r="AO33"/>
  <c r="AN33"/>
  <c r="AM33"/>
  <c r="Z33"/>
  <c r="Y33"/>
  <c r="U33"/>
  <c r="AB33" s="1"/>
  <c r="Q33"/>
  <c r="AA33" s="1"/>
  <c r="M33"/>
  <c r="AN33" i="87" s="1"/>
  <c r="H33" i="84"/>
  <c r="G33"/>
  <c r="X33" s="1"/>
  <c r="F33"/>
  <c r="W33" s="1"/>
  <c r="AQ32"/>
  <c r="AO32"/>
  <c r="AN32"/>
  <c r="AM32"/>
  <c r="Z32"/>
  <c r="Y32"/>
  <c r="U32"/>
  <c r="AB32" s="1"/>
  <c r="Q32"/>
  <c r="AA32" s="1"/>
  <c r="M32"/>
  <c r="AN32" i="87" s="1"/>
  <c r="H32" i="84"/>
  <c r="G32"/>
  <c r="X32" s="1"/>
  <c r="F32"/>
  <c r="W32" s="1"/>
  <c r="AQ31"/>
  <c r="AO31"/>
  <c r="AN31"/>
  <c r="AM31"/>
  <c r="Z31"/>
  <c r="Y31"/>
  <c r="U31"/>
  <c r="AB31" s="1"/>
  <c r="Q31"/>
  <c r="AA31" s="1"/>
  <c r="M31"/>
  <c r="AN31" i="87" s="1"/>
  <c r="H31" i="84"/>
  <c r="G31"/>
  <c r="X31" s="1"/>
  <c r="F31"/>
  <c r="W31" s="1"/>
  <c r="AQ30"/>
  <c r="AO30"/>
  <c r="AN30"/>
  <c r="AM30"/>
  <c r="Z30"/>
  <c r="Y30"/>
  <c r="U30"/>
  <c r="AB30" s="1"/>
  <c r="Q30"/>
  <c r="AA30" s="1"/>
  <c r="M30"/>
  <c r="AN30" i="87" s="1"/>
  <c r="H30" i="84"/>
  <c r="G30"/>
  <c r="X30" s="1"/>
  <c r="F30"/>
  <c r="W30" s="1"/>
  <c r="AQ29"/>
  <c r="AO29"/>
  <c r="AN29"/>
  <c r="AM29"/>
  <c r="Z29"/>
  <c r="Y29"/>
  <c r="U29"/>
  <c r="AB29" s="1"/>
  <c r="Q29"/>
  <c r="AA29" s="1"/>
  <c r="M29"/>
  <c r="AN29" i="87" s="1"/>
  <c r="H29" i="84"/>
  <c r="G29"/>
  <c r="X29" s="1"/>
  <c r="F29"/>
  <c r="W29" s="1"/>
  <c r="AQ28"/>
  <c r="AO28"/>
  <c r="AN28"/>
  <c r="AM28"/>
  <c r="Z28"/>
  <c r="Y28"/>
  <c r="U28"/>
  <c r="AB28" s="1"/>
  <c r="Q28"/>
  <c r="AA28" s="1"/>
  <c r="M28"/>
  <c r="AN28" i="87" s="1"/>
  <c r="H28" i="84"/>
  <c r="G28"/>
  <c r="X28" s="1"/>
  <c r="F28"/>
  <c r="W28" s="1"/>
  <c r="AQ27"/>
  <c r="AO27"/>
  <c r="AN27"/>
  <c r="AM27"/>
  <c r="Z27"/>
  <c r="Y27"/>
  <c r="U27"/>
  <c r="AB27" s="1"/>
  <c r="Q27"/>
  <c r="AA27" s="1"/>
  <c r="M27"/>
  <c r="AN27" i="87" s="1"/>
  <c r="H27" i="84"/>
  <c r="G27"/>
  <c r="X27" s="1"/>
  <c r="F27"/>
  <c r="W27" s="1"/>
  <c r="AQ26"/>
  <c r="AO26"/>
  <c r="AN26"/>
  <c r="AM26"/>
  <c r="Z26"/>
  <c r="Y26"/>
  <c r="U26"/>
  <c r="AB26" s="1"/>
  <c r="Q26"/>
  <c r="AA26" s="1"/>
  <c r="M26"/>
  <c r="AN26" i="87" s="1"/>
  <c r="H26" i="84"/>
  <c r="G26"/>
  <c r="X26" s="1"/>
  <c r="F26"/>
  <c r="W26" s="1"/>
  <c r="AQ25"/>
  <c r="AO25"/>
  <c r="AN25"/>
  <c r="AM25"/>
  <c r="Z25"/>
  <c r="Y25"/>
  <c r="U25"/>
  <c r="AB25" s="1"/>
  <c r="Q25"/>
  <c r="AA25" s="1"/>
  <c r="M25"/>
  <c r="AN25" i="87" s="1"/>
  <c r="H25" i="84"/>
  <c r="G25"/>
  <c r="X25" s="1"/>
  <c r="F25"/>
  <c r="W25" s="1"/>
  <c r="AQ24"/>
  <c r="AO24"/>
  <c r="AN24"/>
  <c r="AM24"/>
  <c r="Z24"/>
  <c r="Y24"/>
  <c r="U24"/>
  <c r="AB24" s="1"/>
  <c r="Q24"/>
  <c r="AA24" s="1"/>
  <c r="M24"/>
  <c r="AN24" i="87" s="1"/>
  <c r="H24" i="84"/>
  <c r="G24"/>
  <c r="X24" s="1"/>
  <c r="F24"/>
  <c r="W24" s="1"/>
  <c r="AQ23"/>
  <c r="AO23"/>
  <c r="AN23"/>
  <c r="AM23"/>
  <c r="Z23"/>
  <c r="Y23"/>
  <c r="U23"/>
  <c r="AB23" s="1"/>
  <c r="Q23"/>
  <c r="AA23" s="1"/>
  <c r="M23"/>
  <c r="AN23" i="87" s="1"/>
  <c r="H23" i="84"/>
  <c r="G23"/>
  <c r="X23" s="1"/>
  <c r="F23"/>
  <c r="W23" s="1"/>
  <c r="AQ22"/>
  <c r="AO22"/>
  <c r="AN22"/>
  <c r="AM22"/>
  <c r="Z22"/>
  <c r="Y22"/>
  <c r="U22"/>
  <c r="AB22" s="1"/>
  <c r="Q22"/>
  <c r="AA22" s="1"/>
  <c r="M22"/>
  <c r="AN22" i="87" s="1"/>
  <c r="H22" i="84"/>
  <c r="G22"/>
  <c r="X22" s="1"/>
  <c r="F22"/>
  <c r="W22" s="1"/>
  <c r="AQ21"/>
  <c r="AO21"/>
  <c r="AN21"/>
  <c r="AM21"/>
  <c r="Z21"/>
  <c r="Y21"/>
  <c r="U21"/>
  <c r="AB21" s="1"/>
  <c r="Q21"/>
  <c r="AA21" s="1"/>
  <c r="M21"/>
  <c r="AN21" i="87" s="1"/>
  <c r="H21" i="84"/>
  <c r="G21"/>
  <c r="X21" s="1"/>
  <c r="F21"/>
  <c r="W21" s="1"/>
  <c r="AQ20"/>
  <c r="AO20"/>
  <c r="AN20"/>
  <c r="AM20"/>
  <c r="Z20"/>
  <c r="Y20"/>
  <c r="U20"/>
  <c r="AB20" s="1"/>
  <c r="Q20"/>
  <c r="AA20" s="1"/>
  <c r="M20"/>
  <c r="AN20" i="87" s="1"/>
  <c r="H20" i="84"/>
  <c r="G20"/>
  <c r="X20" s="1"/>
  <c r="F20"/>
  <c r="W20" s="1"/>
  <c r="AQ19"/>
  <c r="AO19"/>
  <c r="AN19"/>
  <c r="AM19"/>
  <c r="Z19"/>
  <c r="Y19"/>
  <c r="U19"/>
  <c r="AB19" s="1"/>
  <c r="Q19"/>
  <c r="AA19" s="1"/>
  <c r="M19"/>
  <c r="AN19" i="87" s="1"/>
  <c r="H19" i="84"/>
  <c r="G19"/>
  <c r="X19" s="1"/>
  <c r="F19"/>
  <c r="W19" s="1"/>
  <c r="AQ18"/>
  <c r="AO18"/>
  <c r="AN18"/>
  <c r="AM18"/>
  <c r="Z18"/>
  <c r="Y18"/>
  <c r="U18"/>
  <c r="AB18" s="1"/>
  <c r="Q18"/>
  <c r="AA18" s="1"/>
  <c r="M18"/>
  <c r="AN18" i="87" s="1"/>
  <c r="H18" i="84"/>
  <c r="G18"/>
  <c r="X18" s="1"/>
  <c r="F18"/>
  <c r="W18" s="1"/>
  <c r="AQ17"/>
  <c r="AO17"/>
  <c r="AN17"/>
  <c r="AM17"/>
  <c r="Z17"/>
  <c r="Y17"/>
  <c r="U17"/>
  <c r="AB17" s="1"/>
  <c r="Q17"/>
  <c r="AA17" s="1"/>
  <c r="M17"/>
  <c r="AN17" i="87" s="1"/>
  <c r="H17" i="84"/>
  <c r="G17"/>
  <c r="X17" s="1"/>
  <c r="F17"/>
  <c r="W17" s="1"/>
  <c r="AQ16"/>
  <c r="AO16"/>
  <c r="AN16"/>
  <c r="AM16"/>
  <c r="Z16"/>
  <c r="Y16"/>
  <c r="U16"/>
  <c r="AB16" s="1"/>
  <c r="Q16"/>
  <c r="AA16" s="1"/>
  <c r="M16"/>
  <c r="AN16" i="87" s="1"/>
  <c r="H16" i="84"/>
  <c r="G16"/>
  <c r="X16" s="1"/>
  <c r="F16"/>
  <c r="W16" s="1"/>
  <c r="AQ15"/>
  <c r="AO15"/>
  <c r="AN15"/>
  <c r="AM15"/>
  <c r="Z15"/>
  <c r="Y15"/>
  <c r="X15"/>
  <c r="U15"/>
  <c r="AB15" s="1"/>
  <c r="Q15"/>
  <c r="AA15" s="1"/>
  <c r="M15"/>
  <c r="AN15" i="87" s="1"/>
  <c r="H15" i="84"/>
  <c r="G15"/>
  <c r="F15"/>
  <c r="W15" s="1"/>
  <c r="AQ14"/>
  <c r="AO14"/>
  <c r="AN14"/>
  <c r="AM14"/>
  <c r="Z14"/>
  <c r="Y14"/>
  <c r="X14"/>
  <c r="U14"/>
  <c r="AB14" s="1"/>
  <c r="Q14"/>
  <c r="AA14" s="1"/>
  <c r="M14"/>
  <c r="AN14" i="87" s="1"/>
  <c r="H14" i="84"/>
  <c r="G14"/>
  <c r="F14"/>
  <c r="W14" s="1"/>
  <c r="AQ13"/>
  <c r="AO13"/>
  <c r="AN13"/>
  <c r="AM13"/>
  <c r="Z13"/>
  <c r="Y13"/>
  <c r="X13"/>
  <c r="U13"/>
  <c r="AB13" s="1"/>
  <c r="Q13"/>
  <c r="AA13" s="1"/>
  <c r="M13"/>
  <c r="AN13" i="87" s="1"/>
  <c r="H13" i="84"/>
  <c r="G13"/>
  <c r="F13"/>
  <c r="W13" s="1"/>
  <c r="AQ12"/>
  <c r="AO12"/>
  <c r="AN12"/>
  <c r="AM12"/>
  <c r="Z12"/>
  <c r="Y12"/>
  <c r="X12"/>
  <c r="U12"/>
  <c r="AB12" s="1"/>
  <c r="Q12"/>
  <c r="AA12" s="1"/>
  <c r="M12"/>
  <c r="AN12" i="87" s="1"/>
  <c r="H12" i="84"/>
  <c r="G12"/>
  <c r="F12"/>
  <c r="W12" s="1"/>
  <c r="AQ11"/>
  <c r="AO11"/>
  <c r="AN11"/>
  <c r="AM11"/>
  <c r="Z11"/>
  <c r="Y11"/>
  <c r="X11"/>
  <c r="U11"/>
  <c r="AB11" s="1"/>
  <c r="Q11"/>
  <c r="AA11" s="1"/>
  <c r="M11"/>
  <c r="AN11" i="87" s="1"/>
  <c r="H11" i="84"/>
  <c r="G11"/>
  <c r="F11"/>
  <c r="W11" s="1"/>
  <c r="AQ10"/>
  <c r="AO10"/>
  <c r="AN10"/>
  <c r="AM10"/>
  <c r="Z10"/>
  <c r="Y10"/>
  <c r="X10"/>
  <c r="U10"/>
  <c r="AB10" s="1"/>
  <c r="Q10"/>
  <c r="AA10" s="1"/>
  <c r="M10"/>
  <c r="AN10" i="87" s="1"/>
  <c r="H10" i="84"/>
  <c r="G10"/>
  <c r="F10"/>
  <c r="W10" s="1"/>
  <c r="AQ9"/>
  <c r="AO9"/>
  <c r="AN9"/>
  <c r="AM9"/>
  <c r="Z9"/>
  <c r="Y9"/>
  <c r="X9"/>
  <c r="U9"/>
  <c r="AB9" s="1"/>
  <c r="Q9"/>
  <c r="AA9" s="1"/>
  <c r="M9"/>
  <c r="AN9" i="87" s="1"/>
  <c r="H9" i="84"/>
  <c r="G9"/>
  <c r="F9"/>
  <c r="W9" s="1"/>
  <c r="AQ8"/>
  <c r="AO8"/>
  <c r="AN8"/>
  <c r="AM8"/>
  <c r="Z8"/>
  <c r="Y8"/>
  <c r="X8"/>
  <c r="U8"/>
  <c r="AB8" s="1"/>
  <c r="Q8"/>
  <c r="AA8" s="1"/>
  <c r="M8"/>
  <c r="AN8" i="87" s="1"/>
  <c r="H8" i="84"/>
  <c r="G8"/>
  <c r="F8"/>
  <c r="W8" s="1"/>
  <c r="AQ7"/>
  <c r="AO7"/>
  <c r="AN7"/>
  <c r="AM7"/>
  <c r="Z7"/>
  <c r="Y7"/>
  <c r="X7"/>
  <c r="U7"/>
  <c r="AB7" s="1"/>
  <c r="Q7"/>
  <c r="AA7" s="1"/>
  <c r="M7"/>
  <c r="AN7" i="87" s="1"/>
  <c r="H7" i="84"/>
  <c r="G7"/>
  <c r="F7"/>
  <c r="W7" s="1"/>
  <c r="AQ6"/>
  <c r="AO6"/>
  <c r="AN6"/>
  <c r="AM6"/>
  <c r="Z6"/>
  <c r="Y6"/>
  <c r="X6"/>
  <c r="U6"/>
  <c r="AB6" s="1"/>
  <c r="Q6"/>
  <c r="AA6" s="1"/>
  <c r="M6"/>
  <c r="AN6" i="87" s="1"/>
  <c r="H6" i="84"/>
  <c r="G6"/>
  <c r="F6"/>
  <c r="W6" s="1"/>
  <c r="AQ5"/>
  <c r="AO5"/>
  <c r="AN5"/>
  <c r="AM5"/>
  <c r="Z5"/>
  <c r="Y5"/>
  <c r="X5"/>
  <c r="G21" i="1" s="1"/>
  <c r="U5" i="84"/>
  <c r="AB5" s="1"/>
  <c r="G18" i="1" s="1"/>
  <c r="Q5" i="84"/>
  <c r="AA5" s="1"/>
  <c r="M5"/>
  <c r="AN5" i="87" s="1"/>
  <c r="H5" i="84"/>
  <c r="G5"/>
  <c r="F5"/>
  <c r="W5" s="1"/>
  <c r="D126" i="74"/>
  <c r="D125"/>
  <c r="D126" i="68"/>
  <c r="D125"/>
  <c r="D129" i="67"/>
  <c r="D128"/>
  <c r="D127"/>
  <c r="D126"/>
  <c r="D125"/>
  <c r="E127" i="69"/>
  <c r="E126"/>
  <c r="E125"/>
  <c r="F57" i="1"/>
  <c r="F56"/>
  <c r="F55"/>
  <c r="F54"/>
  <c r="F53"/>
  <c r="F52"/>
  <c r="F51"/>
  <c r="F50"/>
  <c r="F49"/>
  <c r="F48"/>
  <c r="F47"/>
  <c r="F46"/>
  <c r="C43"/>
  <c r="H40"/>
  <c r="H39"/>
  <c r="G39"/>
  <c r="H38"/>
  <c r="G38"/>
  <c r="H37"/>
  <c r="G37"/>
  <c r="H36"/>
  <c r="G36"/>
  <c r="H35"/>
  <c r="G35"/>
  <c r="H34"/>
  <c r="G34"/>
  <c r="H33"/>
  <c r="G33"/>
  <c r="H32"/>
  <c r="G32"/>
  <c r="H31"/>
  <c r="G31"/>
  <c r="H30"/>
  <c r="G30"/>
  <c r="C27"/>
  <c r="G23"/>
  <c r="G22"/>
  <c r="G20"/>
  <c r="G17"/>
  <c r="G16"/>
  <c r="D11"/>
  <c r="I3"/>
  <c r="D5" s="1"/>
  <c r="F5" i="61"/>
  <c r="F8"/>
  <c r="F12"/>
  <c r="F13"/>
  <c r="F14"/>
  <c r="F15"/>
  <c r="F69"/>
  <c r="F71"/>
  <c r="F72"/>
  <c r="F73"/>
  <c r="F75"/>
  <c r="F76"/>
  <c r="F77"/>
  <c r="F78"/>
  <c r="F79"/>
  <c r="F80"/>
  <c r="F81"/>
  <c r="F123"/>
  <c r="N84" i="79"/>
  <c r="N116"/>
  <c r="F23" i="61"/>
  <c r="F43"/>
  <c r="F47"/>
  <c r="F99"/>
  <c r="F100"/>
  <c r="F101"/>
  <c r="F102"/>
  <c r="F106"/>
  <c r="F110"/>
  <c r="F111"/>
  <c r="F112"/>
  <c r="F113"/>
  <c r="F5" i="60"/>
  <c r="F6"/>
  <c r="F7"/>
  <c r="F8"/>
  <c r="F9"/>
  <c r="F10"/>
  <c r="F43"/>
  <c r="F44"/>
  <c r="F45"/>
  <c r="F47"/>
  <c r="F49"/>
  <c r="F50"/>
  <c r="F69"/>
  <c r="F70"/>
  <c r="F92"/>
  <c r="F93"/>
  <c r="F95"/>
  <c r="F96"/>
  <c r="F97"/>
  <c r="F108"/>
  <c r="F109"/>
  <c r="F12"/>
  <c r="F15"/>
  <c r="F16"/>
  <c r="N18" i="79" s="1"/>
  <c r="F17" i="60"/>
  <c r="F18"/>
  <c r="F19"/>
  <c r="F12" i="56"/>
  <c r="J13" i="79" s="1"/>
  <c r="F13" i="56"/>
  <c r="J14" i="79" s="1"/>
  <c r="F14" i="56"/>
  <c r="J15" i="79" s="1"/>
  <c r="F15" i="56"/>
  <c r="J16" i="79" s="1"/>
  <c r="K16" s="1"/>
  <c r="F44" i="56"/>
  <c r="J45" i="79" s="1"/>
  <c r="F51" i="56"/>
  <c r="J52" i="79" s="1"/>
  <c r="F55" i="56"/>
  <c r="J56" i="79" s="1"/>
  <c r="K56" s="1"/>
  <c r="F87" i="56"/>
  <c r="J88" i="79" s="1"/>
  <c r="F99" i="56"/>
  <c r="J100" i="79" s="1"/>
  <c r="F100" i="56"/>
  <c r="J101" i="79" s="1"/>
  <c r="F101" i="56"/>
  <c r="J102" i="79" s="1"/>
  <c r="F102" i="56"/>
  <c r="J103" i="79" s="1"/>
  <c r="K103" s="1"/>
  <c r="F107" i="56"/>
  <c r="J108" i="79" s="1"/>
  <c r="F108" i="56"/>
  <c r="J109" i="79" s="1"/>
  <c r="F109" i="56"/>
  <c r="J110" i="79" s="1"/>
  <c r="F110" i="56"/>
  <c r="J111" i="79" s="1"/>
  <c r="K111" s="1"/>
  <c r="F36" i="56"/>
  <c r="J37" i="79" s="1"/>
  <c r="F24" i="56"/>
  <c r="J25" i="79" s="1"/>
  <c r="K25" s="1"/>
  <c r="F60" i="56"/>
  <c r="J61" i="79" s="1"/>
  <c r="F69" i="56"/>
  <c r="J70" i="79" s="1"/>
  <c r="F70" i="56"/>
  <c r="J71" i="79" s="1"/>
  <c r="F75" i="56"/>
  <c r="J76" i="79" s="1"/>
  <c r="F76" i="56"/>
  <c r="J77" i="79" s="1"/>
  <c r="F77" i="56"/>
  <c r="J78" i="79" s="1"/>
  <c r="F78" i="56"/>
  <c r="J79" i="79" s="1"/>
  <c r="F112" i="56"/>
  <c r="J113" i="79" s="1"/>
  <c r="F119" i="56"/>
  <c r="J120" i="79" s="1"/>
  <c r="F120" i="56"/>
  <c r="J121" i="79" s="1"/>
  <c r="F8" i="56"/>
  <c r="J9" i="79" s="1"/>
  <c r="K9" s="1"/>
  <c r="F52" i="56"/>
  <c r="J53" i="79" s="1"/>
  <c r="F36" i="62"/>
  <c r="F60"/>
  <c r="F68"/>
  <c r="F119"/>
  <c r="F5" i="55"/>
  <c r="F6"/>
  <c r="F8"/>
  <c r="F9"/>
  <c r="F13"/>
  <c r="F14"/>
  <c r="F15"/>
  <c r="F17"/>
  <c r="F18"/>
  <c r="F21"/>
  <c r="F22"/>
  <c r="F23"/>
  <c r="F65"/>
  <c r="F77"/>
  <c r="F85"/>
  <c r="F119"/>
  <c r="F120"/>
  <c r="F121"/>
  <c r="F122"/>
  <c r="F124"/>
  <c r="F115"/>
  <c r="F116"/>
  <c r="F117"/>
  <c r="F28"/>
  <c r="F40"/>
  <c r="F41"/>
  <c r="F48"/>
  <c r="F49"/>
  <c r="E4" i="53"/>
  <c r="F81"/>
  <c r="F82"/>
  <c r="F61"/>
  <c r="F62"/>
  <c r="F63"/>
  <c r="F65"/>
  <c r="F66"/>
  <c r="F95"/>
  <c r="F97"/>
  <c r="F98"/>
  <c r="F99"/>
  <c r="F101"/>
  <c r="F103"/>
  <c r="F105"/>
  <c r="F106"/>
  <c r="L129" i="49"/>
  <c r="H132"/>
  <c r="D129"/>
  <c r="H129"/>
  <c r="L128"/>
  <c r="D128"/>
  <c r="H130"/>
  <c r="H128"/>
  <c r="L130"/>
  <c r="D131"/>
  <c r="D132"/>
  <c r="D130"/>
  <c r="P130" s="1"/>
  <c r="L131"/>
  <c r="P131" s="1"/>
  <c r="L132"/>
  <c r="K5" i="47"/>
  <c r="D128"/>
  <c r="H130"/>
  <c r="H131"/>
  <c r="H128"/>
  <c r="H132"/>
  <c r="L128"/>
  <c r="L132"/>
  <c r="L131"/>
  <c r="D132"/>
  <c r="D131"/>
  <c r="D5"/>
  <c r="G5" s="1"/>
  <c r="D129"/>
  <c r="L130"/>
  <c r="H129"/>
  <c r="D130"/>
  <c r="O5" i="41"/>
  <c r="Q5" s="1"/>
  <c r="O7"/>
  <c r="Q7" s="1"/>
  <c r="O9"/>
  <c r="Q9" s="1"/>
  <c r="O11"/>
  <c r="O57"/>
  <c r="Q57" s="1"/>
  <c r="O59"/>
  <c r="Q59" s="1"/>
  <c r="O83"/>
  <c r="Q83" s="1"/>
  <c r="O85"/>
  <c r="Q85" s="1"/>
  <c r="O87"/>
  <c r="Q87" s="1"/>
  <c r="O89"/>
  <c r="Q89" s="1"/>
  <c r="O91"/>
  <c r="Q91" s="1"/>
  <c r="O93"/>
  <c r="Q93" s="1"/>
  <c r="O95"/>
  <c r="Q95" s="1"/>
  <c r="O97"/>
  <c r="Q97" s="1"/>
  <c r="O99"/>
  <c r="Q99" s="1"/>
  <c r="O101"/>
  <c r="Q101" s="1"/>
  <c r="O103"/>
  <c r="Q103" s="1"/>
  <c r="O105"/>
  <c r="Q105" s="1"/>
  <c r="O107"/>
  <c r="Q107" s="1"/>
  <c r="O109"/>
  <c r="Q109" s="1"/>
  <c r="O111"/>
  <c r="Q111" s="1"/>
  <c r="O113"/>
  <c r="Q113" s="1"/>
  <c r="O115"/>
  <c r="Q115" s="1"/>
  <c r="O117"/>
  <c r="Q117" s="1"/>
  <c r="O119"/>
  <c r="Q119" s="1"/>
  <c r="O121"/>
  <c r="Q121" s="1"/>
  <c r="O123"/>
  <c r="Q123" s="1"/>
  <c r="O4"/>
  <c r="O13"/>
  <c r="Q13" s="1"/>
  <c r="O15"/>
  <c r="O17"/>
  <c r="Q17" s="1"/>
  <c r="O19"/>
  <c r="Q19" s="1"/>
  <c r="O21"/>
  <c r="Q21" s="1"/>
  <c r="O23"/>
  <c r="O25"/>
  <c r="Q25" s="1"/>
  <c r="O27"/>
  <c r="Q27" s="1"/>
  <c r="O29"/>
  <c r="Q29" s="1"/>
  <c r="O31"/>
  <c r="Q31" s="1"/>
  <c r="O33"/>
  <c r="Q33" s="1"/>
  <c r="O35"/>
  <c r="O37"/>
  <c r="O39"/>
  <c r="Q39" s="1"/>
  <c r="O41"/>
  <c r="Q41" s="1"/>
  <c r="O43"/>
  <c r="Q43" s="1"/>
  <c r="O45"/>
  <c r="Q45" s="1"/>
  <c r="O47"/>
  <c r="O49"/>
  <c r="Q49" s="1"/>
  <c r="O51"/>
  <c r="Q51" s="1"/>
  <c r="O53"/>
  <c r="O55"/>
  <c r="Q55" s="1"/>
  <c r="O61"/>
  <c r="Q61" s="1"/>
  <c r="O63"/>
  <c r="Q63" s="1"/>
  <c r="O65"/>
  <c r="Q65" s="1"/>
  <c r="O67"/>
  <c r="Q67" s="1"/>
  <c r="O69"/>
  <c r="Q69"/>
  <c r="O71"/>
  <c r="O73"/>
  <c r="Q73" s="1"/>
  <c r="O75"/>
  <c r="Q75"/>
  <c r="O77"/>
  <c r="O79"/>
  <c r="Q79" s="1"/>
  <c r="O81"/>
  <c r="M107" i="40"/>
  <c r="E108"/>
  <c r="M108"/>
  <c r="U108"/>
  <c r="E109"/>
  <c r="M109"/>
  <c r="U109"/>
  <c r="E110"/>
  <c r="M110"/>
  <c r="U110"/>
  <c r="E111"/>
  <c r="M111"/>
  <c r="U111"/>
  <c r="E112"/>
  <c r="M112"/>
  <c r="U112"/>
  <c r="E113"/>
  <c r="M113"/>
  <c r="U113"/>
  <c r="E114"/>
  <c r="M114"/>
  <c r="U114"/>
  <c r="E115"/>
  <c r="M115"/>
  <c r="U115"/>
  <c r="E116"/>
  <c r="M116"/>
  <c r="U116"/>
  <c r="E117"/>
  <c r="M117"/>
  <c r="U117"/>
  <c r="E118"/>
  <c r="M118"/>
  <c r="U118"/>
  <c r="E119"/>
  <c r="M119"/>
  <c r="U119"/>
  <c r="E120"/>
  <c r="M120"/>
  <c r="U120"/>
  <c r="E121"/>
  <c r="M121"/>
  <c r="U121"/>
  <c r="E122"/>
  <c r="M122"/>
  <c r="U122"/>
  <c r="E123"/>
  <c r="M123"/>
  <c r="U123"/>
  <c r="U55" i="41"/>
  <c r="E56"/>
  <c r="M56"/>
  <c r="U56"/>
  <c r="E57"/>
  <c r="M57"/>
  <c r="U57"/>
  <c r="E58"/>
  <c r="M58"/>
  <c r="U58"/>
  <c r="E59"/>
  <c r="M59"/>
  <c r="U59"/>
  <c r="E60"/>
  <c r="M60"/>
  <c r="U60"/>
  <c r="E61"/>
  <c r="M61"/>
  <c r="U61"/>
  <c r="E62"/>
  <c r="M62"/>
  <c r="U62"/>
  <c r="E63"/>
  <c r="M63"/>
  <c r="U63"/>
  <c r="E64"/>
  <c r="M64"/>
  <c r="U64"/>
  <c r="E65"/>
  <c r="M65"/>
  <c r="U65"/>
  <c r="E66"/>
  <c r="M66"/>
  <c r="U66"/>
  <c r="E67"/>
  <c r="M67"/>
  <c r="U67"/>
  <c r="E68"/>
  <c r="M68"/>
  <c r="U68"/>
  <c r="E69"/>
  <c r="M69"/>
  <c r="U69"/>
  <c r="E70"/>
  <c r="M70"/>
  <c r="U70"/>
  <c r="E71"/>
  <c r="M71"/>
  <c r="U71"/>
  <c r="E72"/>
  <c r="M72"/>
  <c r="U72"/>
  <c r="E73"/>
  <c r="M73"/>
  <c r="U73"/>
  <c r="E74"/>
  <c r="M74"/>
  <c r="U74"/>
  <c r="I4"/>
  <c r="Q4"/>
  <c r="Y4"/>
  <c r="I5"/>
  <c r="Y5"/>
  <c r="I6"/>
  <c r="Q6"/>
  <c r="Y6"/>
  <c r="I7"/>
  <c r="Y7"/>
  <c r="I8"/>
  <c r="Y8"/>
  <c r="I9"/>
  <c r="Y9"/>
  <c r="I10"/>
  <c r="Y10"/>
  <c r="I11"/>
  <c r="Q11"/>
  <c r="Y11"/>
  <c r="I12"/>
  <c r="Q12"/>
  <c r="Y12"/>
  <c r="I13"/>
  <c r="Y13"/>
  <c r="I14"/>
  <c r="Y14"/>
  <c r="I15"/>
  <c r="Q15"/>
  <c r="Y15"/>
  <c r="I16"/>
  <c r="Y16"/>
  <c r="I17"/>
  <c r="Y17"/>
  <c r="I18"/>
  <c r="Y18"/>
  <c r="I19"/>
  <c r="Y19"/>
  <c r="I20"/>
  <c r="Y20"/>
  <c r="I21"/>
  <c r="Y21"/>
  <c r="I22"/>
  <c r="Q22"/>
  <c r="Y22"/>
  <c r="I23"/>
  <c r="Q23"/>
  <c r="Y23"/>
  <c r="I24"/>
  <c r="Y24"/>
  <c r="I25"/>
  <c r="Y25"/>
  <c r="I26"/>
  <c r="Q26"/>
  <c r="Y26"/>
  <c r="I27"/>
  <c r="Y27"/>
  <c r="I28"/>
  <c r="Y28"/>
  <c r="I29"/>
  <c r="Y29"/>
  <c r="I30"/>
  <c r="Y30"/>
  <c r="I31"/>
  <c r="Y31"/>
  <c r="I32"/>
  <c r="Q32"/>
  <c r="Y32"/>
  <c r="I33"/>
  <c r="Y33"/>
  <c r="I34"/>
  <c r="Y34"/>
  <c r="I35"/>
  <c r="Q35"/>
  <c r="Y35"/>
  <c r="I36"/>
  <c r="Y36"/>
  <c r="I37"/>
  <c r="Q37"/>
  <c r="Y37"/>
  <c r="I38"/>
  <c r="Y38"/>
  <c r="I39"/>
  <c r="Y39"/>
  <c r="I40"/>
  <c r="Y40"/>
  <c r="I41"/>
  <c r="Y41"/>
  <c r="I42"/>
  <c r="Q42"/>
  <c r="Y42"/>
  <c r="I43"/>
  <c r="Y43"/>
  <c r="I44"/>
  <c r="Q44"/>
  <c r="Y44"/>
  <c r="I45"/>
  <c r="Y45"/>
  <c r="I46"/>
  <c r="Y46"/>
  <c r="I47"/>
  <c r="Q47"/>
  <c r="Y47"/>
  <c r="I48"/>
  <c r="Y48"/>
  <c r="I49"/>
  <c r="Y49"/>
  <c r="I50"/>
  <c r="Y50"/>
  <c r="I51"/>
  <c r="Y51"/>
  <c r="I52"/>
  <c r="Y52"/>
  <c r="I53"/>
  <c r="Q53"/>
  <c r="Y53"/>
  <c r="I54"/>
  <c r="Y54"/>
  <c r="I55"/>
  <c r="E75"/>
  <c r="M75"/>
  <c r="U75"/>
  <c r="E76"/>
  <c r="M76"/>
  <c r="U76"/>
  <c r="E77"/>
  <c r="M77"/>
  <c r="U77"/>
  <c r="E78"/>
  <c r="M78"/>
  <c r="U78"/>
  <c r="E79"/>
  <c r="M79"/>
  <c r="U79"/>
  <c r="E80"/>
  <c r="M80"/>
  <c r="U80"/>
  <c r="E81"/>
  <c r="M81"/>
  <c r="U81"/>
  <c r="E82"/>
  <c r="M82"/>
  <c r="U82"/>
  <c r="E83"/>
  <c r="M83"/>
  <c r="U83"/>
  <c r="E84"/>
  <c r="M84"/>
  <c r="U84"/>
  <c r="E85"/>
  <c r="M85"/>
  <c r="U85"/>
  <c r="E86"/>
  <c r="M86"/>
  <c r="U86"/>
  <c r="E87"/>
  <c r="M87"/>
  <c r="U87"/>
  <c r="E88"/>
  <c r="M88"/>
  <c r="U88"/>
  <c r="E89"/>
  <c r="M89"/>
  <c r="U89"/>
  <c r="E90"/>
  <c r="M90"/>
  <c r="U90"/>
  <c r="E91"/>
  <c r="M91"/>
  <c r="U91"/>
  <c r="E92"/>
  <c r="M92"/>
  <c r="U92"/>
  <c r="E93"/>
  <c r="M93"/>
  <c r="U93"/>
  <c r="E94"/>
  <c r="M94"/>
  <c r="U94"/>
  <c r="E95"/>
  <c r="M95"/>
  <c r="U95"/>
  <c r="E96"/>
  <c r="M96"/>
  <c r="U96"/>
  <c r="E97"/>
  <c r="M97"/>
  <c r="U97"/>
  <c r="E98"/>
  <c r="M98"/>
  <c r="U98"/>
  <c r="E99"/>
  <c r="M99"/>
  <c r="U99"/>
  <c r="E100"/>
  <c r="M100"/>
  <c r="U100"/>
  <c r="E101"/>
  <c r="M101"/>
  <c r="U101"/>
  <c r="E102"/>
  <c r="M102"/>
  <c r="U102"/>
  <c r="E103"/>
  <c r="M103"/>
  <c r="U103"/>
  <c r="E104"/>
  <c r="M104"/>
  <c r="U104"/>
  <c r="E105"/>
  <c r="M105"/>
  <c r="U105"/>
  <c r="E106"/>
  <c r="M106"/>
  <c r="U106"/>
  <c r="E107"/>
  <c r="M107"/>
  <c r="U107"/>
  <c r="E108"/>
  <c r="M108"/>
  <c r="U108"/>
  <c r="E109"/>
  <c r="M109"/>
  <c r="U109"/>
  <c r="E110"/>
  <c r="M110"/>
  <c r="U110"/>
  <c r="E111"/>
  <c r="M111"/>
  <c r="U111"/>
  <c r="E112"/>
  <c r="M112"/>
  <c r="U112"/>
  <c r="E113"/>
  <c r="M113"/>
  <c r="U113"/>
  <c r="E114"/>
  <c r="M114"/>
  <c r="U114"/>
  <c r="E115"/>
  <c r="M115"/>
  <c r="U115"/>
  <c r="E116"/>
  <c r="M116"/>
  <c r="U116"/>
  <c r="E117"/>
  <c r="M117"/>
  <c r="U117"/>
  <c r="E118"/>
  <c r="M118"/>
  <c r="U118"/>
  <c r="E119"/>
  <c r="M119"/>
  <c r="U119"/>
  <c r="E120"/>
  <c r="M120"/>
  <c r="U120"/>
  <c r="E121"/>
  <c r="M121"/>
  <c r="U121"/>
  <c r="E69" i="40"/>
  <c r="U80"/>
  <c r="E86"/>
  <c r="M91"/>
  <c r="E94"/>
  <c r="U96"/>
  <c r="M99"/>
  <c r="U100"/>
  <c r="E102"/>
  <c r="M103"/>
  <c r="E104"/>
  <c r="U104"/>
  <c r="M105"/>
  <c r="E106"/>
  <c r="U106"/>
  <c r="E107"/>
  <c r="I120" i="41"/>
  <c r="Y120"/>
  <c r="I121"/>
  <c r="Y121"/>
  <c r="I16" i="40"/>
  <c r="I23"/>
  <c r="Q30"/>
  <c r="Q37"/>
  <c r="Q44"/>
  <c r="Y51"/>
  <c r="I57"/>
  <c r="Q62"/>
  <c r="Y67"/>
  <c r="BE129" i="24"/>
  <c r="P129" s="1"/>
  <c r="BE131"/>
  <c r="P131" s="1"/>
  <c r="BE128"/>
  <c r="P128" s="1"/>
  <c r="BE130"/>
  <c r="P130" s="1"/>
  <c r="BE132"/>
  <c r="P132" s="1"/>
  <c r="M6" i="41"/>
  <c r="M69" i="40"/>
  <c r="E122" i="41"/>
  <c r="U4" i="40"/>
  <c r="E10"/>
  <c r="M15"/>
  <c r="U20"/>
  <c r="E26"/>
  <c r="M31"/>
  <c r="U36"/>
  <c r="E42"/>
  <c r="M47"/>
  <c r="U52"/>
  <c r="E58"/>
  <c r="U6" i="41"/>
  <c r="E7"/>
  <c r="M7"/>
  <c r="U7"/>
  <c r="E8"/>
  <c r="M8"/>
  <c r="U8"/>
  <c r="E9"/>
  <c r="M9"/>
  <c r="U9"/>
  <c r="E10"/>
  <c r="M10"/>
  <c r="U10"/>
  <c r="E11"/>
  <c r="M11"/>
  <c r="U11"/>
  <c r="E12"/>
  <c r="M12"/>
  <c r="U12"/>
  <c r="E13"/>
  <c r="M13"/>
  <c r="U13"/>
  <c r="E14"/>
  <c r="M14"/>
  <c r="U14"/>
  <c r="E15"/>
  <c r="M15"/>
  <c r="Q70" i="40"/>
  <c r="Y75"/>
  <c r="I81"/>
  <c r="I85"/>
  <c r="Y87"/>
  <c r="Q90"/>
  <c r="I93"/>
  <c r="Q94"/>
  <c r="Y95"/>
  <c r="I97"/>
  <c r="Q98"/>
  <c r="Y99"/>
  <c r="I101"/>
  <c r="Y101"/>
  <c r="Q102"/>
  <c r="I103"/>
  <c r="Y103"/>
  <c r="Q104"/>
  <c r="Y104"/>
  <c r="I105"/>
  <c r="Q105"/>
  <c r="Y105"/>
  <c r="I106"/>
  <c r="Q106"/>
  <c r="Y106"/>
  <c r="I107"/>
  <c r="Q107"/>
  <c r="Y107"/>
  <c r="I108"/>
  <c r="Q108"/>
  <c r="Y108"/>
  <c r="I109"/>
  <c r="Q109"/>
  <c r="Y109"/>
  <c r="I110"/>
  <c r="Q110"/>
  <c r="Y110"/>
  <c r="I111"/>
  <c r="Q111"/>
  <c r="Y111"/>
  <c r="I112"/>
  <c r="Q112"/>
  <c r="Y112"/>
  <c r="I113"/>
  <c r="Q113"/>
  <c r="Y113"/>
  <c r="I114"/>
  <c r="Q114"/>
  <c r="Y114"/>
  <c r="I115"/>
  <c r="Q115"/>
  <c r="Y115"/>
  <c r="I116"/>
  <c r="Q116"/>
  <c r="Y116"/>
  <c r="I117"/>
  <c r="Q117"/>
  <c r="Y117"/>
  <c r="I118"/>
  <c r="Q118"/>
  <c r="Y118"/>
  <c r="I119"/>
  <c r="Q119"/>
  <c r="Y119"/>
  <c r="I120"/>
  <c r="Q120"/>
  <c r="Y120"/>
  <c r="I121"/>
  <c r="Q121"/>
  <c r="Y121"/>
  <c r="I122"/>
  <c r="Q122"/>
  <c r="Y122"/>
  <c r="I123"/>
  <c r="Q123"/>
  <c r="Y123"/>
  <c r="E4" i="41"/>
  <c r="M4"/>
  <c r="U4"/>
  <c r="E5"/>
  <c r="M5"/>
  <c r="U5"/>
  <c r="E6"/>
  <c r="Y55"/>
  <c r="I56"/>
  <c r="Q56"/>
  <c r="Y56"/>
  <c r="I57"/>
  <c r="Y57"/>
  <c r="I58"/>
  <c r="Y58"/>
  <c r="I59"/>
  <c r="Y59"/>
  <c r="I60"/>
  <c r="Y60"/>
  <c r="I61"/>
  <c r="Y61"/>
  <c r="I62"/>
  <c r="Q62"/>
  <c r="Y62"/>
  <c r="I63"/>
  <c r="Y63"/>
  <c r="I64"/>
  <c r="Q64"/>
  <c r="Y64"/>
  <c r="I65"/>
  <c r="Y65"/>
  <c r="I66"/>
  <c r="Y66"/>
  <c r="I67"/>
  <c r="Y67"/>
  <c r="I68"/>
  <c r="Y68"/>
  <c r="I69"/>
  <c r="Y69"/>
  <c r="I70"/>
  <c r="Q70"/>
  <c r="Y70"/>
  <c r="I71"/>
  <c r="Q71"/>
  <c r="Y71"/>
  <c r="I72"/>
  <c r="Q72"/>
  <c r="Y72"/>
  <c r="I73"/>
  <c r="Y73"/>
  <c r="I74"/>
  <c r="M122"/>
  <c r="U122"/>
  <c r="E123"/>
  <c r="M123"/>
  <c r="U123"/>
  <c r="I122"/>
  <c r="Y122"/>
  <c r="I123"/>
  <c r="Y123"/>
  <c r="K69" i="79"/>
  <c r="U15" i="41"/>
  <c r="E16"/>
  <c r="M16"/>
  <c r="U16"/>
  <c r="E17"/>
  <c r="M17"/>
  <c r="U17"/>
  <c r="E18"/>
  <c r="M18"/>
  <c r="U18"/>
  <c r="E19"/>
  <c r="M19"/>
  <c r="U19"/>
  <c r="E20"/>
  <c r="M20"/>
  <c r="U20"/>
  <c r="E21"/>
  <c r="M21"/>
  <c r="U21"/>
  <c r="E22"/>
  <c r="M22"/>
  <c r="U22"/>
  <c r="E23"/>
  <c r="M23"/>
  <c r="U23"/>
  <c r="E24"/>
  <c r="M24"/>
  <c r="U24"/>
  <c r="E25"/>
  <c r="M25"/>
  <c r="U25"/>
  <c r="E26"/>
  <c r="M26"/>
  <c r="U26"/>
  <c r="E27"/>
  <c r="M27"/>
  <c r="U27"/>
  <c r="E28"/>
  <c r="M28"/>
  <c r="U28"/>
  <c r="E29"/>
  <c r="M29"/>
  <c r="U29"/>
  <c r="E30"/>
  <c r="M30"/>
  <c r="U30"/>
  <c r="E31"/>
  <c r="M31"/>
  <c r="U31"/>
  <c r="E32"/>
  <c r="M32"/>
  <c r="U32"/>
  <c r="E33"/>
  <c r="M33"/>
  <c r="U33"/>
  <c r="E34"/>
  <c r="M34"/>
  <c r="U34"/>
  <c r="E35"/>
  <c r="M35"/>
  <c r="U35"/>
  <c r="E36"/>
  <c r="M36"/>
  <c r="U36"/>
  <c r="E37"/>
  <c r="M37"/>
  <c r="U37"/>
  <c r="E38"/>
  <c r="M38"/>
  <c r="U38"/>
  <c r="E39"/>
  <c r="M39"/>
  <c r="U39"/>
  <c r="E40"/>
  <c r="M40"/>
  <c r="U40"/>
  <c r="E41"/>
  <c r="M41"/>
  <c r="U41"/>
  <c r="E42"/>
  <c r="M42"/>
  <c r="U42"/>
  <c r="E43"/>
  <c r="M43"/>
  <c r="U43"/>
  <c r="E44"/>
  <c r="M44"/>
  <c r="U44"/>
  <c r="E45"/>
  <c r="M45"/>
  <c r="U45"/>
  <c r="E46"/>
  <c r="M46"/>
  <c r="U46"/>
  <c r="E47"/>
  <c r="M47"/>
  <c r="U47"/>
  <c r="E48"/>
  <c r="M48"/>
  <c r="U48"/>
  <c r="E49"/>
  <c r="M49"/>
  <c r="U49"/>
  <c r="E50"/>
  <c r="M50"/>
  <c r="U50"/>
  <c r="E51"/>
  <c r="M51"/>
  <c r="U51"/>
  <c r="E52"/>
  <c r="M52"/>
  <c r="U52"/>
  <c r="E53"/>
  <c r="M53"/>
  <c r="U53"/>
  <c r="E54"/>
  <c r="M54"/>
  <c r="U54"/>
  <c r="E55"/>
  <c r="M55"/>
  <c r="Y74"/>
  <c r="I75"/>
  <c r="Y75"/>
  <c r="I76"/>
  <c r="Q76"/>
  <c r="Y76"/>
  <c r="I77"/>
  <c r="Q77"/>
  <c r="Y77"/>
  <c r="I78"/>
  <c r="Q78"/>
  <c r="Y78"/>
  <c r="I79"/>
  <c r="Y79"/>
  <c r="I80"/>
  <c r="Q80"/>
  <c r="Y80"/>
  <c r="I81"/>
  <c r="Q81"/>
  <c r="Y81"/>
  <c r="I82"/>
  <c r="Y82"/>
  <c r="I83"/>
  <c r="Y83"/>
  <c r="I84"/>
  <c r="Q84"/>
  <c r="Y84"/>
  <c r="I85"/>
  <c r="Y85"/>
  <c r="I86"/>
  <c r="Y86"/>
  <c r="I87"/>
  <c r="Y87"/>
  <c r="I88"/>
  <c r="Q88"/>
  <c r="Y88"/>
  <c r="I89"/>
  <c r="Y89"/>
  <c r="I90"/>
  <c r="Y90"/>
  <c r="I91"/>
  <c r="Y91"/>
  <c r="I92"/>
  <c r="Q92"/>
  <c r="Y92"/>
  <c r="I93"/>
  <c r="Y93"/>
  <c r="I94"/>
  <c r="Y94"/>
  <c r="I95"/>
  <c r="Y95"/>
  <c r="I96"/>
  <c r="Q96"/>
  <c r="Y96"/>
  <c r="I97"/>
  <c r="Y97"/>
  <c r="I98"/>
  <c r="Y98"/>
  <c r="I99"/>
  <c r="Y99"/>
  <c r="I100"/>
  <c r="Q100"/>
  <c r="Y100"/>
  <c r="I101"/>
  <c r="Y101"/>
  <c r="I102"/>
  <c r="Y102"/>
  <c r="I103"/>
  <c r="Y103"/>
  <c r="I104"/>
  <c r="Q104"/>
  <c r="Y104"/>
  <c r="I105"/>
  <c r="Y105"/>
  <c r="I106"/>
  <c r="Y106"/>
  <c r="I107"/>
  <c r="Y107"/>
  <c r="I108"/>
  <c r="Q108"/>
  <c r="Y108"/>
  <c r="I109"/>
  <c r="Y109"/>
  <c r="I110"/>
  <c r="Y110"/>
  <c r="I111"/>
  <c r="Y111"/>
  <c r="I112"/>
  <c r="Q112"/>
  <c r="Y112"/>
  <c r="I113"/>
  <c r="Y113"/>
  <c r="I114"/>
  <c r="Y114"/>
  <c r="I115"/>
  <c r="Y115"/>
  <c r="I116"/>
  <c r="Q116"/>
  <c r="Y116"/>
  <c r="I117"/>
  <c r="Y117"/>
  <c r="I118"/>
  <c r="Y118"/>
  <c r="I119"/>
  <c r="Y119"/>
  <c r="F20" i="62"/>
  <c r="F21"/>
  <c r="F33"/>
  <c r="F34"/>
  <c r="F35"/>
  <c r="F40"/>
  <c r="F41"/>
  <c r="F42"/>
  <c r="F43"/>
  <c r="F84"/>
  <c r="F101"/>
  <c r="F102"/>
  <c r="F123"/>
  <c r="F27"/>
  <c r="F90"/>
  <c r="F91"/>
  <c r="F115"/>
  <c r="F8"/>
  <c r="F10"/>
  <c r="F11"/>
  <c r="F45"/>
  <c r="F52"/>
  <c r="F53"/>
  <c r="F64"/>
  <c r="F65"/>
  <c r="F66"/>
  <c r="F67"/>
  <c r="F72"/>
  <c r="F73"/>
  <c r="F74"/>
  <c r="F75"/>
  <c r="F107"/>
  <c r="F99"/>
  <c r="F109"/>
  <c r="F110"/>
  <c r="F124"/>
  <c r="F6"/>
  <c r="F7"/>
  <c r="F17"/>
  <c r="F22"/>
  <c r="F23"/>
  <c r="F37"/>
  <c r="F38"/>
  <c r="F39"/>
  <c r="F54"/>
  <c r="F55"/>
  <c r="F69"/>
  <c r="F70"/>
  <c r="F71"/>
  <c r="F85"/>
  <c r="F86"/>
  <c r="F87"/>
  <c r="F13"/>
  <c r="F121"/>
  <c r="F122"/>
  <c r="F9"/>
  <c r="F15"/>
  <c r="F25"/>
  <c r="F29"/>
  <c r="F30"/>
  <c r="F31"/>
  <c r="F46"/>
  <c r="F47"/>
  <c r="F61"/>
  <c r="F62"/>
  <c r="F63"/>
  <c r="F77"/>
  <c r="F78"/>
  <c r="F79"/>
  <c r="F93"/>
  <c r="F94"/>
  <c r="F95"/>
  <c r="F117"/>
  <c r="M26" i="39"/>
  <c r="U37"/>
  <c r="M40"/>
  <c r="U48"/>
  <c r="U51"/>
  <c r="U61"/>
  <c r="E91"/>
  <c r="E94"/>
  <c r="M102"/>
  <c r="E105"/>
  <c r="I48"/>
  <c r="Q50"/>
  <c r="Y51"/>
  <c r="Q59"/>
  <c r="Y61"/>
  <c r="Y69"/>
  <c r="I72"/>
  <c r="Q78"/>
  <c r="I81"/>
  <c r="Q83"/>
  <c r="Q91"/>
  <c r="Y93"/>
  <c r="Q101"/>
  <c r="Y103"/>
  <c r="N45" i="79"/>
  <c r="O45" s="1"/>
  <c r="N53"/>
  <c r="O53" s="1"/>
  <c r="F122" i="61"/>
  <c r="N69" i="79"/>
  <c r="O69" s="1"/>
  <c r="F36" i="61"/>
  <c r="F39"/>
  <c r="F40"/>
  <c r="F41"/>
  <c r="F42"/>
  <c r="F55"/>
  <c r="F56"/>
  <c r="F65"/>
  <c r="F66"/>
  <c r="N68" i="79" s="1"/>
  <c r="O68" s="1"/>
  <c r="F84" i="61"/>
  <c r="F85"/>
  <c r="F117"/>
  <c r="N29" i="79"/>
  <c r="N88"/>
  <c r="O88" s="1"/>
  <c r="N104"/>
  <c r="O104" s="1"/>
  <c r="N120"/>
  <c r="O120" s="1"/>
  <c r="N76"/>
  <c r="N77"/>
  <c r="O77" s="1"/>
  <c r="F22" i="61"/>
  <c r="F25"/>
  <c r="F26"/>
  <c r="F44"/>
  <c r="N46" i="79" s="1"/>
  <c r="O46" s="1"/>
  <c r="F49" i="61"/>
  <c r="F50"/>
  <c r="F70"/>
  <c r="N72" i="79" s="1"/>
  <c r="F90" i="61"/>
  <c r="F91"/>
  <c r="N10" i="79"/>
  <c r="O10" s="1"/>
  <c r="N49"/>
  <c r="O49" s="1"/>
  <c r="N73"/>
  <c r="N112"/>
  <c r="O112" s="1"/>
  <c r="F6" i="61"/>
  <c r="F7"/>
  <c r="F29"/>
  <c r="F30"/>
  <c r="F37"/>
  <c r="F38"/>
  <c r="F45"/>
  <c r="F46"/>
  <c r="N48" i="79" s="1"/>
  <c r="O48" s="1"/>
  <c r="F52" i="61"/>
  <c r="F57"/>
  <c r="F58"/>
  <c r="F87"/>
  <c r="N89" i="79" s="1"/>
  <c r="F92" i="61"/>
  <c r="F93"/>
  <c r="F107"/>
  <c r="F108"/>
  <c r="F109"/>
  <c r="F124"/>
  <c r="N92" i="79"/>
  <c r="O92" s="1"/>
  <c r="N108"/>
  <c r="O108" s="1"/>
  <c r="N124"/>
  <c r="F17" i="61"/>
  <c r="F18"/>
  <c r="F19"/>
  <c r="N21" i="79" s="1"/>
  <c r="F64" i="61"/>
  <c r="F83"/>
  <c r="F103"/>
  <c r="F104"/>
  <c r="N106" i="79" s="1"/>
  <c r="O106" s="1"/>
  <c r="F105" i="61"/>
  <c r="F119"/>
  <c r="F120"/>
  <c r="F121"/>
  <c r="N123" i="79" s="1"/>
  <c r="N33"/>
  <c r="N61"/>
  <c r="O61" s="1"/>
  <c r="F60" i="61"/>
  <c r="N14" i="79"/>
  <c r="O14" s="1"/>
  <c r="N22"/>
  <c r="N57"/>
  <c r="N80"/>
  <c r="N81"/>
  <c r="O81" s="1"/>
  <c r="F9" i="61"/>
  <c r="F10"/>
  <c r="F11"/>
  <c r="N13" i="79" s="1"/>
  <c r="F46" i="60"/>
  <c r="F61"/>
  <c r="F62"/>
  <c r="F37"/>
  <c r="N39" i="79" s="1"/>
  <c r="F39" i="60"/>
  <c r="N41" i="79" s="1"/>
  <c r="O41" s="1"/>
  <c r="F40" i="60"/>
  <c r="N42" i="79"/>
  <c r="O42" s="1"/>
  <c r="F41" i="60"/>
  <c r="F42"/>
  <c r="N44" i="79" s="1"/>
  <c r="F23" i="60"/>
  <c r="N25" i="79" s="1"/>
  <c r="F21" i="60"/>
  <c r="F22"/>
  <c r="F24"/>
  <c r="N26" i="79" s="1"/>
  <c r="F25" i="60"/>
  <c r="N27" i="79"/>
  <c r="O27" s="1"/>
  <c r="F26" i="60"/>
  <c r="F13"/>
  <c r="F14"/>
  <c r="F32"/>
  <c r="N34" i="79" s="1"/>
  <c r="F38" i="60"/>
  <c r="F48"/>
  <c r="N50" i="79"/>
  <c r="O50" s="1"/>
  <c r="F124" i="60"/>
  <c r="F28"/>
  <c r="N30" i="79" s="1"/>
  <c r="F60" i="60"/>
  <c r="F115"/>
  <c r="F56"/>
  <c r="F94"/>
  <c r="N96" i="79"/>
  <c r="F111" i="60"/>
  <c r="F36"/>
  <c r="N38" i="79" s="1"/>
  <c r="O38" s="1"/>
  <c r="F52" i="60"/>
  <c r="N54" i="79" s="1"/>
  <c r="F68" i="60"/>
  <c r="F100"/>
  <c r="N102" i="79" s="1"/>
  <c r="F101" i="60"/>
  <c r="F107"/>
  <c r="N109" i="79" s="1"/>
  <c r="M6"/>
  <c r="M65" i="39"/>
  <c r="U112"/>
  <c r="M115"/>
  <c r="M123"/>
  <c r="I10"/>
  <c r="Y11"/>
  <c r="Y15"/>
  <c r="Q17"/>
  <c r="I22"/>
  <c r="I26"/>
  <c r="Y27"/>
  <c r="Y29"/>
  <c r="Q32"/>
  <c r="I38"/>
  <c r="U54"/>
  <c r="E72"/>
  <c r="E80"/>
  <c r="U82"/>
  <c r="I85"/>
  <c r="I112"/>
  <c r="Q114"/>
  <c r="Y115"/>
  <c r="Q123"/>
  <c r="E14"/>
  <c r="Y67"/>
  <c r="Q42"/>
  <c r="M97"/>
  <c r="N32" i="79"/>
  <c r="O32" s="1"/>
  <c r="N11"/>
  <c r="O11" s="1"/>
  <c r="N12"/>
  <c r="O12" s="1"/>
  <c r="N19"/>
  <c r="O19" s="1"/>
  <c r="N20"/>
  <c r="O20" s="1"/>
  <c r="N28"/>
  <c r="N43"/>
  <c r="O43" s="1"/>
  <c r="N59"/>
  <c r="N60"/>
  <c r="O60" s="1"/>
  <c r="N70"/>
  <c r="N74"/>
  <c r="O74" s="1"/>
  <c r="N75"/>
  <c r="N90"/>
  <c r="O90" s="1"/>
  <c r="N91"/>
  <c r="O91" s="1"/>
  <c r="N93"/>
  <c r="O93" s="1"/>
  <c r="N103"/>
  <c r="N114"/>
  <c r="N115"/>
  <c r="O115" s="1"/>
  <c r="N125"/>
  <c r="O125" s="1"/>
  <c r="N63"/>
  <c r="O63" s="1"/>
  <c r="N78"/>
  <c r="O78" s="1"/>
  <c r="N113"/>
  <c r="O113" s="1"/>
  <c r="N119"/>
  <c r="O119" s="1"/>
  <c r="N40"/>
  <c r="O40" s="1"/>
  <c r="N55"/>
  <c r="N56"/>
  <c r="O56" s="1"/>
  <c r="N71"/>
  <c r="O71" s="1"/>
  <c r="N86"/>
  <c r="N87"/>
  <c r="N101"/>
  <c r="O101" s="1"/>
  <c r="N110"/>
  <c r="O110" s="1"/>
  <c r="N111"/>
  <c r="N126"/>
  <c r="O126" s="1"/>
  <c r="N31"/>
  <c r="N47"/>
  <c r="N58"/>
  <c r="O58" s="1"/>
  <c r="N64"/>
  <c r="O64" s="1"/>
  <c r="N79"/>
  <c r="O79" s="1"/>
  <c r="N94"/>
  <c r="N95"/>
  <c r="O95" s="1"/>
  <c r="N97"/>
  <c r="O97" s="1"/>
  <c r="N105"/>
  <c r="O105" s="1"/>
  <c r="N118"/>
  <c r="O118" s="1"/>
  <c r="N8"/>
  <c r="O8" s="1"/>
  <c r="N9"/>
  <c r="O9" s="1"/>
  <c r="N15"/>
  <c r="O15" s="1"/>
  <c r="N16"/>
  <c r="O16" s="1"/>
  <c r="N17"/>
  <c r="O17" s="1"/>
  <c r="N23"/>
  <c r="O23" s="1"/>
  <c r="N24"/>
  <c r="O24" s="1"/>
  <c r="N35"/>
  <c r="O35" s="1"/>
  <c r="N36"/>
  <c r="N51"/>
  <c r="O51" s="1"/>
  <c r="N52"/>
  <c r="O52"/>
  <c r="N62"/>
  <c r="O62" s="1"/>
  <c r="N66"/>
  <c r="O66" s="1"/>
  <c r="N67"/>
  <c r="O67" s="1"/>
  <c r="N82"/>
  <c r="O82" s="1"/>
  <c r="N83"/>
  <c r="O83" s="1"/>
  <c r="N85"/>
  <c r="O85" s="1"/>
  <c r="N98"/>
  <c r="O98"/>
  <c r="N99"/>
  <c r="O99" s="1"/>
  <c r="N107"/>
  <c r="O107" s="1"/>
  <c r="N117"/>
  <c r="O117" s="1"/>
  <c r="N121"/>
  <c r="O121" s="1"/>
  <c r="N122"/>
  <c r="O122" s="1"/>
  <c r="O73"/>
  <c r="O37"/>
  <c r="O84"/>
  <c r="O100"/>
  <c r="O124"/>
  <c r="O22"/>
  <c r="O33"/>
  <c r="O65"/>
  <c r="F4" i="60"/>
  <c r="N7" i="79"/>
  <c r="O7" s="1"/>
  <c r="O76"/>
  <c r="O55"/>
  <c r="Q5" i="39"/>
  <c r="U24"/>
  <c r="E32"/>
  <c r="U34"/>
  <c r="I37"/>
  <c r="Y43"/>
  <c r="I46"/>
  <c r="E54"/>
  <c r="E57"/>
  <c r="Y64"/>
  <c r="I67"/>
  <c r="E75"/>
  <c r="U77"/>
  <c r="Q85"/>
  <c r="Y87"/>
  <c r="E96"/>
  <c r="E99"/>
  <c r="Y106"/>
  <c r="I109"/>
  <c r="U110"/>
  <c r="M118"/>
  <c r="E121"/>
  <c r="K118" i="79"/>
  <c r="U11" i="39"/>
  <c r="M22"/>
  <c r="M29"/>
  <c r="Y31"/>
  <c r="Y40"/>
  <c r="Q9"/>
  <c r="Y33"/>
  <c r="I35"/>
  <c r="U43"/>
  <c r="M46"/>
  <c r="I54"/>
  <c r="Q56"/>
  <c r="U64"/>
  <c r="U67"/>
  <c r="Q75"/>
  <c r="Y77"/>
  <c r="U85"/>
  <c r="M88"/>
  <c r="I96"/>
  <c r="Q98"/>
  <c r="E100"/>
  <c r="U107"/>
  <c r="Y111"/>
  <c r="Q118"/>
  <c r="Y120"/>
  <c r="K85" i="79"/>
  <c r="K86"/>
  <c r="K87"/>
  <c r="F17" i="56"/>
  <c r="J18" i="79"/>
  <c r="K18"/>
  <c r="F18" i="56"/>
  <c r="J19" i="79" s="1"/>
  <c r="K19" s="1"/>
  <c r="F19" i="56"/>
  <c r="J20" i="79"/>
  <c r="K20" s="1"/>
  <c r="K29"/>
  <c r="F33" i="56"/>
  <c r="J34" i="79"/>
  <c r="K34" s="1"/>
  <c r="F34" i="56"/>
  <c r="J35" i="79"/>
  <c r="K35" s="1"/>
  <c r="K40"/>
  <c r="F41" i="56"/>
  <c r="J42" i="79" s="1"/>
  <c r="F42" i="56"/>
  <c r="J43" i="79"/>
  <c r="K43" s="1"/>
  <c r="K48"/>
  <c r="F49" i="56"/>
  <c r="J50" i="79"/>
  <c r="K50" s="1"/>
  <c r="F50" i="56"/>
  <c r="J51" i="79"/>
  <c r="F57" i="56"/>
  <c r="J58" i="79" s="1"/>
  <c r="F58" i="56"/>
  <c r="J59" i="79"/>
  <c r="K59" s="1"/>
  <c r="K64"/>
  <c r="F65" i="56"/>
  <c r="J66" i="79"/>
  <c r="K66" s="1"/>
  <c r="F66" i="56"/>
  <c r="J67" i="79"/>
  <c r="F80" i="56"/>
  <c r="J81" i="79" s="1"/>
  <c r="F81" i="56"/>
  <c r="J82" i="79"/>
  <c r="K82" s="1"/>
  <c r="F82" i="56"/>
  <c r="J83" i="79"/>
  <c r="V83" s="1"/>
  <c r="K92"/>
  <c r="F96" i="56"/>
  <c r="J97" i="79" s="1"/>
  <c r="K97" s="1"/>
  <c r="F97" i="56"/>
  <c r="J98" i="79"/>
  <c r="K98" s="1"/>
  <c r="F98" i="56"/>
  <c r="J99" i="79"/>
  <c r="F113" i="56"/>
  <c r="J114" i="79" s="1"/>
  <c r="K114" s="1"/>
  <c r="F114" i="56"/>
  <c r="J115" i="79" s="1"/>
  <c r="K124"/>
  <c r="F124" i="56"/>
  <c r="J125" i="79" s="1"/>
  <c r="K125" s="1"/>
  <c r="F9" i="56"/>
  <c r="J10" i="79"/>
  <c r="K10" s="1"/>
  <c r="F10" i="56"/>
  <c r="J11" i="79" s="1"/>
  <c r="F11" i="56"/>
  <c r="J12" i="79"/>
  <c r="K12" s="1"/>
  <c r="F22" i="56"/>
  <c r="J23" i="79"/>
  <c r="K23" s="1"/>
  <c r="F25" i="56"/>
  <c r="J26" i="79" s="1"/>
  <c r="F26" i="56"/>
  <c r="J27" i="79"/>
  <c r="K27" s="1"/>
  <c r="F27" i="56"/>
  <c r="J28" i="79" s="1"/>
  <c r="F37" i="56"/>
  <c r="J38" i="79" s="1"/>
  <c r="K38" s="1"/>
  <c r="F38" i="56"/>
  <c r="J39" i="79"/>
  <c r="K39"/>
  <c r="F45" i="56"/>
  <c r="J46" i="79" s="1"/>
  <c r="F46" i="56"/>
  <c r="J47" i="79"/>
  <c r="K47" s="1"/>
  <c r="F53" i="56"/>
  <c r="J54" i="79"/>
  <c r="K54" s="1"/>
  <c r="F54" i="56"/>
  <c r="J55" i="79" s="1"/>
  <c r="F61" i="56"/>
  <c r="J62" i="79"/>
  <c r="F62" i="56"/>
  <c r="J63" i="79" s="1"/>
  <c r="F72" i="56"/>
  <c r="J73" i="79" s="1"/>
  <c r="F73" i="56"/>
  <c r="J74" i="79"/>
  <c r="K74" s="1"/>
  <c r="F74" i="56"/>
  <c r="J75" i="79" s="1"/>
  <c r="F88" i="56"/>
  <c r="J89" i="79"/>
  <c r="K89" s="1"/>
  <c r="F89" i="56"/>
  <c r="J90" i="79"/>
  <c r="K90" s="1"/>
  <c r="F90" i="56"/>
  <c r="J91" i="79" s="1"/>
  <c r="F104" i="56"/>
  <c r="J105" i="79"/>
  <c r="F105" i="56"/>
  <c r="J106" i="79"/>
  <c r="K106"/>
  <c r="F106" i="56"/>
  <c r="J107" i="79" s="1"/>
  <c r="F116" i="56"/>
  <c r="J117" i="79"/>
  <c r="K117"/>
  <c r="F121" i="56"/>
  <c r="J122" i="79"/>
  <c r="K122" s="1"/>
  <c r="F122" i="56"/>
  <c r="J123" i="79"/>
  <c r="K123" s="1"/>
  <c r="K17"/>
  <c r="K30"/>
  <c r="K31"/>
  <c r="K32"/>
  <c r="K33"/>
  <c r="K41"/>
  <c r="K49"/>
  <c r="K57"/>
  <c r="K65"/>
  <c r="K80"/>
  <c r="K93"/>
  <c r="K94"/>
  <c r="K95"/>
  <c r="K96"/>
  <c r="K112"/>
  <c r="K126"/>
  <c r="K8"/>
  <c r="K22"/>
  <c r="K24"/>
  <c r="K72"/>
  <c r="K104"/>
  <c r="K119"/>
  <c r="K21"/>
  <c r="K36"/>
  <c r="K44"/>
  <c r="K60"/>
  <c r="K68"/>
  <c r="K84"/>
  <c r="K116"/>
  <c r="F6" i="56"/>
  <c r="J7" i="79" s="1"/>
  <c r="I9" i="39"/>
  <c r="M14"/>
  <c r="Q19"/>
  <c r="U23"/>
  <c r="Q31"/>
  <c r="M34"/>
  <c r="U38"/>
  <c r="Q41"/>
  <c r="M44"/>
  <c r="I47"/>
  <c r="E50"/>
  <c r="Y52"/>
  <c r="U55"/>
  <c r="U58"/>
  <c r="Y62"/>
  <c r="U65"/>
  <c r="Q68"/>
  <c r="E71"/>
  <c r="Y73"/>
  <c r="E77"/>
  <c r="M81"/>
  <c r="I84"/>
  <c r="E87"/>
  <c r="Y89"/>
  <c r="U92"/>
  <c r="Q95"/>
  <c r="I100"/>
  <c r="E103"/>
  <c r="Y105"/>
  <c r="U108"/>
  <c r="Q111"/>
  <c r="M114"/>
  <c r="U118"/>
  <c r="Q121"/>
  <c r="U4"/>
  <c r="Y12"/>
  <c r="Q14"/>
  <c r="U19"/>
  <c r="Y24"/>
  <c r="E29"/>
  <c r="I39"/>
  <c r="E42"/>
  <c r="Y44"/>
  <c r="Q49"/>
  <c r="M52"/>
  <c r="I55"/>
  <c r="E58"/>
  <c r="Y60"/>
  <c r="U63"/>
  <c r="U66"/>
  <c r="Y70"/>
  <c r="U73"/>
  <c r="Q76"/>
  <c r="U79"/>
  <c r="E84"/>
  <c r="Y86"/>
  <c r="U89"/>
  <c r="Q92"/>
  <c r="M95"/>
  <c r="I98"/>
  <c r="E101"/>
  <c r="E104"/>
  <c r="I108"/>
  <c r="E111"/>
  <c r="Y113"/>
  <c r="U116"/>
  <c r="Q119"/>
  <c r="M122"/>
  <c r="F11" i="55"/>
  <c r="F12"/>
  <c r="F35"/>
  <c r="F45"/>
  <c r="F50"/>
  <c r="F51"/>
  <c r="F61"/>
  <c r="F62"/>
  <c r="F73"/>
  <c r="F76"/>
  <c r="F78"/>
  <c r="F94"/>
  <c r="F110"/>
  <c r="F7"/>
  <c r="F104"/>
  <c r="F105"/>
  <c r="F106"/>
  <c r="F19"/>
  <c r="F20"/>
  <c r="F37"/>
  <c r="F42"/>
  <c r="F43"/>
  <c r="F70"/>
  <c r="F84"/>
  <c r="F86"/>
  <c r="F102"/>
  <c r="F123"/>
  <c r="F16"/>
  <c r="F33"/>
  <c r="F53"/>
  <c r="F54"/>
  <c r="F55"/>
  <c r="F64"/>
  <c r="F66"/>
  <c r="F81"/>
  <c r="F82"/>
  <c r="F98"/>
  <c r="F113"/>
  <c r="F115" i="79" s="1"/>
  <c r="F114" i="55"/>
  <c r="Q4" i="39"/>
  <c r="E8"/>
  <c r="E11"/>
  <c r="I15"/>
  <c r="U18"/>
  <c r="U21"/>
  <c r="Y25"/>
  <c r="E4"/>
  <c r="E7"/>
  <c r="I11"/>
  <c r="U14"/>
  <c r="U17"/>
  <c r="Y21"/>
  <c r="M25"/>
  <c r="E6" i="79"/>
  <c r="E7"/>
  <c r="E8"/>
  <c r="E9"/>
  <c r="E10"/>
  <c r="E11"/>
  <c r="E12"/>
  <c r="E13"/>
  <c r="E14"/>
  <c r="G14" s="1"/>
  <c r="E15"/>
  <c r="E16"/>
  <c r="E17"/>
  <c r="E18"/>
  <c r="E19"/>
  <c r="E20"/>
  <c r="E21"/>
  <c r="E22"/>
  <c r="E23"/>
  <c r="E24"/>
  <c r="E25"/>
  <c r="E26"/>
  <c r="G26" s="1"/>
  <c r="S26" s="1"/>
  <c r="E27"/>
  <c r="E28"/>
  <c r="E29"/>
  <c r="E30"/>
  <c r="E31"/>
  <c r="E32"/>
  <c r="G32" s="1"/>
  <c r="R32" s="1"/>
  <c r="E33"/>
  <c r="E34"/>
  <c r="T34" s="1"/>
  <c r="E35"/>
  <c r="E36"/>
  <c r="E37"/>
  <c r="E38"/>
  <c r="E39"/>
  <c r="E40"/>
  <c r="E41"/>
  <c r="E42"/>
  <c r="E43"/>
  <c r="E44"/>
  <c r="E45"/>
  <c r="E46"/>
  <c r="R46" s="1"/>
  <c r="E47"/>
  <c r="E48"/>
  <c r="E49"/>
  <c r="E50"/>
  <c r="E51"/>
  <c r="E52"/>
  <c r="E53"/>
  <c r="E54"/>
  <c r="G54" s="1"/>
  <c r="E55"/>
  <c r="E56"/>
  <c r="E57"/>
  <c r="E58"/>
  <c r="G58" s="1"/>
  <c r="T58" s="1"/>
  <c r="E59"/>
  <c r="E60"/>
  <c r="E61"/>
  <c r="E86"/>
  <c r="E87"/>
  <c r="E88"/>
  <c r="E89"/>
  <c r="E90"/>
  <c r="E91"/>
  <c r="E92"/>
  <c r="E93"/>
  <c r="E82"/>
  <c r="G82" s="1"/>
  <c r="S82" s="1"/>
  <c r="E83"/>
  <c r="E84"/>
  <c r="E85"/>
  <c r="F98" i="54"/>
  <c r="E70" i="79"/>
  <c r="E71"/>
  <c r="E72"/>
  <c r="E73"/>
  <c r="E74"/>
  <c r="E75"/>
  <c r="E76"/>
  <c r="E77"/>
  <c r="R77" s="1"/>
  <c r="E78"/>
  <c r="E79"/>
  <c r="G79" s="1"/>
  <c r="E80"/>
  <c r="E81"/>
  <c r="E110"/>
  <c r="E111"/>
  <c r="E112"/>
  <c r="E113"/>
  <c r="G113" s="1"/>
  <c r="R113" s="1"/>
  <c r="E114"/>
  <c r="E115"/>
  <c r="E116"/>
  <c r="E117"/>
  <c r="E118"/>
  <c r="E119"/>
  <c r="E120"/>
  <c r="E121"/>
  <c r="E122"/>
  <c r="E123"/>
  <c r="G123" s="1"/>
  <c r="Q123" s="1"/>
  <c r="E124"/>
  <c r="E125"/>
  <c r="G125" s="1"/>
  <c r="Q125" s="1"/>
  <c r="E126"/>
  <c r="D4" i="54"/>
  <c r="F5"/>
  <c r="F6"/>
  <c r="F8" i="79" s="1"/>
  <c r="F9" i="54"/>
  <c r="F10"/>
  <c r="F14"/>
  <c r="F16"/>
  <c r="F18" i="79" s="1"/>
  <c r="F20" i="54"/>
  <c r="F24"/>
  <c r="F28"/>
  <c r="F29"/>
  <c r="F31" i="79" s="1"/>
  <c r="F32" i="54"/>
  <c r="F36"/>
  <c r="F37"/>
  <c r="F39"/>
  <c r="F40"/>
  <c r="F41"/>
  <c r="F42"/>
  <c r="F44"/>
  <c r="F48"/>
  <c r="F49"/>
  <c r="F52"/>
  <c r="F53"/>
  <c r="F54"/>
  <c r="F58"/>
  <c r="F59"/>
  <c r="F62"/>
  <c r="F64" i="79" s="1"/>
  <c r="F63" i="54"/>
  <c r="F65"/>
  <c r="F70"/>
  <c r="F71"/>
  <c r="F72"/>
  <c r="F74"/>
  <c r="F78"/>
  <c r="F79"/>
  <c r="F81" i="79" s="1"/>
  <c r="F80" i="54"/>
  <c r="F81"/>
  <c r="F86"/>
  <c r="F87"/>
  <c r="F89" i="79" s="1"/>
  <c r="F88" i="54"/>
  <c r="F89"/>
  <c r="F90"/>
  <c r="F94"/>
  <c r="F96" i="79" s="1"/>
  <c r="F95" i="54"/>
  <c r="F96"/>
  <c r="F101"/>
  <c r="F104"/>
  <c r="F105"/>
  <c r="F106"/>
  <c r="F108"/>
  <c r="F109"/>
  <c r="F111" i="79" s="1"/>
  <c r="F110" i="54"/>
  <c r="F114"/>
  <c r="F116"/>
  <c r="F118"/>
  <c r="F120"/>
  <c r="F121"/>
  <c r="F122"/>
  <c r="F124"/>
  <c r="F126" i="79" s="1"/>
  <c r="D62"/>
  <c r="D63"/>
  <c r="D64"/>
  <c r="D65"/>
  <c r="D66"/>
  <c r="D67"/>
  <c r="D68"/>
  <c r="D69"/>
  <c r="D94"/>
  <c r="D95"/>
  <c r="Q95" s="1"/>
  <c r="D96"/>
  <c r="D97"/>
  <c r="G97" s="1"/>
  <c r="D98"/>
  <c r="D99"/>
  <c r="D100"/>
  <c r="D101"/>
  <c r="D102"/>
  <c r="D103"/>
  <c r="D104"/>
  <c r="D105"/>
  <c r="G105" s="1"/>
  <c r="D106"/>
  <c r="D107"/>
  <c r="D108"/>
  <c r="D109"/>
  <c r="F8" i="54"/>
  <c r="F12"/>
  <c r="F18"/>
  <c r="F22"/>
  <c r="F26"/>
  <c r="F30"/>
  <c r="F34"/>
  <c r="F56"/>
  <c r="F60"/>
  <c r="F66"/>
  <c r="F68"/>
  <c r="F82"/>
  <c r="F84" i="79" s="1"/>
  <c r="F99" i="54"/>
  <c r="F102"/>
  <c r="F103"/>
  <c r="F113"/>
  <c r="D120" i="79"/>
  <c r="D7"/>
  <c r="D8"/>
  <c r="D9"/>
  <c r="D10"/>
  <c r="D11"/>
  <c r="D12"/>
  <c r="D13"/>
  <c r="Q13" s="1"/>
  <c r="D14"/>
  <c r="D15"/>
  <c r="D16"/>
  <c r="D17"/>
  <c r="D18"/>
  <c r="D19"/>
  <c r="D20"/>
  <c r="D21"/>
  <c r="T21" s="1"/>
  <c r="D22"/>
  <c r="D23"/>
  <c r="Q23" s="1"/>
  <c r="D24"/>
  <c r="D25"/>
  <c r="G25" s="1"/>
  <c r="S25" s="1"/>
  <c r="D26"/>
  <c r="D27"/>
  <c r="G27" s="1"/>
  <c r="D28"/>
  <c r="D29"/>
  <c r="D30"/>
  <c r="D31"/>
  <c r="D32"/>
  <c r="D33"/>
  <c r="D34"/>
  <c r="D35"/>
  <c r="G35" s="1"/>
  <c r="Q35" s="1"/>
  <c r="D36"/>
  <c r="D37"/>
  <c r="D38"/>
  <c r="D39"/>
  <c r="D40"/>
  <c r="D41"/>
  <c r="D42"/>
  <c r="D43"/>
  <c r="G43" s="1"/>
  <c r="D44"/>
  <c r="D45"/>
  <c r="Q45" s="1"/>
  <c r="D46"/>
  <c r="D47"/>
  <c r="D48"/>
  <c r="D49"/>
  <c r="D50"/>
  <c r="D51"/>
  <c r="D52"/>
  <c r="D53"/>
  <c r="D54"/>
  <c r="D55"/>
  <c r="Q55" s="1"/>
  <c r="D56"/>
  <c r="D57"/>
  <c r="T57" s="1"/>
  <c r="D58"/>
  <c r="D59"/>
  <c r="D60"/>
  <c r="D61"/>
  <c r="D86"/>
  <c r="D87"/>
  <c r="D88"/>
  <c r="D89"/>
  <c r="D90"/>
  <c r="D91"/>
  <c r="D92"/>
  <c r="D93"/>
  <c r="F97" i="54"/>
  <c r="F99" i="79" s="1"/>
  <c r="F112" i="54"/>
  <c r="D82" i="79"/>
  <c r="D83"/>
  <c r="G83" s="1"/>
  <c r="D84"/>
  <c r="D85"/>
  <c r="G85" s="1"/>
  <c r="F7" i="54"/>
  <c r="F21"/>
  <c r="F23"/>
  <c r="F55"/>
  <c r="F57"/>
  <c r="F64"/>
  <c r="F67"/>
  <c r="F69" i="79" s="1"/>
  <c r="X69" s="1"/>
  <c r="F69" i="54"/>
  <c r="F83"/>
  <c r="F85" i="79"/>
  <c r="S85" s="1"/>
  <c r="F84" i="54"/>
  <c r="F86" i="79" s="1"/>
  <c r="F85" i="54"/>
  <c r="F100"/>
  <c r="F117"/>
  <c r="F119" i="79"/>
  <c r="F80"/>
  <c r="W80" s="1"/>
  <c r="F116"/>
  <c r="F124"/>
  <c r="W124" s="1"/>
  <c r="F17" i="54"/>
  <c r="F19" i="79" s="1"/>
  <c r="F19" i="54"/>
  <c r="F21" i="79"/>
  <c r="F33" i="54"/>
  <c r="F35"/>
  <c r="F50"/>
  <c r="F51"/>
  <c r="F53" i="79" s="1"/>
  <c r="F111" i="54"/>
  <c r="F113" i="79"/>
  <c r="F123" i="54"/>
  <c r="F68" i="79"/>
  <c r="F100"/>
  <c r="F103"/>
  <c r="F107"/>
  <c r="F108"/>
  <c r="F15" i="54"/>
  <c r="F17" i="79"/>
  <c r="V17" s="1"/>
  <c r="F31" i="54"/>
  <c r="F45"/>
  <c r="F46"/>
  <c r="F48" i="79" s="1"/>
  <c r="F47" i="54"/>
  <c r="F61"/>
  <c r="F75"/>
  <c r="F77" i="79"/>
  <c r="F76" i="54"/>
  <c r="F77"/>
  <c r="F79" i="79"/>
  <c r="F91" i="54"/>
  <c r="F92"/>
  <c r="F93"/>
  <c r="F119"/>
  <c r="F121" i="79"/>
  <c r="F12"/>
  <c r="F16"/>
  <c r="F22"/>
  <c r="W22" s="1"/>
  <c r="F26"/>
  <c r="F30"/>
  <c r="F60"/>
  <c r="F92"/>
  <c r="V92" s="1"/>
  <c r="F11" i="54"/>
  <c r="F13"/>
  <c r="F15" i="79" s="1"/>
  <c r="F25" i="54"/>
  <c r="F27" i="79"/>
  <c r="F27" i="54"/>
  <c r="F29" i="79" s="1"/>
  <c r="F38" i="54"/>
  <c r="F43"/>
  <c r="F45" i="79"/>
  <c r="F73" i="54"/>
  <c r="F107"/>
  <c r="F109" i="79"/>
  <c r="F115" i="54"/>
  <c r="F83" i="79"/>
  <c r="F63"/>
  <c r="F65"/>
  <c r="F67"/>
  <c r="F97"/>
  <c r="F10"/>
  <c r="F11"/>
  <c r="F13"/>
  <c r="F14"/>
  <c r="F23"/>
  <c r="V23" s="1"/>
  <c r="F25"/>
  <c r="F33"/>
  <c r="V33" s="1"/>
  <c r="F55"/>
  <c r="V55" s="1"/>
  <c r="F57"/>
  <c r="V57"/>
  <c r="F59"/>
  <c r="F61"/>
  <c r="F87"/>
  <c r="F91"/>
  <c r="F93"/>
  <c r="X93" s="1"/>
  <c r="D6"/>
  <c r="F101"/>
  <c r="F105"/>
  <c r="F114"/>
  <c r="F117"/>
  <c r="V117" s="1"/>
  <c r="F118"/>
  <c r="F122"/>
  <c r="F123"/>
  <c r="F125"/>
  <c r="V125" s="1"/>
  <c r="F45" i="53"/>
  <c r="F47" i="79"/>
  <c r="F46" i="53"/>
  <c r="F47"/>
  <c r="F49"/>
  <c r="F51" i="79" s="1"/>
  <c r="F50" i="53"/>
  <c r="F52" i="79"/>
  <c r="F102" i="53"/>
  <c r="F104" i="79"/>
  <c r="F32" i="53"/>
  <c r="F34" i="79"/>
  <c r="F33" i="53"/>
  <c r="F34"/>
  <c r="F36" i="79"/>
  <c r="F35" i="53"/>
  <c r="F37" i="79" s="1"/>
  <c r="F36" i="53"/>
  <c r="F38" i="79"/>
  <c r="F37" i="53"/>
  <c r="F39" i="79"/>
  <c r="F39" i="53"/>
  <c r="F41" i="79" s="1"/>
  <c r="F41" i="53"/>
  <c r="F43" i="79"/>
  <c r="F42" i="53"/>
  <c r="F44" i="79" s="1"/>
  <c r="F69" i="53"/>
  <c r="F71" i="79"/>
  <c r="F71" i="53"/>
  <c r="F73" i="79" s="1"/>
  <c r="F73" i="53"/>
  <c r="F75" i="79"/>
  <c r="F74" i="53"/>
  <c r="F76" i="79"/>
  <c r="F93" i="53"/>
  <c r="F94"/>
  <c r="F26"/>
  <c r="F28" i="79"/>
  <c r="F52" i="53"/>
  <c r="F54" i="79"/>
  <c r="F68" i="53"/>
  <c r="F70" i="79"/>
  <c r="F84" i="53"/>
  <c r="F100"/>
  <c r="F102" i="79"/>
  <c r="F6" i="53"/>
  <c r="F22"/>
  <c r="F38"/>
  <c r="F40" i="79"/>
  <c r="F48" i="53"/>
  <c r="F50" i="79"/>
  <c r="F54" i="53"/>
  <c r="F56" i="79"/>
  <c r="F64" i="53"/>
  <c r="F66" i="79"/>
  <c r="V66" s="1"/>
  <c r="F70" i="53"/>
  <c r="F72" i="79"/>
  <c r="G72" s="1"/>
  <c r="F80" i="53"/>
  <c r="F82" i="79"/>
  <c r="F86" i="53"/>
  <c r="F88" i="79"/>
  <c r="F96" i="53"/>
  <c r="F98" i="79" s="1"/>
  <c r="G98" s="1"/>
  <c r="F118" i="53"/>
  <c r="F120" i="79"/>
  <c r="F18" i="53"/>
  <c r="F20" i="79"/>
  <c r="F44" i="53"/>
  <c r="F46" i="79"/>
  <c r="S46" s="1"/>
  <c r="F60" i="53"/>
  <c r="F62" i="79"/>
  <c r="F76" i="53"/>
  <c r="F78" i="79"/>
  <c r="F92" i="53"/>
  <c r="F94" i="79"/>
  <c r="F108" i="53"/>
  <c r="F110" i="79"/>
  <c r="F30" i="53"/>
  <c r="F32" i="79"/>
  <c r="F40" i="53"/>
  <c r="F42" i="79" s="1"/>
  <c r="F56" i="53"/>
  <c r="F72"/>
  <c r="F74" i="79"/>
  <c r="F88" i="53"/>
  <c r="F90" i="79"/>
  <c r="F104" i="53"/>
  <c r="F106" i="79"/>
  <c r="F110" i="53"/>
  <c r="F112" i="79"/>
  <c r="V112" s="1"/>
  <c r="F7"/>
  <c r="W57"/>
  <c r="J4" i="31"/>
  <c r="F126" i="1"/>
  <c r="M5"/>
  <c r="C33"/>
  <c r="E20"/>
  <c r="D22"/>
  <c r="H126"/>
  <c r="D56"/>
  <c r="D54"/>
  <c r="D51"/>
  <c r="D48"/>
  <c r="D46"/>
  <c r="C58"/>
  <c r="C55"/>
  <c r="C53"/>
  <c r="C50"/>
  <c r="C47"/>
  <c r="C40"/>
  <c r="C36"/>
  <c r="C32"/>
  <c r="D18"/>
  <c r="I127"/>
  <c r="I126"/>
  <c r="C39"/>
  <c r="D16"/>
  <c r="E22"/>
  <c r="J126"/>
  <c r="E16"/>
  <c r="L5"/>
  <c r="D23"/>
  <c r="C37"/>
  <c r="S5" i="88"/>
  <c r="V40" i="79"/>
  <c r="W94"/>
  <c r="G30"/>
  <c r="Q30" s="1"/>
  <c r="G23"/>
  <c r="F5" i="62"/>
  <c r="F4" i="55"/>
  <c r="G55" i="79"/>
  <c r="S55" s="1"/>
  <c r="X87"/>
  <c r="F95"/>
  <c r="X95" s="1"/>
  <c r="G60"/>
  <c r="Q60" s="1"/>
  <c r="W47"/>
  <c r="V36"/>
  <c r="G122"/>
  <c r="S122" s="1"/>
  <c r="V62"/>
  <c r="W33"/>
  <c r="G68"/>
  <c r="T68" s="1"/>
  <c r="X32"/>
  <c r="W36"/>
  <c r="W40"/>
  <c r="V93"/>
  <c r="X124"/>
  <c r="X33"/>
  <c r="V82"/>
  <c r="G62"/>
  <c r="S62" s="1"/>
  <c r="X112"/>
  <c r="X62"/>
  <c r="W82"/>
  <c r="X66"/>
  <c r="W12"/>
  <c r="X74"/>
  <c r="P129" i="49"/>
  <c r="P128"/>
  <c r="P132"/>
  <c r="P132" i="47"/>
  <c r="P128"/>
  <c r="P131"/>
  <c r="P129"/>
  <c r="P130"/>
  <c r="P5"/>
  <c r="X20" i="79"/>
  <c r="S30"/>
  <c r="X118"/>
  <c r="X22"/>
  <c r="V74"/>
  <c r="F4" i="61"/>
  <c r="N6" i="79"/>
  <c r="F5" i="56"/>
  <c r="J6" i="79" s="1"/>
  <c r="V50"/>
  <c r="F49"/>
  <c r="W49" s="1"/>
  <c r="F4" i="54"/>
  <c r="G57" i="79"/>
  <c r="S57" s="1"/>
  <c r="G45"/>
  <c r="R45" s="1"/>
  <c r="G21"/>
  <c r="S21" s="1"/>
  <c r="G13"/>
  <c r="R13" s="1"/>
  <c r="W17"/>
  <c r="X17"/>
  <c r="W119"/>
  <c r="V119"/>
  <c r="V85"/>
  <c r="W85"/>
  <c r="G109"/>
  <c r="S109" s="1"/>
  <c r="G46"/>
  <c r="Q46" s="1"/>
  <c r="G76"/>
  <c r="S76" s="1"/>
  <c r="F24"/>
  <c r="W24" s="1"/>
  <c r="F35"/>
  <c r="G77"/>
  <c r="S77" s="1"/>
  <c r="V116"/>
  <c r="V22"/>
  <c r="G34"/>
  <c r="S34" s="1"/>
  <c r="G100"/>
  <c r="Q100" s="1"/>
  <c r="F58"/>
  <c r="S58" s="1"/>
  <c r="Q57"/>
  <c r="R30"/>
  <c r="R21"/>
  <c r="R23"/>
  <c r="R60"/>
  <c r="R57"/>
  <c r="G95"/>
  <c r="R95" s="1"/>
  <c r="Q109"/>
  <c r="T46"/>
  <c r="T45"/>
  <c r="T109"/>
  <c r="T77"/>
  <c r="R34"/>
  <c r="S100"/>
  <c r="T95"/>
  <c r="D38" i="1" l="1"/>
  <c r="R85" i="79"/>
  <c r="Q85"/>
  <c r="T85"/>
  <c r="T43"/>
  <c r="R43"/>
  <c r="Q27"/>
  <c r="R27"/>
  <c r="T79"/>
  <c r="S79"/>
  <c r="R20"/>
  <c r="S83"/>
  <c r="Q83"/>
  <c r="R83"/>
  <c r="S105"/>
  <c r="R105"/>
  <c r="T105"/>
  <c r="R97"/>
  <c r="S97"/>
  <c r="T97"/>
  <c r="Q97"/>
  <c r="S54"/>
  <c r="R54"/>
  <c r="Q54"/>
  <c r="S14"/>
  <c r="Q14"/>
  <c r="T72"/>
  <c r="Q72"/>
  <c r="V123"/>
  <c r="R100"/>
  <c r="X49"/>
  <c r="Q105"/>
  <c r="Q21"/>
  <c r="T83"/>
  <c r="Q122"/>
  <c r="R109"/>
  <c r="R26"/>
  <c r="R123"/>
  <c r="T23"/>
  <c r="T82"/>
  <c r="T100"/>
  <c r="X85"/>
  <c r="G33"/>
  <c r="G93"/>
  <c r="T93" s="1"/>
  <c r="Q43"/>
  <c r="X117"/>
  <c r="X40"/>
  <c r="W117"/>
  <c r="X80"/>
  <c r="C35" i="1"/>
  <c r="F127"/>
  <c r="C31"/>
  <c r="I5"/>
  <c r="E127"/>
  <c r="C30"/>
  <c r="C38"/>
  <c r="C49"/>
  <c r="C54"/>
  <c r="G126"/>
  <c r="D50"/>
  <c r="D55"/>
  <c r="H127"/>
  <c r="J127"/>
  <c r="G117" i="79"/>
  <c r="R117" s="1"/>
  <c r="G42"/>
  <c r="V45"/>
  <c r="X11"/>
  <c r="E88" i="1"/>
  <c r="D14"/>
  <c r="F5"/>
  <c r="E23"/>
  <c r="D57"/>
  <c r="D53"/>
  <c r="D49"/>
  <c r="G127"/>
  <c r="C56"/>
  <c r="C52"/>
  <c r="C48"/>
  <c r="V24" i="79"/>
  <c r="Q62"/>
  <c r="R122"/>
  <c r="G20"/>
  <c r="O116"/>
  <c r="X116"/>
  <c r="T123"/>
  <c r="G11"/>
  <c r="Q34"/>
  <c r="T25"/>
  <c r="R62"/>
  <c r="W95"/>
  <c r="Q77"/>
  <c r="T122"/>
  <c r="S13"/>
  <c r="T54"/>
  <c r="Q93"/>
  <c r="W59"/>
  <c r="V124"/>
  <c r="X82"/>
  <c r="V95"/>
  <c r="D21" i="1"/>
  <c r="K3"/>
  <c r="E17"/>
  <c r="E126"/>
  <c r="D17"/>
  <c r="C34"/>
  <c r="C46"/>
  <c r="C51"/>
  <c r="C57"/>
  <c r="D47"/>
  <c r="D52"/>
  <c r="D58"/>
  <c r="E21"/>
  <c r="D20"/>
  <c r="G10" i="79"/>
  <c r="G63"/>
  <c r="V19"/>
  <c r="V106"/>
  <c r="V47"/>
  <c r="V87"/>
  <c r="W116"/>
  <c r="X107"/>
  <c r="X59"/>
  <c r="G121"/>
  <c r="X119"/>
  <c r="G99"/>
  <c r="G90"/>
  <c r="X25"/>
  <c r="D31" i="1"/>
  <c r="I18"/>
  <c r="D33"/>
  <c r="D35"/>
  <c r="H86"/>
  <c r="D36"/>
  <c r="D34"/>
  <c r="K93"/>
  <c r="K111"/>
  <c r="D41"/>
  <c r="D30"/>
  <c r="G86"/>
  <c r="E18"/>
  <c r="E30"/>
  <c r="E33"/>
  <c r="F30"/>
  <c r="I21"/>
  <c r="D32"/>
  <c r="D39"/>
  <c r="I12"/>
  <c r="I94"/>
  <c r="D67"/>
  <c r="D71" s="1"/>
  <c r="AA121" i="85"/>
  <c r="Z115"/>
  <c r="Z112"/>
  <c r="AJ103"/>
  <c r="AA95"/>
  <c r="AA85"/>
  <c r="AJ79"/>
  <c r="AJ87"/>
  <c r="Z51"/>
  <c r="AA55"/>
  <c r="AJ63"/>
  <c r="AA41"/>
  <c r="AJ43"/>
  <c r="H128" i="1"/>
  <c r="H129" s="1"/>
  <c r="AA36" i="85"/>
  <c r="AA40"/>
  <c r="AJ35"/>
  <c r="AA33"/>
  <c r="AA32"/>
  <c r="Z27"/>
  <c r="AA23"/>
  <c r="Z12"/>
  <c r="E128" i="1"/>
  <c r="E129" s="1"/>
  <c r="AJ7" i="85"/>
  <c r="AJ104"/>
  <c r="Z38"/>
  <c r="Z46"/>
  <c r="AJ49"/>
  <c r="AJ56"/>
  <c r="AJ112"/>
  <c r="AJ17"/>
  <c r="Z67"/>
  <c r="Z75"/>
  <c r="AJ31"/>
  <c r="AJ97"/>
  <c r="AJ16"/>
  <c r="AJ24"/>
  <c r="Z30"/>
  <c r="Z32"/>
  <c r="AJ33"/>
  <c r="Z35"/>
  <c r="AJ40"/>
  <c r="AJ48"/>
  <c r="Z70"/>
  <c r="Z78"/>
  <c r="AJ81"/>
  <c r="AJ89"/>
  <c r="Z107"/>
  <c r="AJ8"/>
  <c r="AJ15"/>
  <c r="Z19"/>
  <c r="Z43"/>
  <c r="AJ47"/>
  <c r="AJ57"/>
  <c r="AJ65"/>
  <c r="AJ73"/>
  <c r="AJ88"/>
  <c r="AJ96"/>
  <c r="AJ113"/>
  <c r="Z11"/>
  <c r="Z22"/>
  <c r="AJ25"/>
  <c r="AJ32"/>
  <c r="AJ64"/>
  <c r="AJ72"/>
  <c r="AJ80"/>
  <c r="Z83"/>
  <c r="Z91"/>
  <c r="AJ105"/>
  <c r="AJ41"/>
  <c r="Z59"/>
  <c r="AE6"/>
  <c r="F130" i="1" s="1"/>
  <c r="AA9" i="85"/>
  <c r="AA12"/>
  <c r="Z15"/>
  <c r="AA17"/>
  <c r="AA20"/>
  <c r="AA24"/>
  <c r="AA27"/>
  <c r="AJ39"/>
  <c r="Z40"/>
  <c r="AA45"/>
  <c r="AA48"/>
  <c r="AA51"/>
  <c r="AA57"/>
  <c r="AA60"/>
  <c r="AA64"/>
  <c r="AJ67"/>
  <c r="AA73"/>
  <c r="AA76"/>
  <c r="AA80"/>
  <c r="AJ83"/>
  <c r="AA89"/>
  <c r="AA92"/>
  <c r="AA96"/>
  <c r="AJ99"/>
  <c r="AA105"/>
  <c r="AA108"/>
  <c r="AA112"/>
  <c r="AJ115"/>
  <c r="Z64"/>
  <c r="AA8"/>
  <c r="AJ11"/>
  <c r="AA13"/>
  <c r="AA16"/>
  <c r="AJ19"/>
  <c r="AA25"/>
  <c r="AA28"/>
  <c r="AA37"/>
  <c r="Z47"/>
  <c r="AA49"/>
  <c r="AA52"/>
  <c r="AA56"/>
  <c r="AA59"/>
  <c r="AA65"/>
  <c r="AA68"/>
  <c r="AA72"/>
  <c r="AJ75"/>
  <c r="AA81"/>
  <c r="AA84"/>
  <c r="AA88"/>
  <c r="AA91"/>
  <c r="AA97"/>
  <c r="AA100"/>
  <c r="AA104"/>
  <c r="AA107"/>
  <c r="AA113"/>
  <c r="AA116"/>
  <c r="Z120"/>
  <c r="AA124"/>
  <c r="I128" i="1"/>
  <c r="I129" s="1"/>
  <c r="Z8" i="85"/>
  <c r="Z16"/>
  <c r="Z56"/>
  <c r="Z72"/>
  <c r="Z88"/>
  <c r="Z104"/>
  <c r="AA109"/>
  <c r="AA119"/>
  <c r="AA123"/>
  <c r="G128" i="1"/>
  <c r="G129" s="1"/>
  <c r="K126"/>
  <c r="K6" i="85"/>
  <c r="AJ13"/>
  <c r="Z18"/>
  <c r="AJ20"/>
  <c r="AJ27"/>
  <c r="Z28"/>
  <c r="AJ29"/>
  <c r="Z34"/>
  <c r="AJ36"/>
  <c r="Z44"/>
  <c r="AJ45"/>
  <c r="Z50"/>
  <c r="AJ52"/>
  <c r="AJ59"/>
  <c r="Z60"/>
  <c r="AJ61"/>
  <c r="Z63"/>
  <c r="Z66"/>
  <c r="AJ68"/>
  <c r="Z76"/>
  <c r="AJ77"/>
  <c r="Z79"/>
  <c r="Z82"/>
  <c r="AJ84"/>
  <c r="AJ91"/>
  <c r="Z92"/>
  <c r="AJ93"/>
  <c r="Z95"/>
  <c r="Z98"/>
  <c r="AJ100"/>
  <c r="AJ107"/>
  <c r="Z108"/>
  <c r="AJ109"/>
  <c r="Z111"/>
  <c r="Z114"/>
  <c r="AJ116"/>
  <c r="AJ123"/>
  <c r="Z124"/>
  <c r="AJ125"/>
  <c r="J128" i="1"/>
  <c r="J129" s="1"/>
  <c r="AJ95" i="85"/>
  <c r="AJ111"/>
  <c r="Z118"/>
  <c r="AJ120"/>
  <c r="AF6"/>
  <c r="G130" i="1" s="1"/>
  <c r="Z7" i="85"/>
  <c r="Z10"/>
  <c r="AJ12"/>
  <c r="Z20"/>
  <c r="AJ21"/>
  <c r="Z23"/>
  <c r="Z26"/>
  <c r="AJ28"/>
  <c r="Z36"/>
  <c r="AJ37"/>
  <c r="Z39"/>
  <c r="Z42"/>
  <c r="AJ44"/>
  <c r="AJ51"/>
  <c r="Z52"/>
  <c r="AJ53"/>
  <c r="Z55"/>
  <c r="Z58"/>
  <c r="AJ60"/>
  <c r="Z68"/>
  <c r="AJ69"/>
  <c r="Z71"/>
  <c r="Z74"/>
  <c r="AJ76"/>
  <c r="Z84"/>
  <c r="AJ85"/>
  <c r="Z87"/>
  <c r="Z90"/>
  <c r="AJ92"/>
  <c r="Z100"/>
  <c r="AJ101"/>
  <c r="Z103"/>
  <c r="Z106"/>
  <c r="AJ108"/>
  <c r="Z116"/>
  <c r="AJ117"/>
  <c r="Z119"/>
  <c r="Z122"/>
  <c r="AJ124"/>
  <c r="AJ9"/>
  <c r="Z14"/>
  <c r="AJ23"/>
  <c r="AJ55"/>
  <c r="AJ119"/>
  <c r="AJ121"/>
  <c r="Z123"/>
  <c r="Z126"/>
  <c r="AJ10"/>
  <c r="AJ14"/>
  <c r="AJ18"/>
  <c r="AJ22"/>
  <c r="AJ26"/>
  <c r="AJ30"/>
  <c r="AJ34"/>
  <c r="AJ38"/>
  <c r="AJ42"/>
  <c r="AJ46"/>
  <c r="AJ50"/>
  <c r="AJ54"/>
  <c r="AJ58"/>
  <c r="AJ62"/>
  <c r="AJ66"/>
  <c r="AJ70"/>
  <c r="AJ74"/>
  <c r="AJ78"/>
  <c r="AJ82"/>
  <c r="AJ86"/>
  <c r="AJ90"/>
  <c r="AJ94"/>
  <c r="AJ98"/>
  <c r="AJ102"/>
  <c r="AJ106"/>
  <c r="AJ110"/>
  <c r="AJ114"/>
  <c r="AJ118"/>
  <c r="AA120"/>
  <c r="AJ122"/>
  <c r="AJ126"/>
  <c r="AG6"/>
  <c r="H130" i="1" s="1"/>
  <c r="Z9" i="85"/>
  <c r="AA10"/>
  <c r="Z13"/>
  <c r="AA14"/>
  <c r="Z17"/>
  <c r="AA18"/>
  <c r="Z21"/>
  <c r="AA22"/>
  <c r="Z25"/>
  <c r="AA26"/>
  <c r="Z29"/>
  <c r="AA30"/>
  <c r="Z33"/>
  <c r="AA34"/>
  <c r="Z37"/>
  <c r="AA38"/>
  <c r="Z41"/>
  <c r="AA42"/>
  <c r="Z45"/>
  <c r="AA46"/>
  <c r="Z49"/>
  <c r="AA50"/>
  <c r="Z53"/>
  <c r="AA54"/>
  <c r="Z57"/>
  <c r="AA58"/>
  <c r="Z61"/>
  <c r="AA62"/>
  <c r="Z65"/>
  <c r="AA66"/>
  <c r="Z69"/>
  <c r="AA70"/>
  <c r="Z73"/>
  <c r="AA74"/>
  <c r="Z77"/>
  <c r="AA78"/>
  <c r="Z81"/>
  <c r="AA82"/>
  <c r="Z85"/>
  <c r="AA86"/>
  <c r="Z89"/>
  <c r="AA90"/>
  <c r="Z93"/>
  <c r="AA94"/>
  <c r="Z97"/>
  <c r="AA98"/>
  <c r="Z101"/>
  <c r="AA102"/>
  <c r="Z105"/>
  <c r="AA106"/>
  <c r="Z109"/>
  <c r="AA110"/>
  <c r="Z113"/>
  <c r="AA114"/>
  <c r="Z117"/>
  <c r="AA118"/>
  <c r="Z121"/>
  <c r="AA122"/>
  <c r="Z125"/>
  <c r="AA126"/>
  <c r="R6"/>
  <c r="AA6" s="1"/>
  <c r="AA7"/>
  <c r="AA11"/>
  <c r="AA15"/>
  <c r="AA19"/>
  <c r="AA31"/>
  <c r="AA35"/>
  <c r="AA39"/>
  <c r="AA43"/>
  <c r="AA47"/>
  <c r="AA63"/>
  <c r="AA67"/>
  <c r="AA71"/>
  <c r="AA75"/>
  <c r="AA79"/>
  <c r="AA83"/>
  <c r="AA87"/>
  <c r="AA99"/>
  <c r="AA103"/>
  <c r="AA115"/>
  <c r="Q98" i="79"/>
  <c r="R98"/>
  <c r="X73"/>
  <c r="G73"/>
  <c r="V63"/>
  <c r="W63"/>
  <c r="K63"/>
  <c r="X63"/>
  <c r="K46"/>
  <c r="V46"/>
  <c r="K26"/>
  <c r="V26"/>
  <c r="W26"/>
  <c r="O109"/>
  <c r="X109"/>
  <c r="O54"/>
  <c r="X54"/>
  <c r="V54"/>
  <c r="W54"/>
  <c r="V30"/>
  <c r="W30"/>
  <c r="O39"/>
  <c r="X39"/>
  <c r="W39"/>
  <c r="V39"/>
  <c r="X13"/>
  <c r="O13"/>
  <c r="K121"/>
  <c r="V121"/>
  <c r="V78"/>
  <c r="X78"/>
  <c r="K78"/>
  <c r="W78"/>
  <c r="W70"/>
  <c r="K70"/>
  <c r="X70"/>
  <c r="W88"/>
  <c r="X88"/>
  <c r="K88"/>
  <c r="V88"/>
  <c r="R42"/>
  <c r="Q42"/>
  <c r="T42"/>
  <c r="W44"/>
  <c r="G44"/>
  <c r="V44"/>
  <c r="V37"/>
  <c r="X37"/>
  <c r="G37"/>
  <c r="S37" s="1"/>
  <c r="V53"/>
  <c r="G53"/>
  <c r="S53" s="1"/>
  <c r="X53"/>
  <c r="G84"/>
  <c r="X84"/>
  <c r="V84"/>
  <c r="W84"/>
  <c r="S126"/>
  <c r="G126"/>
  <c r="X126"/>
  <c r="G111"/>
  <c r="S111" s="1"/>
  <c r="X111"/>
  <c r="V111"/>
  <c r="X96"/>
  <c r="W31"/>
  <c r="V31"/>
  <c r="W18"/>
  <c r="V18"/>
  <c r="X8"/>
  <c r="G8"/>
  <c r="S8" s="1"/>
  <c r="V8"/>
  <c r="W8"/>
  <c r="K7"/>
  <c r="V7"/>
  <c r="K75"/>
  <c r="W75"/>
  <c r="K55"/>
  <c r="X55"/>
  <c r="W55"/>
  <c r="K115"/>
  <c r="W115"/>
  <c r="K58"/>
  <c r="X58"/>
  <c r="O26"/>
  <c r="X26"/>
  <c r="O44"/>
  <c r="X44"/>
  <c r="O21"/>
  <c r="X21"/>
  <c r="V79"/>
  <c r="W79"/>
  <c r="K79"/>
  <c r="X79"/>
  <c r="K71"/>
  <c r="X71"/>
  <c r="K37"/>
  <c r="W37"/>
  <c r="X108"/>
  <c r="K108"/>
  <c r="K100"/>
  <c r="X100"/>
  <c r="V100"/>
  <c r="K45"/>
  <c r="W45"/>
  <c r="X45"/>
  <c r="K13"/>
  <c r="W13"/>
  <c r="V13"/>
  <c r="O18"/>
  <c r="X18"/>
  <c r="W73"/>
  <c r="X81"/>
  <c r="W42"/>
  <c r="G41"/>
  <c r="G29"/>
  <c r="S29" s="1"/>
  <c r="W29"/>
  <c r="X29"/>
  <c r="X86"/>
  <c r="R99"/>
  <c r="Q99"/>
  <c r="T99"/>
  <c r="K91"/>
  <c r="X91"/>
  <c r="W91"/>
  <c r="V91"/>
  <c r="O102"/>
  <c r="X102"/>
  <c r="W53"/>
  <c r="K53"/>
  <c r="W113"/>
  <c r="X113"/>
  <c r="K113"/>
  <c r="V113"/>
  <c r="X76"/>
  <c r="K76"/>
  <c r="V76"/>
  <c r="W76"/>
  <c r="K109"/>
  <c r="W109"/>
  <c r="V109"/>
  <c r="V101"/>
  <c r="X101"/>
  <c r="K101"/>
  <c r="K52"/>
  <c r="W52"/>
  <c r="X52"/>
  <c r="V52"/>
  <c r="K14"/>
  <c r="V14"/>
  <c r="W14"/>
  <c r="X14"/>
  <c r="X51"/>
  <c r="V51"/>
  <c r="G51"/>
  <c r="T63"/>
  <c r="Q63"/>
  <c r="S63"/>
  <c r="R63"/>
  <c r="X15"/>
  <c r="V15"/>
  <c r="G15"/>
  <c r="S15" s="1"/>
  <c r="G115"/>
  <c r="S115" s="1"/>
  <c r="V115"/>
  <c r="X115"/>
  <c r="W28"/>
  <c r="K28"/>
  <c r="X28"/>
  <c r="O34"/>
  <c r="W34"/>
  <c r="V34"/>
  <c r="X34"/>
  <c r="K120"/>
  <c r="X120"/>
  <c r="V120"/>
  <c r="W120"/>
  <c r="K77"/>
  <c r="W77"/>
  <c r="X77"/>
  <c r="V77"/>
  <c r="V61"/>
  <c r="K61"/>
  <c r="W61"/>
  <c r="X61"/>
  <c r="X110"/>
  <c r="W110"/>
  <c r="V110"/>
  <c r="K110"/>
  <c r="V102"/>
  <c r="W102"/>
  <c r="K102"/>
  <c r="K15"/>
  <c r="W15"/>
  <c r="K127" i="1"/>
  <c r="K128" s="1"/>
  <c r="L126" s="1"/>
  <c r="S32" i="79"/>
  <c r="G101"/>
  <c r="T101" s="1"/>
  <c r="W100"/>
  <c r="G86"/>
  <c r="S86" s="1"/>
  <c r="G50"/>
  <c r="G22"/>
  <c r="G120"/>
  <c r="G96"/>
  <c r="G124"/>
  <c r="R76"/>
  <c r="G39"/>
  <c r="G7"/>
  <c r="D78" i="1"/>
  <c r="V38" i="79"/>
  <c r="V103"/>
  <c r="G59"/>
  <c r="G74"/>
  <c r="R74" s="1"/>
  <c r="G70"/>
  <c r="G87"/>
  <c r="S59"/>
  <c r="X94"/>
  <c r="V86"/>
  <c r="V29"/>
  <c r="T13"/>
  <c r="Q25"/>
  <c r="R25"/>
  <c r="S45"/>
  <c r="G56"/>
  <c r="G52"/>
  <c r="G40"/>
  <c r="G28"/>
  <c r="G12"/>
  <c r="G102"/>
  <c r="G94"/>
  <c r="G118"/>
  <c r="G114"/>
  <c r="Q114" s="1"/>
  <c r="G110"/>
  <c r="R110" s="1"/>
  <c r="T35"/>
  <c r="S113"/>
  <c r="W66"/>
  <c r="S123"/>
  <c r="V108"/>
  <c r="Q82"/>
  <c r="G89"/>
  <c r="R89" s="1"/>
  <c r="G61"/>
  <c r="S61" s="1"/>
  <c r="J101" i="1"/>
  <c r="AJ5" i="88"/>
  <c r="D4" i="57"/>
  <c r="AJ6" i="85"/>
  <c r="K130" i="1" s="1"/>
  <c r="H4" i="53"/>
  <c r="F7"/>
  <c r="D4" i="60"/>
  <c r="L6" i="79" s="1"/>
  <c r="O6" s="1"/>
  <c r="AD6" i="85"/>
  <c r="E130" i="1" s="1"/>
  <c r="AH6" i="85"/>
  <c r="I130" i="1" s="1"/>
  <c r="AG7" i="88"/>
  <c r="AG16"/>
  <c r="F4" i="95"/>
  <c r="R4" s="1"/>
  <c r="W5" i="88" s="1"/>
  <c r="AM65"/>
  <c r="AM91"/>
  <c r="AM99"/>
  <c r="AM113"/>
  <c r="AM121"/>
  <c r="AM83"/>
  <c r="G5" i="62"/>
  <c r="G129" i="88"/>
  <c r="S129" s="1"/>
  <c r="W129" s="1"/>
  <c r="G128"/>
  <c r="AM67"/>
  <c r="AM85"/>
  <c r="AM115"/>
  <c r="Q132" i="75"/>
  <c r="AM61" i="88"/>
  <c r="AM69"/>
  <c r="AM87"/>
  <c r="AM95"/>
  <c r="AM117"/>
  <c r="AM125"/>
  <c r="AE131"/>
  <c r="AA131"/>
  <c r="W131"/>
  <c r="W132"/>
  <c r="AA132" s="1"/>
  <c r="AM63"/>
  <c r="AM89"/>
  <c r="AM97"/>
  <c r="AM119"/>
  <c r="AH5"/>
  <c r="AL5"/>
  <c r="V128"/>
  <c r="V129"/>
  <c r="V130"/>
  <c r="V131"/>
  <c r="Z131" s="1"/>
  <c r="AK5"/>
  <c r="U128"/>
  <c r="Z128"/>
  <c r="Z129"/>
  <c r="Z130"/>
  <c r="U131"/>
  <c r="U132"/>
  <c r="Y132" s="1"/>
  <c r="Y128"/>
  <c r="X130"/>
  <c r="Y131"/>
  <c r="D130"/>
  <c r="P130" s="1"/>
  <c r="W130"/>
  <c r="AC131"/>
  <c r="H129"/>
  <c r="D131"/>
  <c r="H131"/>
  <c r="L131"/>
  <c r="D132"/>
  <c r="Q130"/>
  <c r="V132"/>
  <c r="Z132" s="1"/>
  <c r="L129"/>
  <c r="H128"/>
  <c r="L128"/>
  <c r="H132"/>
  <c r="U129"/>
  <c r="Y129" s="1"/>
  <c r="S121" i="79"/>
  <c r="Q121"/>
  <c r="R121"/>
  <c r="T121"/>
  <c r="R90"/>
  <c r="S90"/>
  <c r="Q90"/>
  <c r="T90"/>
  <c r="S87"/>
  <c r="Q87"/>
  <c r="T10"/>
  <c r="R10"/>
  <c r="Q10"/>
  <c r="T114"/>
  <c r="Q89"/>
  <c r="Q61"/>
  <c r="V98"/>
  <c r="S98"/>
  <c r="V48"/>
  <c r="X48"/>
  <c r="W16"/>
  <c r="V16"/>
  <c r="V89"/>
  <c r="O89"/>
  <c r="O72"/>
  <c r="X72"/>
  <c r="W65"/>
  <c r="X65"/>
  <c r="V65"/>
  <c r="K105"/>
  <c r="W105"/>
  <c r="K62"/>
  <c r="W62"/>
  <c r="O123"/>
  <c r="X123"/>
  <c r="O114"/>
  <c r="W114"/>
  <c r="X106"/>
  <c r="W106"/>
  <c r="V20"/>
  <c r="W20"/>
  <c r="V72"/>
  <c r="W72"/>
  <c r="S72"/>
  <c r="G71"/>
  <c r="V71"/>
  <c r="W71"/>
  <c r="X67"/>
  <c r="V67"/>
  <c r="G67"/>
  <c r="V81"/>
  <c r="G81"/>
  <c r="K107"/>
  <c r="W107"/>
  <c r="K73"/>
  <c r="V73"/>
  <c r="X36"/>
  <c r="O36"/>
  <c r="O31"/>
  <c r="X31"/>
  <c r="O70"/>
  <c r="V70"/>
  <c r="O28"/>
  <c r="V28"/>
  <c r="O30"/>
  <c r="X30"/>
  <c r="O57"/>
  <c r="X57"/>
  <c r="Q58"/>
  <c r="R35"/>
  <c r="S95"/>
  <c r="T113"/>
  <c r="W35"/>
  <c r="G24"/>
  <c r="V58"/>
  <c r="G49"/>
  <c r="R72"/>
  <c r="R114"/>
  <c r="Q32"/>
  <c r="T73"/>
  <c r="T27"/>
  <c r="R68"/>
  <c r="Q68"/>
  <c r="T76"/>
  <c r="E27" i="1"/>
  <c r="F20"/>
  <c r="E40"/>
  <c r="E50"/>
  <c r="E55"/>
  <c r="E31"/>
  <c r="R87" i="79"/>
  <c r="R101"/>
  <c r="Q101"/>
  <c r="W7"/>
  <c r="T87"/>
  <c r="R82"/>
  <c r="T26"/>
  <c r="T60"/>
  <c r="T62"/>
  <c r="R15"/>
  <c r="Q26"/>
  <c r="G116"/>
  <c r="T116" s="1"/>
  <c r="V27"/>
  <c r="X19"/>
  <c r="X97"/>
  <c r="G19"/>
  <c r="S19" s="1"/>
  <c r="V56"/>
  <c r="X46"/>
  <c r="W74"/>
  <c r="Q76"/>
  <c r="W121"/>
  <c r="G17"/>
  <c r="G119"/>
  <c r="R79"/>
  <c r="W21"/>
  <c r="G65"/>
  <c r="V43"/>
  <c r="S27"/>
  <c r="V49"/>
  <c r="K6"/>
  <c r="F39" i="1"/>
  <c r="F33"/>
  <c r="F40"/>
  <c r="G88" i="79"/>
  <c r="V122"/>
  <c r="X12"/>
  <c r="T32"/>
  <c r="V10"/>
  <c r="X43"/>
  <c r="X105"/>
  <c r="X50"/>
  <c r="G78"/>
  <c r="W89"/>
  <c r="V12"/>
  <c r="X64"/>
  <c r="X56"/>
  <c r="S43"/>
  <c r="W118"/>
  <c r="X114"/>
  <c r="S101"/>
  <c r="W93"/>
  <c r="T30"/>
  <c r="G18"/>
  <c r="G104"/>
  <c r="G64"/>
  <c r="O29"/>
  <c r="W104"/>
  <c r="V104"/>
  <c r="W68"/>
  <c r="V68"/>
  <c r="S68"/>
  <c r="G69"/>
  <c r="V69"/>
  <c r="X47"/>
  <c r="O47"/>
  <c r="O86"/>
  <c r="W86"/>
  <c r="O80"/>
  <c r="V80"/>
  <c r="S24"/>
  <c r="R58"/>
  <c r="X35"/>
  <c r="Q73"/>
  <c r="Q79"/>
  <c r="F16" i="1"/>
  <c r="E32"/>
  <c r="X7" i="79"/>
  <c r="T125"/>
  <c r="W56"/>
  <c r="W101"/>
  <c r="V21"/>
  <c r="X27"/>
  <c r="F31" i="1"/>
  <c r="W92" i="79"/>
  <c r="W123"/>
  <c r="X68"/>
  <c r="G48"/>
  <c r="F128" i="1"/>
  <c r="F129" s="1"/>
  <c r="S23" i="79"/>
  <c r="W10"/>
  <c r="S10"/>
  <c r="X10"/>
  <c r="W108"/>
  <c r="W32"/>
  <c r="V32"/>
  <c r="V75"/>
  <c r="G75"/>
  <c r="W125"/>
  <c r="X125"/>
  <c r="S125"/>
  <c r="W11"/>
  <c r="K11"/>
  <c r="V11"/>
  <c r="K81"/>
  <c r="W81"/>
  <c r="K42"/>
  <c r="V42"/>
  <c r="V94"/>
  <c r="O94"/>
  <c r="W96"/>
  <c r="O96"/>
  <c r="V96"/>
  <c r="W112"/>
  <c r="W126"/>
  <c r="V126"/>
  <c r="X99"/>
  <c r="V99"/>
  <c r="S99"/>
  <c r="S60"/>
  <c r="W60"/>
  <c r="V107"/>
  <c r="G107"/>
  <c r="V64"/>
  <c r="W64"/>
  <c r="K99"/>
  <c r="W99"/>
  <c r="K83"/>
  <c r="X83"/>
  <c r="W83"/>
  <c r="K67"/>
  <c r="W67"/>
  <c r="K51"/>
  <c r="W51"/>
  <c r="O111"/>
  <c r="W111"/>
  <c r="O87"/>
  <c r="W87"/>
  <c r="O103"/>
  <c r="X103"/>
  <c r="O75"/>
  <c r="X75"/>
  <c r="O59"/>
  <c r="V59"/>
  <c r="V25"/>
  <c r="W25"/>
  <c r="O25"/>
  <c r="S35"/>
  <c r="X24"/>
  <c r="T98"/>
  <c r="F18" i="1"/>
  <c r="E49"/>
  <c r="E54"/>
  <c r="F22"/>
  <c r="E39"/>
  <c r="Q84" i="79"/>
  <c r="R125"/>
  <c r="G92"/>
  <c r="T92" s="1"/>
  <c r="E41" i="1"/>
  <c r="F36"/>
  <c r="W98" i="79"/>
  <c r="X60"/>
  <c r="X104"/>
  <c r="G80"/>
  <c r="X89"/>
  <c r="X90"/>
  <c r="V35"/>
  <c r="S44"/>
  <c r="W58"/>
  <c r="Q113"/>
  <c r="T78"/>
  <c r="S20"/>
  <c r="S42"/>
  <c r="R14"/>
  <c r="T14"/>
  <c r="F11" i="1"/>
  <c r="E43"/>
  <c r="E47"/>
  <c r="E53"/>
  <c r="E58"/>
  <c r="E35"/>
  <c r="R55" i="79"/>
  <c r="T55"/>
  <c r="T61"/>
  <c r="X38"/>
  <c r="X121"/>
  <c r="W43"/>
  <c r="X92"/>
  <c r="W19"/>
  <c r="V114"/>
  <c r="W97"/>
  <c r="W27"/>
  <c r="W46"/>
  <c r="F34" i="1"/>
  <c r="F32"/>
  <c r="W38" i="79"/>
  <c r="G38"/>
  <c r="V118"/>
  <c r="X122"/>
  <c r="X98"/>
  <c r="V60"/>
  <c r="W41"/>
  <c r="W69"/>
  <c r="W103"/>
  <c r="V90"/>
  <c r="S104"/>
  <c r="G108"/>
  <c r="X42"/>
  <c r="G103"/>
  <c r="W23"/>
  <c r="W48"/>
  <c r="G112"/>
  <c r="Q112" s="1"/>
  <c r="W50"/>
  <c r="X41"/>
  <c r="X23"/>
  <c r="S75"/>
  <c r="X16"/>
  <c r="W90"/>
  <c r="V41"/>
  <c r="S51"/>
  <c r="W122"/>
  <c r="V105"/>
  <c r="V97"/>
  <c r="G91"/>
  <c r="Q91" s="1"/>
  <c r="G36"/>
  <c r="G16"/>
  <c r="G106"/>
  <c r="G66"/>
  <c r="R118"/>
  <c r="G47"/>
  <c r="G31"/>
  <c r="E4" i="40"/>
  <c r="AE5" i="88"/>
  <c r="AI5"/>
  <c r="L66" i="1"/>
  <c r="L70" s="1"/>
  <c r="J100"/>
  <c r="G94"/>
  <c r="J93"/>
  <c r="H93"/>
  <c r="G66"/>
  <c r="G70" s="1"/>
  <c r="G79"/>
  <c r="J65"/>
  <c r="J69" s="1"/>
  <c r="L101"/>
  <c r="J111"/>
  <c r="J110"/>
  <c r="J109"/>
  <c r="M109" s="1"/>
  <c r="G87"/>
  <c r="F93"/>
  <c r="H94"/>
  <c r="J66"/>
  <c r="J70" s="1"/>
  <c r="K66"/>
  <c r="K70" s="1"/>
  <c r="F65"/>
  <c r="F69" s="1"/>
  <c r="K100"/>
  <c r="E65"/>
  <c r="E69" s="1"/>
  <c r="H65"/>
  <c r="H69" s="1"/>
  <c r="K65"/>
  <c r="K69" s="1"/>
  <c r="F87"/>
  <c r="E93"/>
  <c r="E66"/>
  <c r="E70" s="1"/>
  <c r="H67"/>
  <c r="H71" s="1"/>
  <c r="L110"/>
  <c r="D66"/>
  <c r="D70" s="1"/>
  <c r="D81"/>
  <c r="E67"/>
  <c r="E71" s="1"/>
  <c r="H88"/>
  <c r="F86"/>
  <c r="G93"/>
  <c r="J94"/>
  <c r="E94"/>
  <c r="H87"/>
  <c r="H66"/>
  <c r="H70" s="1"/>
  <c r="F66"/>
  <c r="F70" s="1"/>
  <c r="D79"/>
  <c r="L67"/>
  <c r="L71" s="1"/>
  <c r="J112"/>
  <c r="J99"/>
  <c r="E78"/>
  <c r="K67"/>
  <c r="K71" s="1"/>
  <c r="F81"/>
  <c r="L104"/>
  <c r="E81"/>
  <c r="D65"/>
  <c r="D69" s="1"/>
  <c r="L112"/>
  <c r="L99"/>
  <c r="D80"/>
  <c r="G65"/>
  <c r="G69" s="1"/>
  <c r="L111"/>
  <c r="L100"/>
  <c r="G88"/>
  <c r="F17"/>
  <c r="E36"/>
  <c r="F21"/>
  <c r="E38"/>
  <c r="E48"/>
  <c r="E52"/>
  <c r="E56"/>
  <c r="F23"/>
  <c r="E37"/>
  <c r="F35"/>
  <c r="F38"/>
  <c r="D37"/>
  <c r="D40"/>
  <c r="I15"/>
  <c r="C41"/>
  <c r="E86"/>
  <c r="K94"/>
  <c r="F94"/>
  <c r="E87"/>
  <c r="I93"/>
  <c r="M66"/>
  <c r="M70" s="1"/>
  <c r="I66"/>
  <c r="I70" s="1"/>
  <c r="E79"/>
  <c r="F78"/>
  <c r="K107"/>
  <c r="G78"/>
  <c r="G67"/>
  <c r="G71" s="1"/>
  <c r="M65"/>
  <c r="M69" s="1"/>
  <c r="J107"/>
  <c r="G81"/>
  <c r="J67"/>
  <c r="J71" s="1"/>
  <c r="F80"/>
  <c r="K104"/>
  <c r="E80"/>
  <c r="M67"/>
  <c r="M71" s="1"/>
  <c r="K112"/>
  <c r="K99"/>
  <c r="F88"/>
  <c r="I65"/>
  <c r="I69" s="1"/>
  <c r="K110"/>
  <c r="M110" s="1"/>
  <c r="K101"/>
  <c r="F67"/>
  <c r="F71" s="1"/>
  <c r="L65"/>
  <c r="L69" s="1"/>
  <c r="J108"/>
  <c r="M108" s="1"/>
  <c r="G80"/>
  <c r="I67"/>
  <c r="I71" s="1"/>
  <c r="F79"/>
  <c r="J104"/>
  <c r="D4" i="96"/>
  <c r="J102" i="1" l="1"/>
  <c r="F41"/>
  <c r="E34"/>
  <c r="E46"/>
  <c r="F37"/>
  <c r="E57"/>
  <c r="E51"/>
  <c r="R116" i="79"/>
  <c r="R61"/>
  <c r="Q110"/>
  <c r="S11"/>
  <c r="T11"/>
  <c r="R11"/>
  <c r="T20"/>
  <c r="Q20"/>
  <c r="T110"/>
  <c r="Q11"/>
  <c r="S33"/>
  <c r="R33"/>
  <c r="T33"/>
  <c r="S117"/>
  <c r="Q117"/>
  <c r="T117"/>
  <c r="S93"/>
  <c r="R93"/>
  <c r="AM5" i="88"/>
  <c r="Q33" i="79"/>
  <c r="K129" i="1"/>
  <c r="Z6" i="85"/>
  <c r="L128" i="1"/>
  <c r="L127"/>
  <c r="AA129" i="88"/>
  <c r="AI129" s="1"/>
  <c r="AC129"/>
  <c r="S128"/>
  <c r="D128"/>
  <c r="P128" s="1"/>
  <c r="Q94" i="79"/>
  <c r="T94"/>
  <c r="S94"/>
  <c r="R94"/>
  <c r="S40"/>
  <c r="Q40"/>
  <c r="T40"/>
  <c r="R40"/>
  <c r="S70"/>
  <c r="Q70"/>
  <c r="T70"/>
  <c r="R70"/>
  <c r="Q22"/>
  <c r="S22"/>
  <c r="T22"/>
  <c r="R22"/>
  <c r="T126"/>
  <c r="Q126"/>
  <c r="R126"/>
  <c r="S89"/>
  <c r="S110"/>
  <c r="S114"/>
  <c r="X128" i="88"/>
  <c r="AC132"/>
  <c r="AK132" s="1"/>
  <c r="AG131"/>
  <c r="AH130"/>
  <c r="AH128"/>
  <c r="AE132"/>
  <c r="AM132" s="1"/>
  <c r="F4" i="53"/>
  <c r="F6" i="79" s="1"/>
  <c r="F9"/>
  <c r="Q118"/>
  <c r="T118"/>
  <c r="S118"/>
  <c r="R28"/>
  <c r="S28"/>
  <c r="T28"/>
  <c r="Q28"/>
  <c r="Q39"/>
  <c r="T39"/>
  <c r="S39"/>
  <c r="R39"/>
  <c r="Q120"/>
  <c r="R120"/>
  <c r="T120"/>
  <c r="S120"/>
  <c r="T15"/>
  <c r="Q15"/>
  <c r="R51"/>
  <c r="Q51"/>
  <c r="T51"/>
  <c r="R29"/>
  <c r="Q29"/>
  <c r="T29"/>
  <c r="T53"/>
  <c r="Q53"/>
  <c r="R53"/>
  <c r="Q44"/>
  <c r="T44"/>
  <c r="R44"/>
  <c r="T89"/>
  <c r="D129" i="88"/>
  <c r="P129" s="1"/>
  <c r="P132"/>
  <c r="AB130"/>
  <c r="AC128"/>
  <c r="AG128" s="1"/>
  <c r="AL128"/>
  <c r="AA130"/>
  <c r="AI131"/>
  <c r="AM131" s="1"/>
  <c r="AG5"/>
  <c r="U130"/>
  <c r="Y130" s="1"/>
  <c r="AF130"/>
  <c r="AJ130" s="1"/>
  <c r="R12" i="79"/>
  <c r="S12"/>
  <c r="Q12"/>
  <c r="T12"/>
  <c r="S56"/>
  <c r="Q56"/>
  <c r="R56"/>
  <c r="T56"/>
  <c r="T59"/>
  <c r="R59"/>
  <c r="Q59"/>
  <c r="Q7"/>
  <c r="T7"/>
  <c r="R7"/>
  <c r="S7"/>
  <c r="Q96"/>
  <c r="R96"/>
  <c r="T96"/>
  <c r="Q86"/>
  <c r="T86"/>
  <c r="R86"/>
  <c r="T41"/>
  <c r="Q41"/>
  <c r="R41"/>
  <c r="R8"/>
  <c r="Q8"/>
  <c r="T8"/>
  <c r="T111"/>
  <c r="Q111"/>
  <c r="R111"/>
  <c r="T37"/>
  <c r="R37"/>
  <c r="Q37"/>
  <c r="AG129" i="88"/>
  <c r="AK129" s="1"/>
  <c r="P131"/>
  <c r="AG132"/>
  <c r="AL129"/>
  <c r="AH131"/>
  <c r="AL131" s="1"/>
  <c r="AH129"/>
  <c r="T102" i="79"/>
  <c r="R102"/>
  <c r="S102"/>
  <c r="Q102"/>
  <c r="R52"/>
  <c r="S52"/>
  <c r="T52"/>
  <c r="Q52"/>
  <c r="S74"/>
  <c r="T74"/>
  <c r="Q74"/>
  <c r="S124"/>
  <c r="T124"/>
  <c r="R124"/>
  <c r="Q124"/>
  <c r="T50"/>
  <c r="Q50"/>
  <c r="S50"/>
  <c r="R50"/>
  <c r="T115"/>
  <c r="R115"/>
  <c r="Q115"/>
  <c r="S84"/>
  <c r="R84"/>
  <c r="T84"/>
  <c r="S73"/>
  <c r="R73"/>
  <c r="AH132" i="88"/>
  <c r="AL132" s="1"/>
  <c r="AK131"/>
  <c r="AL130"/>
  <c r="AI132"/>
  <c r="AE129"/>
  <c r="S41" i="79"/>
  <c r="S96"/>
  <c r="T47"/>
  <c r="R47"/>
  <c r="S47"/>
  <c r="Q47"/>
  <c r="Q16"/>
  <c r="R16"/>
  <c r="T16"/>
  <c r="R75"/>
  <c r="Q75"/>
  <c r="T75"/>
  <c r="T48"/>
  <c r="Q48"/>
  <c r="R48"/>
  <c r="R69"/>
  <c r="Q69"/>
  <c r="S69"/>
  <c r="T69"/>
  <c r="T104"/>
  <c r="Q104"/>
  <c r="R104"/>
  <c r="S78"/>
  <c r="Q78"/>
  <c r="R88"/>
  <c r="S88"/>
  <c r="T88"/>
  <c r="T65"/>
  <c r="R65"/>
  <c r="Q65"/>
  <c r="T17"/>
  <c r="R17"/>
  <c r="Q17"/>
  <c r="S17"/>
  <c r="Q71"/>
  <c r="R71"/>
  <c r="S71"/>
  <c r="T71"/>
  <c r="R91"/>
  <c r="S112"/>
  <c r="S16"/>
  <c r="S92"/>
  <c r="S65"/>
  <c r="S91"/>
  <c r="R31"/>
  <c r="Q31"/>
  <c r="T31"/>
  <c r="T106"/>
  <c r="R106"/>
  <c r="Q106"/>
  <c r="S106"/>
  <c r="Q108"/>
  <c r="T108"/>
  <c r="R108"/>
  <c r="S80"/>
  <c r="Q80"/>
  <c r="T80"/>
  <c r="T64"/>
  <c r="Q64"/>
  <c r="R64"/>
  <c r="S64"/>
  <c r="T119"/>
  <c r="S119"/>
  <c r="R119"/>
  <c r="Q119"/>
  <c r="R67"/>
  <c r="S67"/>
  <c r="Q67"/>
  <c r="T67"/>
  <c r="T112"/>
  <c r="R112"/>
  <c r="Q88"/>
  <c r="S66"/>
  <c r="Q66"/>
  <c r="T66"/>
  <c r="R66"/>
  <c r="R92"/>
  <c r="Q92"/>
  <c r="T107"/>
  <c r="S107"/>
  <c r="Q107"/>
  <c r="R107"/>
  <c r="T19"/>
  <c r="Q19"/>
  <c r="R19"/>
  <c r="Q116"/>
  <c r="S116"/>
  <c r="T49"/>
  <c r="Q49"/>
  <c r="R49"/>
  <c r="S49"/>
  <c r="S48"/>
  <c r="R78"/>
  <c r="T91"/>
  <c r="R80"/>
  <c r="S36"/>
  <c r="R36"/>
  <c r="Q36"/>
  <c r="T36"/>
  <c r="R103"/>
  <c r="Q103"/>
  <c r="T103"/>
  <c r="R38"/>
  <c r="T38"/>
  <c r="Q38"/>
  <c r="S38"/>
  <c r="Q18"/>
  <c r="T18"/>
  <c r="S18"/>
  <c r="R18"/>
  <c r="R24"/>
  <c r="T24"/>
  <c r="Q24"/>
  <c r="Q81"/>
  <c r="S81"/>
  <c r="R81"/>
  <c r="T81"/>
  <c r="S31"/>
  <c r="S108"/>
  <c r="S103"/>
  <c r="J115" i="1"/>
  <c r="K102"/>
  <c r="K115" s="1"/>
  <c r="M101"/>
  <c r="M107"/>
  <c r="K113"/>
  <c r="L113"/>
  <c r="M111"/>
  <c r="J113"/>
  <c r="M112"/>
  <c r="L102"/>
  <c r="L115" s="1"/>
  <c r="M100"/>
  <c r="M104"/>
  <c r="M99"/>
  <c r="AC130" i="88" l="1"/>
  <c r="AK130" s="1"/>
  <c r="AB132"/>
  <c r="X132"/>
  <c r="W9" i="79"/>
  <c r="V9"/>
  <c r="G9"/>
  <c r="S9" s="1"/>
  <c r="X9"/>
  <c r="AK128" i="88"/>
  <c r="W128"/>
  <c r="AG130"/>
  <c r="AM129"/>
  <c r="X129"/>
  <c r="AB129" s="1"/>
  <c r="X131"/>
  <c r="AB128"/>
  <c r="AF128" s="1"/>
  <c r="AJ128" s="1"/>
  <c r="G6" i="79"/>
  <c r="X6"/>
  <c r="W6"/>
  <c r="V6"/>
  <c r="S6"/>
  <c r="AE130" i="88"/>
  <c r="AI130" s="1"/>
  <c r="W106" i="1"/>
  <c r="L105"/>
  <c r="V106"/>
  <c r="K103"/>
  <c r="L114"/>
  <c r="V105"/>
  <c r="J114"/>
  <c r="M113"/>
  <c r="M102"/>
  <c r="M115" s="1"/>
  <c r="M105" s="1"/>
  <c r="J105"/>
  <c r="V107"/>
  <c r="L103"/>
  <c r="J103"/>
  <c r="W107"/>
  <c r="K114"/>
  <c r="K105"/>
  <c r="W105"/>
  <c r="S128" i="79" l="1"/>
  <c r="S129"/>
  <c r="AE128" i="88"/>
  <c r="X128" i="79"/>
  <c r="X129"/>
  <c r="AJ132" i="88"/>
  <c r="AF132"/>
  <c r="AA128"/>
  <c r="AJ129"/>
  <c r="AF129"/>
  <c r="T6" i="79"/>
  <c r="Q6"/>
  <c r="R6"/>
  <c r="AM130" i="88"/>
  <c r="V128" i="79"/>
  <c r="V129"/>
  <c r="AI128" i="88"/>
  <c r="AB131"/>
  <c r="AF131" s="1"/>
  <c r="T9" i="79"/>
  <c r="R9"/>
  <c r="Q9"/>
  <c r="M103" i="1"/>
  <c r="V108"/>
  <c r="M114"/>
  <c r="K116"/>
  <c r="J116"/>
  <c r="W108"/>
  <c r="L116"/>
  <c r="Q129" i="79" l="1"/>
  <c r="Q128"/>
  <c r="T129"/>
  <c r="T128"/>
  <c r="AJ131" i="88"/>
  <c r="R128" i="79"/>
  <c r="R129"/>
  <c r="AM128" i="88"/>
  <c r="M116" i="1"/>
</calcChain>
</file>

<file path=xl/comments1.xml><?xml version="1.0" encoding="utf-8"?>
<comments xmlns="http://schemas.openxmlformats.org/spreadsheetml/2006/main">
  <authors>
    <author>AXW09990</author>
  </authors>
  <commentList>
    <comment ref="L5" authorId="0">
      <text>
        <r>
          <rPr>
            <b/>
            <sz val="10"/>
            <color indexed="81"/>
            <rFont val="Tahoma"/>
            <family val="2"/>
          </rPr>
          <t>AXW09990:</t>
        </r>
        <r>
          <rPr>
            <sz val="10"/>
            <color indexed="81"/>
            <rFont val="Tahoma"/>
            <family val="2"/>
          </rPr>
          <t xml:space="preserve">
</t>
        </r>
      </text>
    </comment>
  </commentList>
</comments>
</file>

<file path=xl/sharedStrings.xml><?xml version="1.0" encoding="utf-8"?>
<sst xmlns="http://schemas.openxmlformats.org/spreadsheetml/2006/main" count="17448" uniqueCount="1154">
  <si>
    <t>FIPS:</t>
  </si>
  <si>
    <t>Locality Name:</t>
  </si>
  <si>
    <t>White</t>
  </si>
  <si>
    <t>African American</t>
  </si>
  <si>
    <t>FIPS</t>
  </si>
  <si>
    <t>Locality</t>
  </si>
  <si>
    <t>Adults</t>
  </si>
  <si>
    <t>Children</t>
  </si>
  <si>
    <t>999</t>
  </si>
  <si>
    <t>Statewide</t>
  </si>
  <si>
    <t>001</t>
  </si>
  <si>
    <t>Accomack</t>
  </si>
  <si>
    <t>003</t>
  </si>
  <si>
    <t>Albemarle</t>
  </si>
  <si>
    <t>510</t>
  </si>
  <si>
    <t>Alexandria</t>
  </si>
  <si>
    <t>005</t>
  </si>
  <si>
    <t>Alleghany/ Covington</t>
  </si>
  <si>
    <t>007</t>
  </si>
  <si>
    <t>Amelia</t>
  </si>
  <si>
    <t>009</t>
  </si>
  <si>
    <t>Amherst</t>
  </si>
  <si>
    <t>011</t>
  </si>
  <si>
    <t>Appomattox</t>
  </si>
  <si>
    <t>013</t>
  </si>
  <si>
    <t>Arlington</t>
  </si>
  <si>
    <t>015</t>
  </si>
  <si>
    <t>017</t>
  </si>
  <si>
    <t>Bath</t>
  </si>
  <si>
    <t>019</t>
  </si>
  <si>
    <t>Bedford Co./ City</t>
  </si>
  <si>
    <t>021</t>
  </si>
  <si>
    <t>Bland</t>
  </si>
  <si>
    <t>023</t>
  </si>
  <si>
    <t>Botetourt</t>
  </si>
  <si>
    <t>520</t>
  </si>
  <si>
    <t>Bristol</t>
  </si>
  <si>
    <t>025</t>
  </si>
  <si>
    <t>Brunswick</t>
  </si>
  <si>
    <t>027</t>
  </si>
  <si>
    <t>Buchanan</t>
  </si>
  <si>
    <t>029</t>
  </si>
  <si>
    <t>Buckingham</t>
  </si>
  <si>
    <t>031</t>
  </si>
  <si>
    <t>Campbell</t>
  </si>
  <si>
    <t>033</t>
  </si>
  <si>
    <t>Caroline</t>
  </si>
  <si>
    <t>035</t>
  </si>
  <si>
    <t>Carroll</t>
  </si>
  <si>
    <t>036</t>
  </si>
  <si>
    <t>Charles City Co</t>
  </si>
  <si>
    <t>037</t>
  </si>
  <si>
    <t>Charlotte</t>
  </si>
  <si>
    <t>540</t>
  </si>
  <si>
    <t>Charlottesville</t>
  </si>
  <si>
    <t>550</t>
  </si>
  <si>
    <t>Chesapeake</t>
  </si>
  <si>
    <t>041</t>
  </si>
  <si>
    <t>Chesterfield/ Colonial Heights</t>
  </si>
  <si>
    <t>043</t>
  </si>
  <si>
    <t>Clarke</t>
  </si>
  <si>
    <t>045</t>
  </si>
  <si>
    <t>Craig</t>
  </si>
  <si>
    <t>047</t>
  </si>
  <si>
    <t>Culpeper</t>
  </si>
  <si>
    <t>049</t>
  </si>
  <si>
    <t>Cumberland</t>
  </si>
  <si>
    <t>590</t>
  </si>
  <si>
    <t>Danville</t>
  </si>
  <si>
    <t>051</t>
  </si>
  <si>
    <t>Dickenson</t>
  </si>
  <si>
    <t>053</t>
  </si>
  <si>
    <t>Dinwiddie</t>
  </si>
  <si>
    <t>057</t>
  </si>
  <si>
    <t>Essex</t>
  </si>
  <si>
    <t>059</t>
  </si>
  <si>
    <t>Fairfax Co./ City/ /Falls Church</t>
  </si>
  <si>
    <t>061</t>
  </si>
  <si>
    <t>Fauquier</t>
  </si>
  <si>
    <t>063</t>
  </si>
  <si>
    <t>Floyd</t>
  </si>
  <si>
    <t>065</t>
  </si>
  <si>
    <t>Fluvanna</t>
  </si>
  <si>
    <t>620</t>
  </si>
  <si>
    <t>Franklin City</t>
  </si>
  <si>
    <t>067</t>
  </si>
  <si>
    <t>Franklin County</t>
  </si>
  <si>
    <t>069</t>
  </si>
  <si>
    <t>Frederick</t>
  </si>
  <si>
    <t>630</t>
  </si>
  <si>
    <t>Fredericksburg</t>
  </si>
  <si>
    <t>640</t>
  </si>
  <si>
    <t>Galax</t>
  </si>
  <si>
    <t>071</t>
  </si>
  <si>
    <t>Giles</t>
  </si>
  <si>
    <t>073</t>
  </si>
  <si>
    <t>Gloucester</t>
  </si>
  <si>
    <t>075</t>
  </si>
  <si>
    <t>Goochland</t>
  </si>
  <si>
    <t>077</t>
  </si>
  <si>
    <t>Grayson</t>
  </si>
  <si>
    <t>079</t>
  </si>
  <si>
    <t>Greene</t>
  </si>
  <si>
    <t>081</t>
  </si>
  <si>
    <t>Greensville/ Emporia</t>
  </si>
  <si>
    <t>083</t>
  </si>
  <si>
    <t>Halifax</t>
  </si>
  <si>
    <t>650</t>
  </si>
  <si>
    <t>Hampton</t>
  </si>
  <si>
    <t>085</t>
  </si>
  <si>
    <t>Hanover</t>
  </si>
  <si>
    <t>087</t>
  </si>
  <si>
    <t>Henrico</t>
  </si>
  <si>
    <t>089</t>
  </si>
  <si>
    <t>Henry/ Martinsville</t>
  </si>
  <si>
    <t>091</t>
  </si>
  <si>
    <t>Highland</t>
  </si>
  <si>
    <t>670</t>
  </si>
  <si>
    <t>Hopewell</t>
  </si>
  <si>
    <t>093</t>
  </si>
  <si>
    <t>Isle Of Wight</t>
  </si>
  <si>
    <t>095</t>
  </si>
  <si>
    <t>James City</t>
  </si>
  <si>
    <t>097</t>
  </si>
  <si>
    <t>King And Queen</t>
  </si>
  <si>
    <t>099</t>
  </si>
  <si>
    <t>King George</t>
  </si>
  <si>
    <t>101</t>
  </si>
  <si>
    <t>King William</t>
  </si>
  <si>
    <t>103</t>
  </si>
  <si>
    <t>Lancaster</t>
  </si>
  <si>
    <t>105</t>
  </si>
  <si>
    <t>Lee</t>
  </si>
  <si>
    <t>107</t>
  </si>
  <si>
    <t>Loudoun</t>
  </si>
  <si>
    <t>109</t>
  </si>
  <si>
    <t>Louisa</t>
  </si>
  <si>
    <t>111</t>
  </si>
  <si>
    <t>Lunenburg</t>
  </si>
  <si>
    <t>680</t>
  </si>
  <si>
    <t>Lynchburg</t>
  </si>
  <si>
    <t>113</t>
  </si>
  <si>
    <t>Madison</t>
  </si>
  <si>
    <t>683</t>
  </si>
  <si>
    <t>Manassas</t>
  </si>
  <si>
    <t>685</t>
  </si>
  <si>
    <t>Manassas Park</t>
  </si>
  <si>
    <t>115</t>
  </si>
  <si>
    <t>Mathews</t>
  </si>
  <si>
    <t>117</t>
  </si>
  <si>
    <t>Mecklenburg</t>
  </si>
  <si>
    <t>119</t>
  </si>
  <si>
    <t>Middlesex</t>
  </si>
  <si>
    <t>121</t>
  </si>
  <si>
    <t>Montgomery</t>
  </si>
  <si>
    <t>125</t>
  </si>
  <si>
    <t>Nelson</t>
  </si>
  <si>
    <t>127</t>
  </si>
  <si>
    <t>New Kent</t>
  </si>
  <si>
    <t>700</t>
  </si>
  <si>
    <t>Newport News</t>
  </si>
  <si>
    <t>710</t>
  </si>
  <si>
    <t>Norfolk</t>
  </si>
  <si>
    <t>131</t>
  </si>
  <si>
    <t>Northampton</t>
  </si>
  <si>
    <t>133</t>
  </si>
  <si>
    <t>Northumberland</t>
  </si>
  <si>
    <t>720</t>
  </si>
  <si>
    <t>Norton</t>
  </si>
  <si>
    <t>135</t>
  </si>
  <si>
    <t>Nottoway</t>
  </si>
  <si>
    <t>137</t>
  </si>
  <si>
    <t>Orange</t>
  </si>
  <si>
    <t>139</t>
  </si>
  <si>
    <t>Page</t>
  </si>
  <si>
    <t>141</t>
  </si>
  <si>
    <t>Patrick</t>
  </si>
  <si>
    <t>730</t>
  </si>
  <si>
    <t>Petersburg</t>
  </si>
  <si>
    <t>143</t>
  </si>
  <si>
    <t>Pittsylvania</t>
  </si>
  <si>
    <t>740</t>
  </si>
  <si>
    <t>Portsmouth</t>
  </si>
  <si>
    <t>145</t>
  </si>
  <si>
    <t>Powhatan</t>
  </si>
  <si>
    <t>147</t>
  </si>
  <si>
    <t>Prince Edward</t>
  </si>
  <si>
    <t>149</t>
  </si>
  <si>
    <t>Prince George</t>
  </si>
  <si>
    <t>153</t>
  </si>
  <si>
    <t>Prince William</t>
  </si>
  <si>
    <t>155</t>
  </si>
  <si>
    <t>Pulaski</t>
  </si>
  <si>
    <t>750</t>
  </si>
  <si>
    <t>Radford</t>
  </si>
  <si>
    <t>157</t>
  </si>
  <si>
    <t>Rappahannock</t>
  </si>
  <si>
    <t>760</t>
  </si>
  <si>
    <t>Richmond City</t>
  </si>
  <si>
    <t>159</t>
  </si>
  <si>
    <t>Richmond Co.</t>
  </si>
  <si>
    <t>770</t>
  </si>
  <si>
    <t>Roanoke City</t>
  </si>
  <si>
    <t>161</t>
  </si>
  <si>
    <t>Roanoke Co./ Salem</t>
  </si>
  <si>
    <t>163</t>
  </si>
  <si>
    <t>Rockbridge/ Buena Vista/ Lexington</t>
  </si>
  <si>
    <t>165</t>
  </si>
  <si>
    <t>Rockingham/ Harrisonburg</t>
  </si>
  <si>
    <t>167</t>
  </si>
  <si>
    <t>Russell</t>
  </si>
  <si>
    <t>169</t>
  </si>
  <si>
    <t>Scott</t>
  </si>
  <si>
    <t>171</t>
  </si>
  <si>
    <t>Shenandoah</t>
  </si>
  <si>
    <t>173</t>
  </si>
  <si>
    <t>Smyth</t>
  </si>
  <si>
    <t>175</t>
  </si>
  <si>
    <t>Southampton</t>
  </si>
  <si>
    <t>177</t>
  </si>
  <si>
    <t>Spotsylvania</t>
  </si>
  <si>
    <t>179</t>
  </si>
  <si>
    <t>Stafford</t>
  </si>
  <si>
    <t>800</t>
  </si>
  <si>
    <t>Suffolk</t>
  </si>
  <si>
    <t>181</t>
  </si>
  <si>
    <t>Surry</t>
  </si>
  <si>
    <t>183</t>
  </si>
  <si>
    <t>Sussex</t>
  </si>
  <si>
    <t>185</t>
  </si>
  <si>
    <t>Tazewell</t>
  </si>
  <si>
    <t>810</t>
  </si>
  <si>
    <t>Virginia Beach</t>
  </si>
  <si>
    <t>187</t>
  </si>
  <si>
    <t>Warren</t>
  </si>
  <si>
    <t>191</t>
  </si>
  <si>
    <t>Washington</t>
  </si>
  <si>
    <t>193</t>
  </si>
  <si>
    <t>Westmoreland</t>
  </si>
  <si>
    <t>830</t>
  </si>
  <si>
    <t>Williamsburg</t>
  </si>
  <si>
    <t>840</t>
  </si>
  <si>
    <t>Winchester</t>
  </si>
  <si>
    <t>195</t>
  </si>
  <si>
    <t>Wise</t>
  </si>
  <si>
    <t>197</t>
  </si>
  <si>
    <t>Wythe</t>
  </si>
  <si>
    <t>199</t>
  </si>
  <si>
    <t>York/Poquoson</t>
  </si>
  <si>
    <t>For questions, contact the Virginia Department of Social Services, Office of Research and Planning.</t>
  </si>
  <si>
    <t>Email:</t>
  </si>
  <si>
    <t>Research@dss.virginia.gov</t>
  </si>
  <si>
    <t>Region</t>
  </si>
  <si>
    <t>Civilian Labor Force 2004</t>
  </si>
  <si>
    <t>Unemployed 2004</t>
  </si>
  <si>
    <t>Unemployment Rate 2004</t>
  </si>
  <si>
    <t>Civilian Labor Force 2005</t>
  </si>
  <si>
    <t>Unemployed 2005</t>
  </si>
  <si>
    <t>Unemployment Rate 2005</t>
  </si>
  <si>
    <t>Civilian Labor Force 2006</t>
  </si>
  <si>
    <t>Unemployed 2006</t>
  </si>
  <si>
    <t>Unemployment Rate 2006</t>
  </si>
  <si>
    <t>Civilian Labor Force 2007</t>
  </si>
  <si>
    <t>Unemployed 2007</t>
  </si>
  <si>
    <t>Unemployment Rate 2007</t>
  </si>
  <si>
    <t>Civilian Labor Force 2008</t>
  </si>
  <si>
    <t>Unemployed 2008</t>
  </si>
  <si>
    <t>Unemployment Rate 2008</t>
  </si>
  <si>
    <t>Civilian Labor Force 2009</t>
  </si>
  <si>
    <t>Unemployed 2009</t>
  </si>
  <si>
    <t>Unemployment Rate 2009</t>
  </si>
  <si>
    <t>Eastern</t>
  </si>
  <si>
    <t>Piedmont</t>
  </si>
  <si>
    <t>Central</t>
  </si>
  <si>
    <t>Northern</t>
  </si>
  <si>
    <t>Western</t>
  </si>
  <si>
    <t>Charles City</t>
  </si>
  <si>
    <t>Isle of Wight</t>
  </si>
  <si>
    <t>King &amp; Queen</t>
  </si>
  <si>
    <t>Richmond County</t>
  </si>
  <si>
    <t>Manassas City</t>
  </si>
  <si>
    <t>2004</t>
  </si>
  <si>
    <t>2005</t>
  </si>
  <si>
    <t>2006</t>
  </si>
  <si>
    <t>2007</t>
  </si>
  <si>
    <t>2008</t>
  </si>
  <si>
    <t>2009</t>
  </si>
  <si>
    <t>Number in Care</t>
  </si>
  <si>
    <t>Percent</t>
  </si>
  <si>
    <t>Total</t>
  </si>
  <si>
    <t>Greensville/Emporia</t>
  </si>
  <si>
    <t>Roanoke County/ Salem</t>
  </si>
  <si>
    <t>Rockbridge/BV/ Lexington</t>
  </si>
  <si>
    <t>na</t>
  </si>
  <si>
    <t>James City County</t>
  </si>
  <si>
    <t>Location</t>
  </si>
  <si>
    <t>King and Queen</t>
  </si>
  <si>
    <t>SNAP Participation Rate, 2004-2010, by Locality</t>
  </si>
  <si>
    <t>Alleghany-Covington</t>
  </si>
  <si>
    <t>Bedford Co./ Bedford City</t>
  </si>
  <si>
    <t>Fairfax-Falls Church</t>
  </si>
  <si>
    <t>Henry-Martinsville</t>
  </si>
  <si>
    <t>Roanoke Co. Salem</t>
  </si>
  <si>
    <t>Rockbridge/Buena Vista/Lexington</t>
  </si>
  <si>
    <t>Rockingham/Harrisonburg</t>
  </si>
  <si>
    <t>Chesterfield/Colonial Heights</t>
  </si>
  <si>
    <t>Fairfax County/City/Falls Church</t>
  </si>
  <si>
    <t>Alleghany/Covington</t>
  </si>
  <si>
    <t>Augusta/Staunton/Waynesboro</t>
  </si>
  <si>
    <t>Bedford County/City</t>
  </si>
  <si>
    <t>Henry/Martinsville</t>
  </si>
  <si>
    <t>Roanoke County/Salem</t>
  </si>
  <si>
    <t>Fairfax Co./ City/ Falls Church</t>
  </si>
  <si>
    <t>FIPS Number</t>
  </si>
  <si>
    <t>NER</t>
  </si>
  <si>
    <t>Combined FIPS</t>
  </si>
  <si>
    <t>Combined Name</t>
  </si>
  <si>
    <t>853_Fed</t>
  </si>
  <si>
    <t>853_ARRA</t>
  </si>
  <si>
    <t>853_State</t>
  </si>
  <si>
    <t>853_Local</t>
  </si>
  <si>
    <t>853_NR</t>
  </si>
  <si>
    <t>853_Total</t>
  </si>
  <si>
    <t>856_Fed</t>
  </si>
  <si>
    <t>856_ARRA</t>
  </si>
  <si>
    <t>856_State</t>
  </si>
  <si>
    <t>856_Local</t>
  </si>
  <si>
    <t>856_NR</t>
  </si>
  <si>
    <t>856_Total</t>
  </si>
  <si>
    <t>Bedford Co./City</t>
  </si>
  <si>
    <t>Franklin Co.</t>
  </si>
  <si>
    <t>Halifax/ So. Boston</t>
  </si>
  <si>
    <t>York/ Poquoson</t>
  </si>
  <si>
    <t>Franklin</t>
  </si>
  <si>
    <t>Richmond</t>
  </si>
  <si>
    <t>Roanoke</t>
  </si>
  <si>
    <t>Federal</t>
  </si>
  <si>
    <t>State</t>
  </si>
  <si>
    <t>Local</t>
  </si>
  <si>
    <t>Administrative costs</t>
  </si>
  <si>
    <t>Eligibility staff and operations</t>
  </si>
  <si>
    <t>Services staff and operations</t>
  </si>
  <si>
    <t>Other expenses</t>
  </si>
  <si>
    <t>Services purchased for clients</t>
  </si>
  <si>
    <t>Medicaid &amp; FAMIS</t>
  </si>
  <si>
    <t>SNAP</t>
  </si>
  <si>
    <t>Energy Assistance</t>
  </si>
  <si>
    <t>Foster care and adoption</t>
  </si>
  <si>
    <t>Other Benefits</t>
  </si>
  <si>
    <t>854_Fed</t>
  </si>
  <si>
    <t>854_ARRA</t>
  </si>
  <si>
    <t>854_State</t>
  </si>
  <si>
    <t>854_Local</t>
  </si>
  <si>
    <t>854_NR</t>
  </si>
  <si>
    <t>854_Total</t>
  </si>
  <si>
    <t>857_Fed</t>
  </si>
  <si>
    <t>857_ARRA</t>
  </si>
  <si>
    <t>857_State</t>
  </si>
  <si>
    <t>857_Local</t>
  </si>
  <si>
    <t>857_NR</t>
  </si>
  <si>
    <t>857_Total</t>
  </si>
  <si>
    <t>000_Fed</t>
  </si>
  <si>
    <t>000_ARRA</t>
  </si>
  <si>
    <t>000_Local</t>
  </si>
  <si>
    <t>000_Total</t>
  </si>
  <si>
    <t>805_Fed</t>
  </si>
  <si>
    <t>805_ARRA</t>
  </si>
  <si>
    <t>805_State</t>
  </si>
  <si>
    <t>805_Local</t>
  </si>
  <si>
    <t>805_NR</t>
  </si>
  <si>
    <t>805_Total</t>
  </si>
  <si>
    <t>843_Fed</t>
  </si>
  <si>
    <t>843_ARRA</t>
  </si>
  <si>
    <t>843_State</t>
  </si>
  <si>
    <t>843_Local</t>
  </si>
  <si>
    <t>843_NR</t>
  </si>
  <si>
    <t>843_Total</t>
  </si>
  <si>
    <t>217_Fed</t>
  </si>
  <si>
    <t>217_ARRA</t>
  </si>
  <si>
    <t>217_State</t>
  </si>
  <si>
    <t>217_Local</t>
  </si>
  <si>
    <t>217_NR</t>
  </si>
  <si>
    <t>217_Total</t>
  </si>
  <si>
    <t>824_Fed</t>
  </si>
  <si>
    <t>824_ARRA</t>
  </si>
  <si>
    <t>824_State</t>
  </si>
  <si>
    <t>824_Local</t>
  </si>
  <si>
    <t>824_NR</t>
  </si>
  <si>
    <t>824_Total</t>
  </si>
  <si>
    <t>829_Fed</t>
  </si>
  <si>
    <t>829_ARRA</t>
  </si>
  <si>
    <t>829_State</t>
  </si>
  <si>
    <t>829_Local</t>
  </si>
  <si>
    <t>829_NR</t>
  </si>
  <si>
    <t>829_Total</t>
  </si>
  <si>
    <t>833_Fed</t>
  </si>
  <si>
    <t>833_ARRA</t>
  </si>
  <si>
    <t>833_State</t>
  </si>
  <si>
    <t>833_Local</t>
  </si>
  <si>
    <t>833_NR</t>
  </si>
  <si>
    <t>833_Total</t>
  </si>
  <si>
    <t>844_ARRA</t>
  </si>
  <si>
    <t>844_State</t>
  </si>
  <si>
    <t>844_Local</t>
  </si>
  <si>
    <t>844_NR</t>
  </si>
  <si>
    <t>844_Total</t>
  </si>
  <si>
    <t>861_Fed</t>
  </si>
  <si>
    <t>861_ARRA</t>
  </si>
  <si>
    <t>861_State</t>
  </si>
  <si>
    <t>861_Local</t>
  </si>
  <si>
    <t>861_NR</t>
  </si>
  <si>
    <t>861_Total</t>
  </si>
  <si>
    <t>862_Fed</t>
  </si>
  <si>
    <t>862_ARRA</t>
  </si>
  <si>
    <t>862_State</t>
  </si>
  <si>
    <t>862_Local</t>
  </si>
  <si>
    <t>862_NR</t>
  </si>
  <si>
    <t>862_Total</t>
  </si>
  <si>
    <t>863_Fed</t>
  </si>
  <si>
    <t>863_ARRA</t>
  </si>
  <si>
    <t>863_State</t>
  </si>
  <si>
    <t>863_Local</t>
  </si>
  <si>
    <t>863_NR</t>
  </si>
  <si>
    <t>863_Total</t>
  </si>
  <si>
    <t>864_Fed</t>
  </si>
  <si>
    <t>864_ARRA</t>
  </si>
  <si>
    <t>864_State</t>
  </si>
  <si>
    <t>864_Local</t>
  </si>
  <si>
    <t>864_NR</t>
  </si>
  <si>
    <t>864_Total</t>
  </si>
  <si>
    <t>866_Fed</t>
  </si>
  <si>
    <t>866_ARRA</t>
  </si>
  <si>
    <t>866_State</t>
  </si>
  <si>
    <t>866_Local</t>
  </si>
  <si>
    <t>866_NR</t>
  </si>
  <si>
    <t>866_Total</t>
  </si>
  <si>
    <t>871_Fed</t>
  </si>
  <si>
    <t>871_ARRA</t>
  </si>
  <si>
    <t>871_State</t>
  </si>
  <si>
    <t>871_Local</t>
  </si>
  <si>
    <t>871_NR</t>
  </si>
  <si>
    <t>871_Total</t>
  </si>
  <si>
    <t>872_Fed</t>
  </si>
  <si>
    <t>872_ARRA</t>
  </si>
  <si>
    <t>872_State</t>
  </si>
  <si>
    <t>872_Local</t>
  </si>
  <si>
    <t>872_NR</t>
  </si>
  <si>
    <t>872_Total</t>
  </si>
  <si>
    <t>873_Fed</t>
  </si>
  <si>
    <t>873_ARRA</t>
  </si>
  <si>
    <t>873_State</t>
  </si>
  <si>
    <t>873_Local</t>
  </si>
  <si>
    <t>873_NR</t>
  </si>
  <si>
    <t>873_Total</t>
  </si>
  <si>
    <t>875_Fed</t>
  </si>
  <si>
    <t>875_ARRA</t>
  </si>
  <si>
    <t>875_State</t>
  </si>
  <si>
    <t>875_Local</t>
  </si>
  <si>
    <t>875_NR</t>
  </si>
  <si>
    <t>875_Total</t>
  </si>
  <si>
    <t>878_Fed</t>
  </si>
  <si>
    <t>878_ARRA</t>
  </si>
  <si>
    <t>878_State</t>
  </si>
  <si>
    <t>878_Local</t>
  </si>
  <si>
    <t>878_NR</t>
  </si>
  <si>
    <t>878_Total</t>
  </si>
  <si>
    <t>881_Fed</t>
  </si>
  <si>
    <t>881_ARRA</t>
  </si>
  <si>
    <t>881_State</t>
  </si>
  <si>
    <t>881_Local</t>
  </si>
  <si>
    <t>881_NR</t>
  </si>
  <si>
    <t>881_Total</t>
  </si>
  <si>
    <t>883_Fed</t>
  </si>
  <si>
    <t>883_ARRA</t>
  </si>
  <si>
    <t>883_State</t>
  </si>
  <si>
    <t>883_Local</t>
  </si>
  <si>
    <t>883_NR</t>
  </si>
  <si>
    <t>883_Total</t>
  </si>
  <si>
    <t>890_Fed</t>
  </si>
  <si>
    <t>890_ARRA</t>
  </si>
  <si>
    <t>890_State</t>
  </si>
  <si>
    <t>890_Local</t>
  </si>
  <si>
    <t>890_NR</t>
  </si>
  <si>
    <t>890_Total</t>
  </si>
  <si>
    <t>895_Fed</t>
  </si>
  <si>
    <t>895_ARRA</t>
  </si>
  <si>
    <t>895_State</t>
  </si>
  <si>
    <t>895_Local</t>
  </si>
  <si>
    <t>895_NR</t>
  </si>
  <si>
    <t>895_Total</t>
  </si>
  <si>
    <t>936_Fed</t>
  </si>
  <si>
    <t>936_ARRA</t>
  </si>
  <si>
    <t>936_State</t>
  </si>
  <si>
    <t>936_Local</t>
  </si>
  <si>
    <t>936_NR</t>
  </si>
  <si>
    <t>936_Total</t>
  </si>
  <si>
    <t>Federal/ ARRA</t>
  </si>
  <si>
    <t>Local &amp; NER</t>
  </si>
  <si>
    <t>Local &amp; Non-Reimbursable</t>
  </si>
  <si>
    <t>Local &amp; NRE</t>
  </si>
  <si>
    <t>Medicaid_Fed</t>
  </si>
  <si>
    <t>SNAP_Total</t>
  </si>
  <si>
    <t>SNAP_FED</t>
  </si>
  <si>
    <t>SNAP_ARRA</t>
  </si>
  <si>
    <t>SNAP_STATE</t>
  </si>
  <si>
    <t>LIHEAP_Total</t>
  </si>
  <si>
    <t>LIHEAP_Fed</t>
  </si>
  <si>
    <t>811_Fed</t>
  </si>
  <si>
    <t>811_ARRA</t>
  </si>
  <si>
    <t>811_State</t>
  </si>
  <si>
    <t>811_Local</t>
  </si>
  <si>
    <t>811_NR</t>
  </si>
  <si>
    <t>811_Total</t>
  </si>
  <si>
    <t>812_Fed</t>
  </si>
  <si>
    <t>812_ARRA</t>
  </si>
  <si>
    <t>812_State</t>
  </si>
  <si>
    <t>812_Local</t>
  </si>
  <si>
    <t>812_NR</t>
  </si>
  <si>
    <t>812_Total</t>
  </si>
  <si>
    <t>817_Fed</t>
  </si>
  <si>
    <t>817_ARRA</t>
  </si>
  <si>
    <t>817_State</t>
  </si>
  <si>
    <t>817_Local</t>
  </si>
  <si>
    <t>817_NR</t>
  </si>
  <si>
    <t>817_Total</t>
  </si>
  <si>
    <t>820Fed</t>
  </si>
  <si>
    <t>820_ARRA</t>
  </si>
  <si>
    <t>820_State</t>
  </si>
  <si>
    <t>820_Local</t>
  </si>
  <si>
    <t>820_NR</t>
  </si>
  <si>
    <t>820_Total</t>
  </si>
  <si>
    <t>CSA_FED</t>
  </si>
  <si>
    <t>CSA_ARRA</t>
  </si>
  <si>
    <t>CSA_STATE</t>
  </si>
  <si>
    <t>CSA_LOCAL</t>
  </si>
  <si>
    <t>CSA_Non-Reimbursed</t>
  </si>
  <si>
    <t>CSA_Total</t>
  </si>
  <si>
    <t>Local and Non-Reimbursable</t>
  </si>
  <si>
    <t>Non-Reimbursable</t>
  </si>
  <si>
    <t>TANF</t>
  </si>
  <si>
    <t>867_Local</t>
  </si>
  <si>
    <t>867_Total</t>
  </si>
  <si>
    <t>808_Fed</t>
  </si>
  <si>
    <t>808_ARRA</t>
  </si>
  <si>
    <t>808_State</t>
  </si>
  <si>
    <t>808_Local</t>
  </si>
  <si>
    <t>808_NR</t>
  </si>
  <si>
    <t>808_Total</t>
  </si>
  <si>
    <t>810_Fed</t>
  </si>
  <si>
    <t>810_ARRA</t>
  </si>
  <si>
    <t>810_State</t>
  </si>
  <si>
    <t>810_Local</t>
  </si>
  <si>
    <t>810_NR</t>
  </si>
  <si>
    <t>810_Total</t>
  </si>
  <si>
    <t>848_Fed</t>
  </si>
  <si>
    <t>848_ARRA</t>
  </si>
  <si>
    <t>848_State</t>
  </si>
  <si>
    <t>848_Local</t>
  </si>
  <si>
    <t>848_NR</t>
  </si>
  <si>
    <t>848_Total</t>
  </si>
  <si>
    <t>851_Fed</t>
  </si>
  <si>
    <t>851_ARRA</t>
  </si>
  <si>
    <t>851_State</t>
  </si>
  <si>
    <t>851_Local</t>
  </si>
  <si>
    <t>851_NR</t>
  </si>
  <si>
    <t>851_Total</t>
  </si>
  <si>
    <t>867_Fed</t>
  </si>
  <si>
    <t>867_ARRA</t>
  </si>
  <si>
    <t>867_State</t>
  </si>
  <si>
    <t>867_NR</t>
  </si>
  <si>
    <t>TANF_Fed</t>
  </si>
  <si>
    <t>TANF_ARRA</t>
  </si>
  <si>
    <t>TANF_State</t>
  </si>
  <si>
    <t>TANF_Total</t>
  </si>
  <si>
    <t>804_Fed</t>
  </si>
  <si>
    <t>804_ARRA</t>
  </si>
  <si>
    <t>804_State</t>
  </si>
  <si>
    <t>804_Local</t>
  </si>
  <si>
    <t>804_NR</t>
  </si>
  <si>
    <t>804_Total</t>
  </si>
  <si>
    <t>813_Fed</t>
  </si>
  <si>
    <t>813_ARRA</t>
  </si>
  <si>
    <t>813_State</t>
  </si>
  <si>
    <t>813_Local</t>
  </si>
  <si>
    <t>813_NR</t>
  </si>
  <si>
    <t>813_Total</t>
  </si>
  <si>
    <t>819_Fed</t>
  </si>
  <si>
    <t>819_ARRA</t>
  </si>
  <si>
    <t>819_State</t>
  </si>
  <si>
    <t>819_Local</t>
  </si>
  <si>
    <t>819_NR</t>
  </si>
  <si>
    <t>819_Total</t>
  </si>
  <si>
    <t>821_Fed</t>
  </si>
  <si>
    <t>821_ARRA</t>
  </si>
  <si>
    <t>821_State</t>
  </si>
  <si>
    <t>821_Local</t>
  </si>
  <si>
    <t>821_NR</t>
  </si>
  <si>
    <t>821_Total</t>
  </si>
  <si>
    <t>Civilian Labor Force 2001</t>
  </si>
  <si>
    <t>Unemployed 2001</t>
  </si>
  <si>
    <t>Unemployment Rate 2001</t>
  </si>
  <si>
    <t>Civilian Labor Force 2002</t>
  </si>
  <si>
    <t>Unemployed 2002</t>
  </si>
  <si>
    <t>Unemployment Rate 2002</t>
  </si>
  <si>
    <t>Civilian Labor Force 2003</t>
  </si>
  <si>
    <t>Unemployed 2003</t>
  </si>
  <si>
    <t>Unemployment Rate 2003</t>
  </si>
  <si>
    <t>2010</t>
  </si>
  <si>
    <t>Black</t>
  </si>
  <si>
    <t>Other</t>
  </si>
  <si>
    <t>Medicaid</t>
  </si>
  <si>
    <t>Other Race</t>
  </si>
  <si>
    <t>Total Population</t>
  </si>
  <si>
    <t>Total Children</t>
  </si>
  <si>
    <t>Accomack County</t>
  </si>
  <si>
    <t>Albemarle County</t>
  </si>
  <si>
    <t>Amelia County</t>
  </si>
  <si>
    <t>Amherst County</t>
  </si>
  <si>
    <t>Appomattox County</t>
  </si>
  <si>
    <t>Arlington County</t>
  </si>
  <si>
    <t>Bath County</t>
  </si>
  <si>
    <t>Bland County</t>
  </si>
  <si>
    <t>Botetourt County</t>
  </si>
  <si>
    <t>Brunswick County</t>
  </si>
  <si>
    <t>Buchanan County</t>
  </si>
  <si>
    <t>Buckingham County</t>
  </si>
  <si>
    <t>Campbell County</t>
  </si>
  <si>
    <t>Caroline County</t>
  </si>
  <si>
    <t>Carroll County</t>
  </si>
  <si>
    <t>Charles City County</t>
  </si>
  <si>
    <t>Charlotte County</t>
  </si>
  <si>
    <t>Clarke County</t>
  </si>
  <si>
    <t>Craig County</t>
  </si>
  <si>
    <t>Culpeper County</t>
  </si>
  <si>
    <t>Cumberland County</t>
  </si>
  <si>
    <t>Dickenson County</t>
  </si>
  <si>
    <t>Dinwiddie County</t>
  </si>
  <si>
    <t>Essex County</t>
  </si>
  <si>
    <t>Fauquier County</t>
  </si>
  <si>
    <t>Floyd County</t>
  </si>
  <si>
    <t>Fluvanna County</t>
  </si>
  <si>
    <t>Frederick County</t>
  </si>
  <si>
    <t>Giles County</t>
  </si>
  <si>
    <t>Gloucester County</t>
  </si>
  <si>
    <t>Goochland County</t>
  </si>
  <si>
    <t>Grayson County</t>
  </si>
  <si>
    <t>Greene County</t>
  </si>
  <si>
    <t>Hanover County</t>
  </si>
  <si>
    <t>Henrico County</t>
  </si>
  <si>
    <t>Highland County</t>
  </si>
  <si>
    <t>Isle of Wight County</t>
  </si>
  <si>
    <t>King and Queen County</t>
  </si>
  <si>
    <t>King George County</t>
  </si>
  <si>
    <t>King William County</t>
  </si>
  <si>
    <t>Lancaster County</t>
  </si>
  <si>
    <t>Lee County</t>
  </si>
  <si>
    <t>Loudoun County</t>
  </si>
  <si>
    <t>Louisa County</t>
  </si>
  <si>
    <t>Lunenburg County</t>
  </si>
  <si>
    <t>Madison County</t>
  </si>
  <si>
    <t>Mathews County</t>
  </si>
  <si>
    <t>Mecklenburg County</t>
  </si>
  <si>
    <t>Middlesex County</t>
  </si>
  <si>
    <t>Montgomery County</t>
  </si>
  <si>
    <t>Nelson County</t>
  </si>
  <si>
    <t>New Kent County</t>
  </si>
  <si>
    <t>Northampton County</t>
  </si>
  <si>
    <t>Northumberland County</t>
  </si>
  <si>
    <t>Nottoway County</t>
  </si>
  <si>
    <t>Orange County</t>
  </si>
  <si>
    <t>Page County</t>
  </si>
  <si>
    <t>Patrick County</t>
  </si>
  <si>
    <t>Pittsylvania County</t>
  </si>
  <si>
    <t>Powhatan County</t>
  </si>
  <si>
    <t>Prince Edward County</t>
  </si>
  <si>
    <t>Prince George County</t>
  </si>
  <si>
    <t>Prince William County</t>
  </si>
  <si>
    <t>Pulaski County</t>
  </si>
  <si>
    <t>Rappahannock County</t>
  </si>
  <si>
    <t>Russell County</t>
  </si>
  <si>
    <t>Scott County</t>
  </si>
  <si>
    <t>Shenandoah County</t>
  </si>
  <si>
    <t>Smyth County</t>
  </si>
  <si>
    <t>Southampton County</t>
  </si>
  <si>
    <t>Spotsylvania County</t>
  </si>
  <si>
    <t>Stafford County</t>
  </si>
  <si>
    <t>Surry County</t>
  </si>
  <si>
    <t>Sussex County</t>
  </si>
  <si>
    <t>Tazewell County</t>
  </si>
  <si>
    <t>Warren County</t>
  </si>
  <si>
    <t>Washington County</t>
  </si>
  <si>
    <t>Westmoreland County</t>
  </si>
  <si>
    <t>Wise County</t>
  </si>
  <si>
    <t>Wythe County</t>
  </si>
  <si>
    <t>SNAP SFY 2005</t>
  </si>
  <si>
    <t>SNAP SFY 2006</t>
  </si>
  <si>
    <t>SNAP SFY  2007</t>
  </si>
  <si>
    <t>SNAP SFY 2008</t>
  </si>
  <si>
    <t>SNAP SFY 2009</t>
  </si>
  <si>
    <t>SNAP SFY 2010</t>
  </si>
  <si>
    <t>TANF SFY 2005</t>
  </si>
  <si>
    <t>TANF SFY 2006</t>
  </si>
  <si>
    <t>TANF SFY 2007</t>
  </si>
  <si>
    <t>TANF SFY 2008</t>
  </si>
  <si>
    <t>TANF SFY 2009</t>
  </si>
  <si>
    <t>TANF SFY 2010</t>
  </si>
  <si>
    <t>Number of Clients</t>
  </si>
  <si>
    <t>Asian</t>
  </si>
  <si>
    <t>Black/ African American</t>
  </si>
  <si>
    <t xml:space="preserve"> -  1  - </t>
  </si>
  <si>
    <t>Children in CPS Referral SFY 2010</t>
  </si>
  <si>
    <t>Source: VCWOR - CPS Sysems Annual Reports -Demographic Annual Reports/ Childrens Demograhic Annual Report - All Referrals , 07/01/09 to 06/30/10</t>
  </si>
  <si>
    <t>Local Agency</t>
  </si>
  <si>
    <t>RegionName</t>
  </si>
  <si>
    <t>Male</t>
  </si>
  <si>
    <t>Female</t>
  </si>
  <si>
    <t>Sex Unknown</t>
  </si>
  <si>
    <t>Hispanic</t>
  </si>
  <si>
    <t>American Indian</t>
  </si>
  <si>
    <t>Hawaiian-Pacific Islander</t>
  </si>
  <si>
    <t>Race Unknown</t>
  </si>
  <si>
    <t>Age &gt;= 00 and &lt; 01</t>
  </si>
  <si>
    <t>Age &gt;= 01 and &lt; 04</t>
  </si>
  <si>
    <t>Age &gt;= 04 and &lt; 08</t>
  </si>
  <si>
    <t>Age &gt;= 08 and &lt; 12</t>
  </si>
  <si>
    <t>Age &gt;= 12 and &lt; 16</t>
  </si>
  <si>
    <t>Age &gt;= 16 and &lt; 18</t>
  </si>
  <si>
    <t>Age Unknown</t>
  </si>
  <si>
    <t>Other Calculated</t>
  </si>
  <si>
    <t>WHITE</t>
  </si>
  <si>
    <t>BLACK</t>
  </si>
  <si>
    <t>(3) Other key programs administered by LDSS include: Child Care, Energy Assistance, Auxiliary Grant, General Relief, and Adult Services.</t>
  </si>
  <si>
    <t>(2) "Participants as a Percent of Subpopulation" shows the percentage of each subpopulation that receives benefits; e.g., white children receiving benefits as a percent of all white children in the locality.</t>
  </si>
  <si>
    <t>(2) Services staff and operations - 854, and  857</t>
  </si>
  <si>
    <t>Notes:  Budget line (BL) key for spending categories.</t>
  </si>
  <si>
    <t>(1) Eligibility staff and operations -853, and 856.</t>
  </si>
  <si>
    <t>(3) Other expenses -  843, 000, and 805</t>
  </si>
  <si>
    <t>(6) SNAP - benefits paid.</t>
  </si>
  <si>
    <t>(5) Medicaid &amp; FAMIS - Benefits paid.</t>
  </si>
  <si>
    <t>(7) Energy Assistance - benefits paid.</t>
  </si>
  <si>
    <t>(8) Foster care and adoption - 811- IV_E Foster Care, 812 - IV-E Adoption Assistance, 817- Special Needs Adoptions, 820- Adoptions Incentive, CSA</t>
  </si>
  <si>
    <t>(9) TANF - 808,810, 848, 851, 867, Section III TANF benefits paid.</t>
  </si>
  <si>
    <t>(10) Other Benefits - 804 - Auxiliary Grant, 813 - General Relief, 819 - Refugee Cash Assistance,  821 - Petersburg Stabilization Project Initiative,  819 Refugee Assistance</t>
  </si>
  <si>
    <t>Adoptions_Open</t>
  </si>
  <si>
    <t>Adoptions_Closed</t>
  </si>
  <si>
    <t>Adoptions_Continue</t>
  </si>
  <si>
    <t>Average Adoption Cases Continued</t>
  </si>
  <si>
    <t>Source: OASIS Statistical Care Report</t>
  </si>
  <si>
    <t>http://spark.dss.virginia.gov/divisions/dfs/generic_reports/</t>
  </si>
  <si>
    <t xml:space="preserve">Notes: (1) For Benefit programs, the number of participants is an unduplicated count of the number of individuals in the locality who received benefits at some point during the fiscal year.  For child welfare, the number of participants is an unduplicated count of individuals served. 
</t>
  </si>
  <si>
    <t>Medicaid Children</t>
  </si>
  <si>
    <t>Medicaid Adults</t>
  </si>
  <si>
    <t>SNAP Children</t>
  </si>
  <si>
    <t>SNAP Adults</t>
  </si>
  <si>
    <t>TANF Children</t>
  </si>
  <si>
    <t>TANF Adults</t>
  </si>
  <si>
    <t>Recipients</t>
  </si>
  <si>
    <t>Population</t>
  </si>
  <si>
    <t>Percent Receiving Assistance</t>
  </si>
  <si>
    <t>Other race</t>
  </si>
  <si>
    <t>Admin costs as percent of total</t>
  </si>
  <si>
    <t>Total administrative costs</t>
  </si>
  <si>
    <t>Total Recipients</t>
  </si>
  <si>
    <t>The password for the main sheet is:</t>
  </si>
  <si>
    <t>research</t>
  </si>
  <si>
    <t>lower case</t>
  </si>
  <si>
    <t>Children in CPS referrals</t>
  </si>
  <si>
    <t>Medicaid Clients</t>
  </si>
  <si>
    <t>2011</t>
  </si>
  <si>
    <t>Total Adults</t>
  </si>
  <si>
    <t>Total Persons</t>
  </si>
  <si>
    <t>TANF SFY 2011</t>
  </si>
  <si>
    <t>Civilian Labor Force 2010</t>
  </si>
  <si>
    <t>Unemployed 2010</t>
  </si>
  <si>
    <t>Unemployment Rate 2010</t>
  </si>
  <si>
    <t>Civilian Labor Force 2011</t>
  </si>
  <si>
    <t>Unemployed 2011</t>
  </si>
  <si>
    <t>Unemployment Rate 2011</t>
  </si>
  <si>
    <t>000_State</t>
  </si>
  <si>
    <t>Medicaid_State</t>
  </si>
  <si>
    <t>FAMIS_TOTAL</t>
  </si>
  <si>
    <t>FAMIS_FED</t>
  </si>
  <si>
    <t>FAMIS_STATE</t>
  </si>
  <si>
    <t>Total_Medicaid</t>
  </si>
  <si>
    <t>(4) Population estimates from the New American Factfinders, 2010 Decennial Census, SF1 100% data tables : P12 Age by Sex, all persons; P12A, Age by Sex, Whites Alone; P12B, Age by Sex, Black or African American Alone</t>
  </si>
  <si>
    <t>000_Non- Reimbursable</t>
  </si>
  <si>
    <t>Level of IT support</t>
  </si>
  <si>
    <t>Alleghany/Covington/Clifton Forge</t>
  </si>
  <si>
    <t>Bedford Co./ city</t>
  </si>
  <si>
    <t>Fairfax/Fairfax City/Falls Church</t>
  </si>
  <si>
    <t>Halifax/South Boston</t>
  </si>
  <si>
    <t># with Full Support</t>
  </si>
  <si>
    <t># with Shared Support</t>
  </si>
  <si>
    <t>"Full" and "shared" IT support refer to the level of support provided by the VDSS Division of Information Services to local DSS agencies.</t>
  </si>
  <si>
    <t>Source: Virginia Department of Social Services, Division of Information Services.  Information was provided on 2/1/2012.</t>
  </si>
  <si>
    <t>Agency Class/Level</t>
  </si>
  <si>
    <t>Source: VDSS, Division of Human Resources, Agency level designation. Accessed from LETS on 12/14/2011.</t>
  </si>
  <si>
    <t>LDSS</t>
  </si>
  <si>
    <t>Deviation Status</t>
  </si>
  <si>
    <t>ND</t>
  </si>
  <si>
    <t>JW</t>
  </si>
  <si>
    <t>ND :  Non-Deviating</t>
  </si>
  <si>
    <t>JW:    Jurisdiction Wide Deviation</t>
  </si>
  <si>
    <t>Fairfax Co./Fairfax City/Falls Church</t>
  </si>
  <si>
    <t>Bedford Co./Bedford City</t>
  </si>
  <si>
    <t>Roanoke Co./Salem</t>
  </si>
  <si>
    <t>Deviation Name</t>
  </si>
  <si>
    <t>% of Total Positions</t>
  </si>
  <si>
    <t>Region:</t>
  </si>
  <si>
    <t>% of Persons in Poverty Served (annualized reach)</t>
  </si>
  <si>
    <r>
      <t>Agency Level:</t>
    </r>
    <r>
      <rPr>
        <b/>
        <vertAlign val="superscript"/>
        <sz val="9"/>
        <color indexed="8"/>
        <rFont val="Cambria"/>
        <family val="1"/>
      </rPr>
      <t>1</t>
    </r>
  </si>
  <si>
    <r>
      <t>HR  Policy:</t>
    </r>
    <r>
      <rPr>
        <b/>
        <vertAlign val="superscript"/>
        <sz val="9"/>
        <color indexed="8"/>
        <rFont val="Cambria"/>
        <family val="1"/>
      </rPr>
      <t>2</t>
    </r>
  </si>
  <si>
    <r>
      <t>IT Support:</t>
    </r>
    <r>
      <rPr>
        <b/>
        <vertAlign val="superscript"/>
        <sz val="9"/>
        <color indexed="8"/>
        <rFont val="Cambria"/>
        <family val="1"/>
      </rPr>
      <t>3</t>
    </r>
  </si>
  <si>
    <t>By Age</t>
  </si>
  <si>
    <t>Children (0-17 years)</t>
  </si>
  <si>
    <t>By Race/Ethnicity</t>
  </si>
  <si>
    <t>Hispanic/Latino</t>
  </si>
  <si>
    <t>Count</t>
  </si>
  <si>
    <t>Percent of Children Living in Single Parent Households, 2010, by Race/Ethnicity and County/City</t>
  </si>
  <si>
    <t>Total Child Population</t>
  </si>
  <si>
    <t xml:space="preserve">African American </t>
  </si>
  <si>
    <t>Hispanic or Latino</t>
  </si>
  <si>
    <t>Percent in Single Parent Families</t>
  </si>
  <si>
    <t>Number In Single Parent HH</t>
  </si>
  <si>
    <t>Source: U.S. Census Bureau, 2010 Census Summary File 1 (Table P31), Household Type by Relationship for Population Under 18 years.  Refers to population of children (&lt; 18 years) living in their own parents' households. Excludes minors who are heads of households, spouses, or other relatives (e.g., grandchildren) living in the household as well as children living in institutionalized settings.  Hispanic origin is not mutually exclusive of race.</t>
  </si>
  <si>
    <t>Administration</t>
  </si>
  <si>
    <t>Percent of Positions Unfilled</t>
  </si>
  <si>
    <t>Pct. of Positions Unfilled-Statewide</t>
  </si>
  <si>
    <t>RESIDENT TOTAL LIVE BIRTHS</t>
  </si>
  <si>
    <t>RESIDENT NON-MARITAL LIVE BIRTHS</t>
  </si>
  <si>
    <t>Number of Live Births</t>
  </si>
  <si>
    <t>Number of Live Non-Marital Births</t>
  </si>
  <si>
    <t>Percent Non-Marital</t>
  </si>
  <si>
    <t>TOTAL</t>
  </si>
  <si>
    <t>OTHER</t>
  </si>
  <si>
    <t>Filled</t>
  </si>
  <si>
    <t>Number</t>
  </si>
  <si>
    <t>Married</t>
  </si>
  <si>
    <t>Board</t>
  </si>
  <si>
    <t>Advisory</t>
  </si>
  <si>
    <t>Fairfax County/Fairfax City/Falls Church</t>
  </si>
  <si>
    <t>Total - Advisory</t>
  </si>
  <si>
    <t>Client Benefits Spending</t>
  </si>
  <si>
    <t>Number and Percentage of Households Where Heterosexual Couples are Married or Cohabiting, by Local DSS Agency, 2010</t>
  </si>
  <si>
    <t>Number of Households with Heterosexual Couples</t>
  </si>
  <si>
    <t>Percent (%) of Households with Heterosexual Couples</t>
  </si>
  <si>
    <t>LDSS Agency</t>
  </si>
  <si>
    <t>Cohabiting</t>
  </si>
  <si>
    <t>Source: U.S. Census Bureau, 2010 Census, Summary File 1 (Table PCT15). Excludes households with homosexual couples.</t>
  </si>
  <si>
    <t>Administrative</t>
  </si>
  <si>
    <t>Fairfax Co./ Fairfax City/ Falls Church</t>
  </si>
  <si>
    <t>Halifax/ South Boston</t>
  </si>
  <si>
    <t>Number of Heterosexual Couples in Households With Own Children</t>
  </si>
  <si>
    <t>Percent (%) of Heterosexual Couples in Households With Own Children</t>
  </si>
  <si>
    <t>Total client benefits spending</t>
  </si>
  <si>
    <t>Benefits as a percent of total</t>
  </si>
  <si>
    <t>Total Social Services Spending</t>
  </si>
  <si>
    <t>Services as a percent of total</t>
  </si>
  <si>
    <t>Percent by funding source</t>
  </si>
  <si>
    <t>Benefits &amp; Services*</t>
  </si>
  <si>
    <t>UnFilled (VACANT)</t>
  </si>
  <si>
    <t>Invalid Filled Positions</t>
  </si>
  <si>
    <t>% UnFilled (VACANT)</t>
  </si>
  <si>
    <t>Invalid position is no longer active for various reasons (e.g., abolished, redefined, reallocated) and are not included in the total positions.  Filled positions that have expired beyond their due date are considered invalid and are not counted in the totals.</t>
  </si>
  <si>
    <t>Local Director</t>
  </si>
  <si>
    <t>County Administrator</t>
  </si>
  <si>
    <t>City Administrator</t>
  </si>
  <si>
    <t xml:space="preserve">Source: Virginia Department of Health, Division of Health Statistics, Resident live birth data.  </t>
  </si>
  <si>
    <t>Level of IT Support by Local DSS Agency</t>
  </si>
  <si>
    <t>Local DSS Agency Level Classification</t>
  </si>
  <si>
    <t>Total # Level I</t>
  </si>
  <si>
    <t>Total # Level 2</t>
  </si>
  <si>
    <t>Total # Level 3</t>
  </si>
  <si>
    <t>Local DSS Agency Human Resources (HR) Policy/Practice Classification</t>
  </si>
  <si>
    <t>Source: VDSS, Division of Human Resources. Accessed in November 2011.</t>
  </si>
  <si>
    <t>Local DSS Agency Board Type: Advisory versus Administrative</t>
  </si>
  <si>
    <t>Serves as Administrative Entity*</t>
  </si>
  <si>
    <t>* For localities with Advisory Boards only</t>
  </si>
  <si>
    <t>Total - Administrative</t>
  </si>
  <si>
    <t>Local/NER</t>
  </si>
  <si>
    <t>Total FAMIS &amp; Medicaid</t>
  </si>
  <si>
    <t>Fairfax Co./Fairfax City/ Falls Church</t>
  </si>
  <si>
    <t>Norton City</t>
  </si>
  <si>
    <t>Bristol City</t>
  </si>
  <si>
    <t>Galax City</t>
  </si>
  <si>
    <t>Radford City</t>
  </si>
  <si>
    <t>Winchester City</t>
  </si>
  <si>
    <t>Alexandria City</t>
  </si>
  <si>
    <t>Manassas Park City</t>
  </si>
  <si>
    <t>Charlottesville City</t>
  </si>
  <si>
    <t>Lynchburg City</t>
  </si>
  <si>
    <t>Danville City</t>
  </si>
  <si>
    <t>Fredericksburg City</t>
  </si>
  <si>
    <t>Hopewell City</t>
  </si>
  <si>
    <t>Petersburg City</t>
  </si>
  <si>
    <t>Chesapeake City</t>
  </si>
  <si>
    <t>Norfolk City</t>
  </si>
  <si>
    <t>Portsmouth City</t>
  </si>
  <si>
    <t>Suffolk City</t>
  </si>
  <si>
    <t>Virginia Beach City</t>
  </si>
  <si>
    <t>Hampton City</t>
  </si>
  <si>
    <t>Newport News City</t>
  </si>
  <si>
    <t>Williamsburg City</t>
  </si>
  <si>
    <r>
      <rPr>
        <vertAlign val="superscript"/>
        <sz val="8"/>
        <color indexed="8"/>
        <rFont val="Cambria"/>
        <family val="1"/>
      </rPr>
      <t>4</t>
    </r>
    <r>
      <rPr>
        <sz val="8"/>
        <color indexed="8"/>
        <rFont val="Cambria"/>
        <family val="1"/>
      </rPr>
      <t xml:space="preserve"> Refers to whether the local agency has an administrative or advisory board. For agencies with advisory boards, administrative entity is underlined.</t>
    </r>
  </si>
  <si>
    <t>Eligibility Direct</t>
  </si>
  <si>
    <t>Eligibility Indirect</t>
  </si>
  <si>
    <t>Service Direct</t>
  </si>
  <si>
    <t>Service Indirect</t>
  </si>
  <si>
    <t>Augusta/ Staunton/ Waynesboro</t>
  </si>
  <si>
    <t>Alleghany County/Covington</t>
  </si>
  <si>
    <t>Bedford County/Bedford City</t>
  </si>
  <si>
    <t>Chesterfield County/Colonial Heights</t>
  </si>
  <si>
    <t>York County/Poquoson</t>
  </si>
  <si>
    <t>Rockbridge County/Buena Vista/Lexington</t>
  </si>
  <si>
    <t>Rockingham County/Harrisonburg</t>
  </si>
  <si>
    <t>Greensville County/Emporia</t>
  </si>
  <si>
    <t>County/City Administrator</t>
  </si>
  <si>
    <t>PCC</t>
  </si>
  <si>
    <t>P</t>
  </si>
  <si>
    <t>PC</t>
  </si>
  <si>
    <t>P: Partial deviations</t>
  </si>
  <si>
    <t>PCC:    Partial Deviation w/ Compensation &amp; Class</t>
  </si>
  <si>
    <t>PC: Partial Deviation w/ Compensation</t>
  </si>
  <si>
    <r>
      <rPr>
        <vertAlign val="superscript"/>
        <sz val="8"/>
        <color indexed="8"/>
        <rFont val="Cambria"/>
        <family val="1"/>
      </rPr>
      <t>2</t>
    </r>
    <r>
      <rPr>
        <sz val="8"/>
        <color indexed="8"/>
        <rFont val="Cambria"/>
        <family val="1"/>
      </rPr>
      <t xml:space="preserve"> The local department's HR policy either completely deviates from VDSS policies ("Jurisdiction-wide"), does not vary ("Non-deviating"), or is a mix of VDSS and local policies ("Partial deviating"). </t>
    </r>
  </si>
  <si>
    <t>Client Benefits</t>
  </si>
  <si>
    <t>Total Admin Spending</t>
  </si>
  <si>
    <t>Federal - %</t>
  </si>
  <si>
    <t>State - %</t>
  </si>
  <si>
    <t>Local - %</t>
  </si>
  <si>
    <t>Administrative Costs</t>
  </si>
  <si>
    <t>Purchased Services for Clients</t>
  </si>
  <si>
    <t>MINIMUM</t>
  </si>
  <si>
    <t>MAXIMUM</t>
  </si>
  <si>
    <t>Total Local Spending</t>
  </si>
  <si>
    <t>Admin - %</t>
  </si>
  <si>
    <t>Purchased Svcs. - %</t>
  </si>
  <si>
    <t>Benefits - %</t>
  </si>
  <si>
    <t>Fed &amp; State Comb. - %</t>
  </si>
  <si>
    <t>GRAND TOTAL</t>
  </si>
  <si>
    <t xml:space="preserve">Eligibility - Direct </t>
  </si>
  <si>
    <t>Eligibility-Indirect</t>
  </si>
  <si>
    <t>Services - Direct</t>
  </si>
  <si>
    <t>Services - Indirect</t>
  </si>
  <si>
    <t>TOTAL LESS INVALID POSITIONS</t>
  </si>
  <si>
    <t>Eligibility - Direct</t>
  </si>
  <si>
    <t>Eligibility - Indirect</t>
  </si>
  <si>
    <t>Other Indirect</t>
  </si>
  <si>
    <t>Benefits Spending - Summary, SFY 2011</t>
  </si>
  <si>
    <t>Non-Deviating</t>
  </si>
  <si>
    <t>Partial deviating</t>
  </si>
  <si>
    <t>Jurisdiction-wide</t>
  </si>
  <si>
    <t>II (Two)</t>
  </si>
  <si>
    <t>I (One)</t>
  </si>
  <si>
    <t>III (Three)</t>
  </si>
  <si>
    <t>Shared</t>
  </si>
  <si>
    <t>Full</t>
  </si>
  <si>
    <r>
      <rPr>
        <vertAlign val="superscript"/>
        <sz val="8"/>
        <color indexed="8"/>
        <rFont val="Cambria"/>
        <family val="1"/>
      </rPr>
      <t>1</t>
    </r>
    <r>
      <rPr>
        <sz val="8"/>
        <color indexed="8"/>
        <rFont val="Cambria"/>
        <family val="1"/>
      </rPr>
      <t xml:space="preserve"> Refers to the local agency's level or size, varying from I (one) to III (three), with III being the largest. </t>
    </r>
  </si>
  <si>
    <r>
      <rPr>
        <vertAlign val="superscript"/>
        <sz val="8"/>
        <color indexed="8"/>
        <rFont val="Cambria"/>
        <family val="1"/>
      </rPr>
      <t>3</t>
    </r>
    <r>
      <rPr>
        <sz val="8"/>
        <color indexed="8"/>
        <rFont val="Cambria"/>
        <family val="1"/>
      </rPr>
      <t xml:space="preserve"> Refers to the local agency's level of IT support from VDSS. </t>
    </r>
  </si>
  <si>
    <t>Unemployment Rate 2001-2011, by Locality</t>
  </si>
  <si>
    <t>Adult Protective Services Reports</t>
  </si>
  <si>
    <t>Auxiliary Grant Cases</t>
  </si>
  <si>
    <t>Adults 18-64 years</t>
  </si>
  <si>
    <t>Number of Participants</t>
  </si>
  <si>
    <t>Adults 65 years &amp; older</t>
  </si>
  <si>
    <t>Adults (18-64 years)</t>
  </si>
  <si>
    <t>Elderly (65+ years)</t>
  </si>
  <si>
    <t>Elderly Adults (65+ years)</t>
  </si>
  <si>
    <t>Agency Level</t>
  </si>
  <si>
    <t>Asian/PI</t>
  </si>
  <si>
    <t>AI/AN</t>
  </si>
  <si>
    <t>Regions</t>
  </si>
  <si>
    <t>All races</t>
  </si>
  <si>
    <t>Elderly</t>
  </si>
  <si>
    <t>Percentage of Total Population - By Age Group</t>
  </si>
  <si>
    <t>Pop. (all ages)</t>
  </si>
  <si>
    <t>Percentage of Total Population - By Race</t>
  </si>
  <si>
    <t>All Ages</t>
  </si>
  <si>
    <t>% of Total</t>
  </si>
  <si>
    <t>Population, 2011</t>
  </si>
  <si>
    <t>Number of Filled and Unfilled Positions by Locality (as of 9/30/2012)</t>
  </si>
  <si>
    <t>Child (0-17 years)</t>
  </si>
  <si>
    <t>Total Elderly</t>
  </si>
  <si>
    <t>Number of SNAP Recipients by Age and Race, SFY 2012</t>
  </si>
  <si>
    <t>Number of TANF Recipients by Age and Race, SFY 2012</t>
  </si>
  <si>
    <t>Number of SNAP Recipients by State Fiscal Year, 2005-2012</t>
  </si>
  <si>
    <t>SNAP SFY 2012</t>
  </si>
  <si>
    <t>Black/African American</t>
  </si>
  <si>
    <r>
      <t>Type of Agency Board:</t>
    </r>
    <r>
      <rPr>
        <b/>
        <vertAlign val="superscript"/>
        <sz val="9"/>
        <color indexed="8"/>
        <rFont val="Cambria"/>
        <family val="1"/>
      </rPr>
      <t>4</t>
    </r>
  </si>
  <si>
    <t>Unemployed 2000</t>
  </si>
  <si>
    <t>Unemployment Rate 2000</t>
  </si>
  <si>
    <t>Civilian Labor Force 2000</t>
  </si>
  <si>
    <t>Total Social Services Spending, SFY2012</t>
  </si>
  <si>
    <t>Number of Filled Positions</t>
  </si>
  <si>
    <t>Number of Unfilled Positions</t>
  </si>
  <si>
    <t>Total Number of Positions</t>
  </si>
  <si>
    <t>SNAP SFY 2011</t>
  </si>
  <si>
    <t>Participation Rate - % of People living in poverty</t>
  </si>
  <si>
    <t>TANF SFY 2012</t>
  </si>
  <si>
    <t>Number of TANF Recipients by State Fiscal Year, 2005-2012</t>
  </si>
  <si>
    <t>Adult 65+ years</t>
  </si>
  <si>
    <t>Source: Virginia Department of Health. Bridged race estimates come from the National Center for Health Statistics. "Other race" includes Asians, Hawaiians/Pacific Islanders, American Indians, and Alaskan Natives. Hispanic origin is not mutually exclusive of race.</t>
  </si>
  <si>
    <t>Receiving adoption assistance</t>
  </si>
  <si>
    <t>Source: U.S. Census Bureau, Small Area Income and Poverty Estimates (SAIPE).</t>
  </si>
  <si>
    <t>Poverty Rate (%)</t>
  </si>
  <si>
    <t>All ages</t>
  </si>
  <si>
    <t>Unemploy-ment</t>
  </si>
  <si>
    <t>Rate (%)</t>
  </si>
  <si>
    <t>Alleghany Co./Covington/Clifton Forge</t>
  </si>
  <si>
    <t>Augusta Co./ Staunton/ Waynesboro</t>
  </si>
  <si>
    <t>Chesterfield Co./Colonial Heights</t>
  </si>
  <si>
    <t>Greensville Co./Emporia</t>
  </si>
  <si>
    <t>Halifax Co./South Boston</t>
  </si>
  <si>
    <t>Henry Co./Martinsville</t>
  </si>
  <si>
    <t>Isle Of Wight County</t>
  </si>
  <si>
    <t>King &amp; Queen County</t>
  </si>
  <si>
    <t>Rockbridge Co./Buena Vista/Lexington</t>
  </si>
  <si>
    <t>Rockingham Co./Harrisonburg</t>
  </si>
  <si>
    <t>York Co./Poquoson</t>
  </si>
  <si>
    <t>Est. Number of Children in Poverty</t>
  </si>
  <si>
    <t>Percent of Children in Poverty</t>
  </si>
  <si>
    <t>Child Population (0-17 Years)</t>
  </si>
  <si>
    <t>Children 0-17 years</t>
  </si>
  <si>
    <t>Other/ multiracial</t>
  </si>
  <si>
    <t>Total amount spent on Social Services in the locality (SFY 2012)</t>
  </si>
  <si>
    <t>Unduplicated Number of Medicaid and FAMIS Enrollees by Age and Race in Virginia, FY 2012</t>
  </si>
  <si>
    <t>Other/ Multiracial</t>
  </si>
  <si>
    <r>
      <t>Medicaid</t>
    </r>
    <r>
      <rPr>
        <vertAlign val="superscript"/>
        <sz val="9"/>
        <color indexed="8"/>
        <rFont val="Cambria"/>
        <family val="1"/>
      </rPr>
      <t>1</t>
    </r>
  </si>
  <si>
    <r>
      <t xml:space="preserve">Total amount spent on Social Services </t>
    </r>
    <r>
      <rPr>
        <b/>
        <i/>
        <sz val="9"/>
        <color indexed="57"/>
        <rFont val="Cambria"/>
        <family val="1"/>
      </rPr>
      <t>contributed by the locality</t>
    </r>
    <r>
      <rPr>
        <b/>
        <sz val="9"/>
        <color indexed="57"/>
        <rFont val="Cambria"/>
        <family val="1"/>
      </rPr>
      <t xml:space="preserve"> (SFY 2012)</t>
    </r>
  </si>
  <si>
    <t>Live Births, Nonmarital Births, and Percentage of Births that are Non-Marital, by LDSS Locality and Race of Mother, Virginia, 2011</t>
  </si>
  <si>
    <t>Expenditures for Eligibility Staffing, SFY 2012</t>
  </si>
  <si>
    <t>Other Expenditures, SFY 2012</t>
  </si>
  <si>
    <t>Expenditures for Services Staffing, SFY 2012</t>
  </si>
  <si>
    <t>Expenditures for Client Services, SFY 2012</t>
  </si>
  <si>
    <t>844_Fed</t>
  </si>
  <si>
    <t>Medicaid and FAMIS Benefit Spending, SFY 2012</t>
  </si>
  <si>
    <t>SNAP Benefit Spending, SFY 2012</t>
  </si>
  <si>
    <t>Foster Care and Adoption Spending, SFY 2012</t>
  </si>
  <si>
    <t>TANF Benefit Spending, SFY 2012</t>
  </si>
  <si>
    <t>LIHEAP Benefit Spending, SFY 2012</t>
  </si>
  <si>
    <t>Other Benefits Spending, SFY 2012</t>
  </si>
  <si>
    <t>Public Assistance Clients Served by State Fiscal Year</t>
  </si>
  <si>
    <t>Adult Services Recipients, SFY 2012</t>
  </si>
  <si>
    <t>Social Services Staffing (as of 9/30/2012)</t>
  </si>
  <si>
    <t>Adult and Child Population by Locality by Race, 2011</t>
  </si>
  <si>
    <t>Percent of Children (0-17 Years) Living Below Poverty, 2011</t>
  </si>
  <si>
    <t>Children in foster care</t>
  </si>
  <si>
    <r>
      <t>Percent of Subpopulation</t>
    </r>
    <r>
      <rPr>
        <vertAlign val="superscript"/>
        <sz val="9"/>
        <color indexed="8"/>
        <rFont val="Cambria"/>
        <family val="1"/>
      </rPr>
      <t>2</t>
    </r>
  </si>
  <si>
    <r>
      <rPr>
        <vertAlign val="superscript"/>
        <sz val="8"/>
        <color indexed="8"/>
        <rFont val="Cambria"/>
        <family val="1"/>
      </rPr>
      <t xml:space="preserve">2 </t>
    </r>
    <r>
      <rPr>
        <sz val="8"/>
        <color indexed="8"/>
        <rFont val="Cambria"/>
        <family val="1"/>
      </rPr>
      <t>Race was imputed for enrollees who indicated being "Spanish-American" and added to the race subtotals. Subtotals may not add up to the total number of Medicaid enrollees due to rounding error.</t>
    </r>
  </si>
  <si>
    <t>Medicaid SFY 2009</t>
  </si>
  <si>
    <t>Medicaid SFY 2010</t>
  </si>
  <si>
    <t>Medicaid SFY 2011</t>
  </si>
  <si>
    <t>Medicaid SFY 2012</t>
  </si>
  <si>
    <t>Recipients of Social Services, SFY 2012</t>
  </si>
  <si>
    <t>Public Assistance Recipients, SFY 2012</t>
  </si>
  <si>
    <t>2012 (11-month avg.)</t>
  </si>
  <si>
    <t>Civilian Labor Force 2012 (11-month avg.)</t>
  </si>
  <si>
    <t>Unemployed 2012 (11-month avg.)</t>
  </si>
  <si>
    <t>Unemployment Rate 2012 (11-month avg.)</t>
  </si>
  <si>
    <t>Unemployment Rate by Locality, 2001-2012</t>
  </si>
  <si>
    <t>2012*</t>
  </si>
  <si>
    <t>Source: Virginia Employment Commission. Rates are not seasonally adjusted. * 2012 rates are based on an 11-month average (through November).</t>
  </si>
  <si>
    <t>Child Welfare Recipients, SFY 2012</t>
  </si>
  <si>
    <t>Any Benefit Program</t>
  </si>
  <si>
    <t>NA</t>
  </si>
  <si>
    <t>18-40</t>
  </si>
  <si>
    <t>Race/Ethnicity</t>
  </si>
  <si>
    <t>Age Group (years)</t>
  </si>
  <si>
    <t>Number of Clients Receiving AG (Auxiliary Grant) Services, SFY 2012</t>
  </si>
  <si>
    <t>Number of Children in CPS Investigations, SFY 2012 (as of October 2012), by Race and Locality</t>
  </si>
  <si>
    <t>NH/PI</t>
  </si>
  <si>
    <t>Declined</t>
  </si>
  <si>
    <t>Unable to determine</t>
  </si>
  <si>
    <t>Unknown</t>
  </si>
  <si>
    <t>Multi</t>
  </si>
  <si>
    <t>Fairfax Co.-City/Falls Church</t>
  </si>
  <si>
    <t>Number of Foster Children Adopted, by Race of Child, FFY 2012</t>
  </si>
  <si>
    <t>"Other" race includes Hispanics, American Indians, Hawaiians and Pacific Islanders, Multi-racial, and missing or unavailable race.</t>
  </si>
  <si>
    <t>Number of Children in Foster Care, June 2012, by Race and Locality</t>
  </si>
  <si>
    <t>Source: VDSS, Division of Family Services, ASAPS (Adult Services Adult Protectives Services) data system.</t>
  </si>
  <si>
    <t>Number of Adult Protective Services Reports, SFY 2012</t>
  </si>
  <si>
    <t>Race</t>
  </si>
  <si>
    <t>Age (in years)</t>
  </si>
  <si>
    <t>41-60</t>
  </si>
  <si>
    <t>Older than 60</t>
  </si>
  <si>
    <t>&gt; 60</t>
  </si>
  <si>
    <t>61 and older</t>
  </si>
  <si>
    <t>Source: US Census Bureau, Small Area Income and Poverty Estimates (SAIPE). Estimates are for 2011.</t>
  </si>
  <si>
    <t>Number of People (All Ages) living in Poverty in locality</t>
  </si>
  <si>
    <t>Percent of People (All Ages) living in Poverty in locality</t>
  </si>
  <si>
    <t>Number of Children (&lt; 18 years) living in Poverty in locality</t>
  </si>
  <si>
    <t>Percent of Children (&lt; 18 years) living in Poverty in locality</t>
  </si>
  <si>
    <t>Source: Adult Services Adult Protective Services (ASAPS) system. "NA" = not available.</t>
  </si>
  <si>
    <t>SFY 2012</t>
  </si>
  <si>
    <t>Number of SNAP or TANF or Medicaid Clients by State Fiscal Year</t>
  </si>
  <si>
    <t>SFY 2009</t>
  </si>
  <si>
    <t>SFY 2010</t>
  </si>
  <si>
    <t>SFY 2011</t>
  </si>
  <si>
    <r>
      <t xml:space="preserve">Sources: VDSS, Data Warehouse, SFY ADAPT Client Analysis (SNAP, TANF); SFY MMIS Client Enrollee Analysis (Medicaid). "Other/multiracial" includes clients with invalid or missing race information. </t>
    </r>
    <r>
      <rPr>
        <vertAlign val="superscript"/>
        <sz val="8"/>
        <color indexed="8"/>
        <rFont val="Cambria"/>
        <family val="1"/>
      </rPr>
      <t>1</t>
    </r>
    <r>
      <rPr>
        <sz val="8"/>
        <color indexed="8"/>
        <rFont val="Cambria"/>
        <family val="1"/>
      </rPr>
      <t xml:space="preserve"> Excludes clients enrolled in state mental health facilities. </t>
    </r>
    <r>
      <rPr>
        <vertAlign val="superscript"/>
        <sz val="8"/>
        <color indexed="8"/>
        <rFont val="Cambria"/>
        <family val="1"/>
      </rPr>
      <t>2</t>
    </r>
    <r>
      <rPr>
        <sz val="8"/>
        <color indexed="8"/>
        <rFont val="Cambria"/>
        <family val="1"/>
      </rPr>
      <t xml:space="preserve"> "Percent of subpopulation", which are based on population estimates, are sometimes &gt; 100%. Percentages are capped at 100%.</t>
    </r>
  </si>
  <si>
    <r>
      <t>Medicaid</t>
    </r>
    <r>
      <rPr>
        <b/>
        <vertAlign val="superscript"/>
        <sz val="10"/>
        <rFont val="Cambria"/>
        <family val="1"/>
      </rPr>
      <t>1</t>
    </r>
  </si>
  <si>
    <t>Number of Medicaid Clients by State Fiscal Year, 2007-2012</t>
  </si>
  <si>
    <r>
      <t xml:space="preserve">Source: VDSS, Data Warehouse, ADAPT &amp; MMIS System Reporting. </t>
    </r>
    <r>
      <rPr>
        <vertAlign val="superscript"/>
        <sz val="8"/>
        <color indexed="8"/>
        <rFont val="Cambria"/>
        <family val="1"/>
      </rPr>
      <t>1</t>
    </r>
    <r>
      <rPr>
        <sz val="8"/>
        <color indexed="8"/>
        <rFont val="Cambria"/>
        <family val="1"/>
      </rPr>
      <t xml:space="preserve"> Medicaid count excludes clients enrolled in state mental health facilities (SFY MMIS Enrollee Analysis).</t>
    </r>
  </si>
  <si>
    <t>Spanish American</t>
  </si>
  <si>
    <t>Total Adults 18-64</t>
  </si>
  <si>
    <t>Non-Elderly Adults</t>
  </si>
  <si>
    <t>Non-Elderly Adults (18-64 years)</t>
  </si>
  <si>
    <t>Halifax County</t>
  </si>
  <si>
    <t>Henry County</t>
  </si>
  <si>
    <t>Martinsville City</t>
  </si>
  <si>
    <t>Elderly (65 years and older)</t>
  </si>
  <si>
    <t>Non-Elderly (18-64 years)</t>
  </si>
  <si>
    <t>Non-Elderly</t>
  </si>
  <si>
    <t>Children (under 18)</t>
  </si>
  <si>
    <t>Augusta County/Staunton/Waynesboro</t>
  </si>
  <si>
    <t>Proportion of Spanish American Counts</t>
  </si>
  <si>
    <t>Adjusted Counts for Medicaid Enrollees</t>
  </si>
  <si>
    <t>Local Department of Social Services Profile Report, SFY 2012</t>
  </si>
  <si>
    <t>Percent of Population (All Ages) Living Below Poverty, 2000-2011</t>
  </si>
  <si>
    <r>
      <rPr>
        <vertAlign val="superscript"/>
        <sz val="12"/>
        <rFont val="Calibri"/>
        <family val="2"/>
      </rPr>
      <t>1</t>
    </r>
    <r>
      <rPr>
        <sz val="12"/>
        <rFont val="Calibri"/>
        <family val="2"/>
      </rPr>
      <t xml:space="preserve"> Race (e.g., white, black) was imputed for clients reporting to be "Spanish American". The counts by race were adjusted accordingly.</t>
    </r>
  </si>
  <si>
    <r>
      <t xml:space="preserve">Source: </t>
    </r>
    <r>
      <rPr>
        <sz val="12"/>
        <color indexed="8"/>
        <rFont val="Calibri"/>
        <family val="2"/>
      </rPr>
      <t>VDSS Foster Care Demographic Report, June 2012 (data as of July 1, 2012).</t>
    </r>
  </si>
  <si>
    <r>
      <rPr>
        <b/>
        <sz val="12"/>
        <color indexed="8"/>
        <rFont val="Calibri"/>
        <family val="2"/>
      </rPr>
      <t xml:space="preserve">Source: </t>
    </r>
    <r>
      <rPr>
        <sz val="12"/>
        <color indexed="8"/>
        <rFont val="Calibri"/>
        <family val="2"/>
      </rPr>
      <t>VDSS, MMIS System Reporting, SFY Locality Program Analysis. Unique client counts reported. Annual count data for SFY 2009-2012 accessed on 2/1/2013.  Locality and subtotal counts exclude clients enrolled from state mental health facilities.</t>
    </r>
  </si>
  <si>
    <r>
      <rPr>
        <b/>
        <sz val="12"/>
        <rFont val="Calibri"/>
        <family val="2"/>
      </rPr>
      <t>Source:</t>
    </r>
    <r>
      <rPr>
        <sz val="12"/>
        <rFont val="Calibri"/>
        <family val="2"/>
      </rPr>
      <t xml:space="preserve"> VDSS, Data Warehouse - MMIS Reporting, SFY MMIS Enrollee Analysis. Accessed from the Data Warehouse on 2/1/2013. Count excludes persons enrolled through state mental health facilities.  Enrollees with invalid or missing race information were included in the "Other/multiracial" group. </t>
    </r>
  </si>
  <si>
    <r>
      <rPr>
        <b/>
        <sz val="12"/>
        <color indexed="8"/>
        <rFont val="Calibri"/>
        <family val="2"/>
      </rPr>
      <t xml:space="preserve">Source: </t>
    </r>
    <r>
      <rPr>
        <sz val="12"/>
        <color indexed="8"/>
        <rFont val="Calibri"/>
        <family val="2"/>
      </rPr>
      <t xml:space="preserve">VDSS, ADAPT System Reporting, SFY ADAPT Client Analysis. Accessed from the Data Warehouse on 1/31/2013. "Other/multiracial" also includes clients with unknown or invalid race information. </t>
    </r>
  </si>
  <si>
    <r>
      <rPr>
        <b/>
        <sz val="12"/>
        <color indexed="8"/>
        <rFont val="Calibri"/>
        <family val="2"/>
      </rPr>
      <t xml:space="preserve">Source: </t>
    </r>
    <r>
      <rPr>
        <sz val="12"/>
        <color indexed="8"/>
        <rFont val="Calibri"/>
        <family val="2"/>
      </rPr>
      <t xml:space="preserve">VDSS, ADAPT, SFY ADAPT Client Cube. Accessed from the Data Warehouse on 1/31/2013.  "Other/multiracial" group includes clients who have invalid or unknown race information. </t>
    </r>
  </si>
  <si>
    <r>
      <rPr>
        <b/>
        <sz val="12"/>
        <rFont val="Calibri"/>
        <family val="2"/>
      </rPr>
      <t>Source:</t>
    </r>
    <r>
      <rPr>
        <sz val="12"/>
        <rFont val="Calibri"/>
        <family val="2"/>
      </rPr>
      <t xml:space="preserve">  Virginia Employment Commission - Labor Force and Employment and Unemployment (LAUS) data. 2012 unemployment rate is based on an 11-month (through November) average.</t>
    </r>
  </si>
  <si>
    <r>
      <rPr>
        <b/>
        <sz val="12"/>
        <color indexed="8"/>
        <rFont val="Calibri"/>
        <family val="2"/>
      </rPr>
      <t xml:space="preserve">Source: </t>
    </r>
    <r>
      <rPr>
        <sz val="12"/>
        <color indexed="8"/>
        <rFont val="Calibri"/>
        <family val="2"/>
      </rPr>
      <t>U.S. Census Bureau, Small Area Income and Poverty Estimates (SAIPE) Program.</t>
    </r>
  </si>
  <si>
    <r>
      <rPr>
        <b/>
        <sz val="12"/>
        <color indexed="8"/>
        <rFont val="Calibri"/>
        <family val="2"/>
      </rPr>
      <t xml:space="preserve">Source: </t>
    </r>
    <r>
      <rPr>
        <sz val="12"/>
        <color indexed="8"/>
        <rFont val="Calibri"/>
        <family val="2"/>
      </rPr>
      <t>U.S. Census Bureau, 2011 Small Area Income and Poverty Estimates (SAIPE)</t>
    </r>
  </si>
  <si>
    <r>
      <rPr>
        <b/>
        <sz val="12"/>
        <rFont val="Calibri"/>
        <family val="2"/>
      </rPr>
      <t>Source:</t>
    </r>
    <r>
      <rPr>
        <sz val="12"/>
        <rFont val="Calibri"/>
        <family val="2"/>
      </rPr>
      <t xml:space="preserve"> Virginia Department of Health, Division of Health Statistics. Bridged-race population estimates were obtained from the National Center for Health Statistics.  Hispanic origin is not mutually exclusive of race categories.</t>
    </r>
  </si>
  <si>
    <r>
      <rPr>
        <b/>
        <sz val="12"/>
        <rFont val="Calibri"/>
        <family val="2"/>
      </rPr>
      <t xml:space="preserve">Source: </t>
    </r>
    <r>
      <rPr>
        <sz val="12"/>
        <rFont val="Calibri"/>
        <family val="2"/>
      </rPr>
      <t>VDSS, Division of Community and Volunteer Services. Reported by localities by March 2012.</t>
    </r>
  </si>
  <si>
    <r>
      <rPr>
        <b/>
        <sz val="12"/>
        <color indexed="8"/>
        <rFont val="Calibri"/>
        <family val="2"/>
      </rPr>
      <t xml:space="preserve">Source: </t>
    </r>
    <r>
      <rPr>
        <sz val="12"/>
        <color indexed="8"/>
        <rFont val="Calibri"/>
        <family val="2"/>
      </rPr>
      <t xml:space="preserve">VDSS, ADAPT System Reporting, SFY ADAPT Client Analysis. 2012 counts were accessed in January 2013. Unique client counts reported. </t>
    </r>
  </si>
  <si>
    <r>
      <rPr>
        <b/>
        <sz val="12"/>
        <color indexed="8"/>
        <rFont val="Calibri"/>
        <family val="2"/>
      </rPr>
      <t>Source:</t>
    </r>
    <r>
      <rPr>
        <sz val="12"/>
        <color indexed="8"/>
        <rFont val="Calibri"/>
        <family val="2"/>
      </rPr>
      <t xml:space="preserve"> VDSS, ADAPT System Reporting, SFY ADAPT Client Analysis. 2012 counts were accessed in January 2013. Unique client counts reported.</t>
    </r>
  </si>
  <si>
    <t>Statewide (subtotal)</t>
  </si>
  <si>
    <t>Total (incl. state mental health facilities)</t>
  </si>
  <si>
    <r>
      <rPr>
        <b/>
        <sz val="12"/>
        <color indexed="8"/>
        <rFont val="Calibri"/>
        <family val="2"/>
      </rPr>
      <t xml:space="preserve">Source: </t>
    </r>
    <r>
      <rPr>
        <sz val="12"/>
        <color indexed="8"/>
        <rFont val="Calibri"/>
        <family val="2"/>
      </rPr>
      <t xml:space="preserve">VDSS, Client Cross-Program Reporting, Cross-Program Client Counts for Medicaid, SNAP, and TANF by Locality. Unique client counts reported. Annual count data for SFY 2009-2012 accessed on 2/1/2013. </t>
    </r>
  </si>
  <si>
    <r>
      <rPr>
        <b/>
        <sz val="12"/>
        <color indexed="8"/>
        <rFont val="Calibri"/>
        <family val="2"/>
      </rPr>
      <t xml:space="preserve">Source: </t>
    </r>
    <r>
      <rPr>
        <sz val="12"/>
        <color indexed="8"/>
        <rFont val="Calibri"/>
        <family val="2"/>
      </rPr>
      <t>VDSS, Division of Family Services, VCWOR (vers. 3.85), "Children Adopted During Year by Race/Ethnicity" report. Reporting period is the federal fiscal year, ending September 30, 2012.</t>
    </r>
  </si>
  <si>
    <r>
      <rPr>
        <b/>
        <sz val="12"/>
        <color indexed="8"/>
        <rFont val="Calibri"/>
        <family val="2"/>
      </rPr>
      <t xml:space="preserve">Source: </t>
    </r>
    <r>
      <rPr>
        <sz val="12"/>
        <color indexed="8"/>
        <rFont val="Calibri"/>
        <family val="2"/>
      </rPr>
      <t>VDSS, Division of Finances, LASER reports.</t>
    </r>
  </si>
  <si>
    <r>
      <rPr>
        <b/>
        <sz val="12"/>
        <color indexed="8"/>
        <rFont val="Calibri"/>
        <family val="2"/>
      </rPr>
      <t>Source:</t>
    </r>
    <r>
      <rPr>
        <sz val="12"/>
        <color indexed="8"/>
        <rFont val="Calibri"/>
        <family val="2"/>
      </rPr>
      <t xml:space="preserve"> VDSS, Division of Finances, LASER reports.</t>
    </r>
  </si>
  <si>
    <t xml:space="preserve">* NER = Position that is not eligible for reimbursable is not reported in LASER.  </t>
  </si>
  <si>
    <t>NER*</t>
  </si>
  <si>
    <r>
      <rPr>
        <b/>
        <sz val="12"/>
        <color indexed="8"/>
        <rFont val="Calibri"/>
        <family val="2"/>
      </rPr>
      <t xml:space="preserve">Source: </t>
    </r>
    <r>
      <rPr>
        <sz val="12"/>
        <color indexed="8"/>
        <rFont val="Calibri"/>
        <family val="2"/>
      </rPr>
      <t>ASAPS (Adult Services Adult Protectives Services) data system. Unduplicated counts. "Other" race includes American Indian, Asian, other race, Spanish American, multiracial, and unknown race.</t>
    </r>
  </si>
  <si>
    <r>
      <rPr>
        <b/>
        <sz val="12"/>
        <color indexed="8"/>
        <rFont val="Calibri"/>
        <family val="2"/>
      </rPr>
      <t>Source:</t>
    </r>
    <r>
      <rPr>
        <sz val="12"/>
        <color indexed="8"/>
        <rFont val="Calibri"/>
        <family val="2"/>
      </rPr>
      <t xml:space="preserve"> ASAPS (Adult Services Adult Protectives Services) data system. Unduplicated counts. "Other" race includes American Indian, Asian, other race, Spanish American, multiracial, and unknown race.</t>
    </r>
  </si>
  <si>
    <r>
      <t>2010</t>
    </r>
    <r>
      <rPr>
        <b/>
        <vertAlign val="superscript"/>
        <sz val="12"/>
        <color indexed="8"/>
        <rFont val="Calibri"/>
        <family val="2"/>
      </rPr>
      <t>1</t>
    </r>
  </si>
  <si>
    <r>
      <t>1</t>
    </r>
    <r>
      <rPr>
        <sz val="12"/>
        <rFont val="Calibri"/>
        <family val="2"/>
      </rPr>
      <t xml:space="preserve"> Calendar year-to-date through May 2010</t>
    </r>
  </si>
  <si>
    <r>
      <rPr>
        <b/>
        <sz val="12"/>
        <rFont val="Calibri"/>
        <family val="2"/>
      </rPr>
      <t xml:space="preserve">Source: </t>
    </r>
    <r>
      <rPr>
        <sz val="12"/>
        <rFont val="Calibri"/>
        <family val="2"/>
      </rPr>
      <t>VDSS Performance Indicators Report system.</t>
    </r>
  </si>
  <si>
    <r>
      <rPr>
        <b/>
        <sz val="12"/>
        <color indexed="8"/>
        <rFont val="Calibri"/>
        <family val="2"/>
      </rPr>
      <t xml:space="preserve">Source: </t>
    </r>
    <r>
      <rPr>
        <sz val="12"/>
        <color indexed="8"/>
        <rFont val="Calibri"/>
        <family val="2"/>
      </rPr>
      <t>SNAP Recipients - VDSS Data Warehouse, ADAPT Client Cube, December 2010.</t>
    </r>
    <r>
      <rPr>
        <sz val="12"/>
        <color indexed="10"/>
        <rFont val="Calibri"/>
        <family val="2"/>
      </rPr>
      <t xml:space="preserve"> </t>
    </r>
    <r>
      <rPr>
        <sz val="12"/>
        <rFont val="Calibri"/>
        <family val="2"/>
      </rPr>
      <t xml:space="preserve"> Population - U.S. Census, Current Population Survey 2009, file CC-EST2009-ALLDATA.</t>
    </r>
    <r>
      <rPr>
        <sz val="12"/>
        <color indexed="10"/>
        <rFont val="Calibri"/>
        <family val="2"/>
      </rPr>
      <t xml:space="preserve"> </t>
    </r>
  </si>
  <si>
    <t>Number of Children for which Adoption Subsidies were received, by Race of Child (as of 11/1/2012)</t>
  </si>
  <si>
    <t>(4) Services purchased for clients - 217, 824, 829, 833, 844, 861, 862, 863, 864, 866, 871, 872, 873, 875, 878, 881, 883, 890, 895, 936. Because of the transition to a new statewide child care subsidy information system (VaCMS), some child care spending is not included the total for this table.</t>
  </si>
  <si>
    <r>
      <rPr>
        <b/>
        <sz val="12"/>
        <color indexed="8"/>
        <rFont val="Calibri"/>
        <family val="2"/>
      </rPr>
      <t>Source:</t>
    </r>
    <r>
      <rPr>
        <sz val="12"/>
        <color indexed="8"/>
        <rFont val="Calibri"/>
        <family val="2"/>
      </rPr>
      <t xml:space="preserve"> VDSS, Division of Finances, LASER reports. Because of the transition to a new statewide child care subsidy information system (VaCMS), some child care spending is not included in this table, specifically subtotals for line items 871, 878, 881, and 883.</t>
    </r>
  </si>
  <si>
    <t>"Other" race includes Asians, American Indians, Hawaiians and Pacific Islanders, Multi-racial, and missing or unavailable race. The total excludes one person who was provided services through the State Office.</t>
  </si>
  <si>
    <r>
      <t xml:space="preserve">Source: </t>
    </r>
    <r>
      <rPr>
        <sz val="12"/>
        <color indexed="8"/>
        <rFont val="Calibri"/>
        <family val="2"/>
      </rPr>
      <t>VDSS, Division of Family Services,</t>
    </r>
    <r>
      <rPr>
        <b/>
        <sz val="12"/>
        <color indexed="8"/>
        <rFont val="Calibri"/>
        <family val="2"/>
      </rPr>
      <t xml:space="preserve"> </t>
    </r>
    <r>
      <rPr>
        <sz val="12"/>
        <color indexed="8"/>
        <rFont val="Calibri"/>
        <family val="2"/>
      </rPr>
      <t>VCWOR (vers. 3.6), Virginia Child Protective Services, "CPS Demographics Unduplicated Racial Count, SFY 2012" (as of October 1, 2012).</t>
    </r>
  </si>
  <si>
    <t>Sources: Division of Family Services, VCWOR/OASIS reports. Note: Receiving Adoption Assistance is the number of children who received adoption services as of 11/1/2012.</t>
  </si>
  <si>
    <r>
      <rPr>
        <b/>
        <sz val="12"/>
        <color indexed="8"/>
        <rFont val="Calibri"/>
        <family val="2"/>
      </rPr>
      <t xml:space="preserve">Source: </t>
    </r>
    <r>
      <rPr>
        <sz val="12"/>
        <color indexed="8"/>
        <rFont val="Calibri"/>
        <family val="2"/>
      </rPr>
      <t>VDSS, Division of Family Services, OASIS/VCWOR, "Adoption Subsidy Race Count". Based on data as of 11/1/2012.</t>
    </r>
  </si>
  <si>
    <r>
      <rPr>
        <b/>
        <sz val="12"/>
        <color indexed="8"/>
        <rFont val="Calibri"/>
        <family val="2"/>
      </rPr>
      <t>Source:</t>
    </r>
    <r>
      <rPr>
        <sz val="12"/>
        <color indexed="8"/>
        <rFont val="Calibri"/>
        <family val="2"/>
      </rPr>
      <t xml:space="preserve"> VDSS, Human Resources, Locality Employment Tracking System (LETS), Position Reimbursement and Status Report Summary (September 30, 2012).  Accessed on 10/1/2012. Excludes two unfilled positions that were missing classification.</t>
    </r>
  </si>
  <si>
    <t>Source: LETS, Position Reimbursement And Status Report (as of 9/30/2012). Refers to number of positions regardless of percent of time assigned. Invalid filled positions are excluded. NER= Not eligible for reimbursement.</t>
  </si>
  <si>
    <t xml:space="preserve">Source: VDSS, LASER, annual financial statements. </t>
  </si>
</sst>
</file>

<file path=xl/styles.xml><?xml version="1.0" encoding="utf-8"?>
<styleSheet xmlns="http://schemas.openxmlformats.org/spreadsheetml/2006/main">
  <numFmts count="20">
    <numFmt numFmtId="5" formatCode="&quot;$&quot;#,##0_);\(&quot;$&quot;#,##0\)"/>
    <numFmt numFmtId="7" formatCode="&quot;$&quot;#,##0.00_);\(&quot;$&quot;#,##0.00\)"/>
    <numFmt numFmtId="44" formatCode="_(&quot;$&quot;* #,##0.00_);_(&quot;$&quot;* \(#,##0.00\);_(&quot;$&quot;* &quot;-&quot;??_);_(@_)"/>
    <numFmt numFmtId="43" formatCode="_(* #,##0.00_);_(* \(#,##0.00\);_(* &quot;-&quot;??_);_(@_)"/>
    <numFmt numFmtId="164" formatCode="0.0%"/>
    <numFmt numFmtId="165" formatCode="0.0"/>
    <numFmt numFmtId="166" formatCode="&quot;$&quot;#,##0.00;\(&quot;$&quot;#,##0.00\)"/>
    <numFmt numFmtId="167" formatCode="&quot;$&quot;#,##0"/>
    <numFmt numFmtId="168" formatCode="#0"/>
    <numFmt numFmtId="169" formatCode="h\:mm\:ss\ AM/PM;@"/>
    <numFmt numFmtId="170" formatCode="mmm\ d\,\ yyyy;@"/>
    <numFmt numFmtId="171" formatCode="&quot;$&quot;#,##0.00"/>
    <numFmt numFmtId="172" formatCode="_(* #,##0_);_(* \(#,##0\);_(* &quot;-&quot;??_);_(@_)"/>
    <numFmt numFmtId="173" formatCode="_(* #,##0.0_);_(* \(#,##0.0\);_(* &quot;-&quot;??_);_(@_)"/>
    <numFmt numFmtId="174" formatCode="#_)"/>
    <numFmt numFmtId="175" formatCode="#,##0.0_);\(#,##0.0\)"/>
    <numFmt numFmtId="176" formatCode="#,##0_)"/>
    <numFmt numFmtId="177" formatCode="0_);\(0\)"/>
    <numFmt numFmtId="178" formatCode="_(&quot;$&quot;* #,##0_);_(&quot;$&quot;* \(#,##0\);_(&quot;$&quot;* &quot;-&quot;??_);_(@_)"/>
    <numFmt numFmtId="179" formatCode="&quot;$&quot;###.#"/>
  </numFmts>
  <fonts count="91">
    <font>
      <sz val="12"/>
      <color theme="1"/>
      <name val="Times New Roman"/>
      <family val="2"/>
    </font>
    <font>
      <sz val="12"/>
      <color indexed="8"/>
      <name val="Times New Roman"/>
      <family val="1"/>
    </font>
    <font>
      <u/>
      <sz val="10"/>
      <color indexed="12"/>
      <name val="Arial"/>
      <family val="2"/>
    </font>
    <font>
      <sz val="12"/>
      <name val="Times New Roman"/>
      <family val="1"/>
    </font>
    <font>
      <sz val="10"/>
      <name val="Arial"/>
      <family val="2"/>
    </font>
    <font>
      <sz val="10"/>
      <name val="Times New Roman"/>
      <family val="1"/>
    </font>
    <font>
      <b/>
      <sz val="12"/>
      <color indexed="8"/>
      <name val="Times New Roman"/>
      <family val="1"/>
    </font>
    <font>
      <sz val="10"/>
      <color indexed="8"/>
      <name val="Arial"/>
      <family val="2"/>
    </font>
    <font>
      <sz val="10"/>
      <color indexed="8"/>
      <name val="Arial"/>
      <family val="2"/>
    </font>
    <font>
      <sz val="10"/>
      <color indexed="81"/>
      <name val="Tahoma"/>
      <family val="2"/>
    </font>
    <font>
      <b/>
      <sz val="10"/>
      <color indexed="81"/>
      <name val="Tahoma"/>
      <family val="2"/>
    </font>
    <font>
      <sz val="10"/>
      <color indexed="8"/>
      <name val="Arial"/>
      <family val="2"/>
    </font>
    <font>
      <sz val="12"/>
      <color indexed="8"/>
      <name val="Times New Roman"/>
      <family val="1"/>
    </font>
    <font>
      <b/>
      <sz val="10"/>
      <color indexed="8"/>
      <name val="Arial"/>
      <family val="2"/>
    </font>
    <font>
      <b/>
      <sz val="12"/>
      <color indexed="8"/>
      <name val="Arial"/>
      <family val="2"/>
    </font>
    <font>
      <sz val="10"/>
      <name val="Arial"/>
      <family val="2"/>
    </font>
    <font>
      <sz val="10"/>
      <color indexed="8"/>
      <name val="Arial"/>
      <family val="2"/>
    </font>
    <font>
      <b/>
      <vertAlign val="superscript"/>
      <sz val="9"/>
      <color indexed="8"/>
      <name val="Cambria"/>
      <family val="1"/>
    </font>
    <font>
      <sz val="8"/>
      <color indexed="8"/>
      <name val="Cambria"/>
      <family val="1"/>
    </font>
    <font>
      <vertAlign val="superscript"/>
      <sz val="8"/>
      <color indexed="8"/>
      <name val="Cambria"/>
      <family val="1"/>
    </font>
    <font>
      <sz val="10"/>
      <name val="Calibri"/>
      <family val="2"/>
    </font>
    <font>
      <u/>
      <sz val="10"/>
      <color indexed="12"/>
      <name val="Calibri"/>
      <family val="2"/>
    </font>
    <font>
      <b/>
      <sz val="10"/>
      <name val="Calibri"/>
      <family val="2"/>
    </font>
    <font>
      <b/>
      <sz val="12"/>
      <name val="Calibri"/>
      <family val="2"/>
    </font>
    <font>
      <sz val="12"/>
      <name val="Calibri"/>
      <family val="2"/>
    </font>
    <font>
      <b/>
      <sz val="12"/>
      <color indexed="8"/>
      <name val="Calibri"/>
      <family val="2"/>
    </font>
    <font>
      <sz val="12"/>
      <color indexed="8"/>
      <name val="Calibri"/>
      <family val="2"/>
    </font>
    <font>
      <b/>
      <sz val="9"/>
      <color indexed="57"/>
      <name val="Cambria"/>
      <family val="1"/>
    </font>
    <font>
      <b/>
      <i/>
      <sz val="9"/>
      <color indexed="57"/>
      <name val="Cambria"/>
      <family val="1"/>
    </font>
    <font>
      <vertAlign val="superscript"/>
      <sz val="9"/>
      <color indexed="8"/>
      <name val="Cambria"/>
      <family val="1"/>
    </font>
    <font>
      <sz val="10"/>
      <color indexed="8"/>
      <name val="Arial"/>
      <family val="2"/>
    </font>
    <font>
      <b/>
      <vertAlign val="superscript"/>
      <sz val="10"/>
      <name val="Cambria"/>
      <family val="1"/>
    </font>
    <font>
      <b/>
      <sz val="10"/>
      <name val="Arial"/>
      <family val="2"/>
    </font>
    <font>
      <vertAlign val="superscript"/>
      <sz val="12"/>
      <name val="Calibri"/>
      <family val="2"/>
    </font>
    <font>
      <sz val="12"/>
      <color indexed="8"/>
      <name val="Calibri"/>
      <family val="2"/>
    </font>
    <font>
      <u/>
      <sz val="12"/>
      <color indexed="12"/>
      <name val="Calibri"/>
      <family val="2"/>
    </font>
    <font>
      <sz val="12"/>
      <name val="Courier New"/>
      <family val="3"/>
    </font>
    <font>
      <sz val="12"/>
      <color indexed="8"/>
      <name val="Arial"/>
      <family val="2"/>
    </font>
    <font>
      <b/>
      <sz val="12"/>
      <color indexed="8"/>
      <name val="Calibri"/>
      <family val="2"/>
    </font>
    <font>
      <b/>
      <vertAlign val="superscript"/>
      <sz val="12"/>
      <color indexed="8"/>
      <name val="Calibri"/>
      <family val="2"/>
    </font>
    <font>
      <vertAlign val="superscript"/>
      <sz val="12"/>
      <name val="Calibri"/>
      <family val="2"/>
    </font>
    <font>
      <sz val="12"/>
      <color indexed="10"/>
      <name val="Calibri"/>
      <family val="2"/>
    </font>
    <font>
      <sz val="12"/>
      <color theme="1"/>
      <name val="Times New Roman"/>
      <family val="2"/>
    </font>
    <font>
      <sz val="10"/>
      <color theme="1"/>
      <name val="Tahoma"/>
      <family val="2"/>
    </font>
    <font>
      <u/>
      <sz val="12"/>
      <color theme="10"/>
      <name val="Times New Roman"/>
      <family val="2"/>
    </font>
    <font>
      <sz val="11"/>
      <color theme="1"/>
      <name val="Calibri"/>
      <family val="2"/>
      <scheme val="minor"/>
    </font>
    <font>
      <u/>
      <sz val="8"/>
      <color rgb="FF000000"/>
      <name val="Tahoma"/>
      <family val="2"/>
    </font>
    <font>
      <sz val="8"/>
      <color rgb="FF000000"/>
      <name val="Tahoma"/>
      <family val="2"/>
    </font>
    <font>
      <sz val="10"/>
      <color rgb="FF000000"/>
      <name val="Tahoma"/>
      <family val="2"/>
    </font>
    <font>
      <sz val="10"/>
      <color theme="1"/>
      <name val="Arial"/>
      <family val="2"/>
    </font>
    <font>
      <b/>
      <sz val="12"/>
      <color rgb="FFFF0000"/>
      <name val="Times New Roman"/>
      <family val="1"/>
    </font>
    <font>
      <b/>
      <sz val="8"/>
      <color rgb="FF000000"/>
      <name val="Tahoma"/>
      <family val="2"/>
    </font>
    <font>
      <b/>
      <sz val="12"/>
      <color theme="1"/>
      <name val="Calibri"/>
      <family val="2"/>
      <scheme val="minor"/>
    </font>
    <font>
      <b/>
      <sz val="10"/>
      <color theme="1"/>
      <name val="Calibri"/>
      <family val="2"/>
      <scheme val="minor"/>
    </font>
    <font>
      <sz val="9"/>
      <color theme="1"/>
      <name val="Cambria"/>
      <family val="1"/>
      <scheme val="major"/>
    </font>
    <font>
      <b/>
      <sz val="9"/>
      <color theme="1"/>
      <name val="Cambria"/>
      <family val="1"/>
      <scheme val="major"/>
    </font>
    <font>
      <b/>
      <sz val="9"/>
      <color rgb="FFFF0000"/>
      <name val="Cambria"/>
      <family val="1"/>
      <scheme val="major"/>
    </font>
    <font>
      <sz val="8"/>
      <color theme="1"/>
      <name val="Cambria"/>
      <family val="1"/>
      <scheme val="major"/>
    </font>
    <font>
      <sz val="10"/>
      <color theme="1"/>
      <name val="Times New Roman"/>
      <family val="2"/>
    </font>
    <font>
      <b/>
      <sz val="10"/>
      <color theme="1"/>
      <name val="Calibri"/>
      <family val="2"/>
    </font>
    <font>
      <sz val="10"/>
      <color theme="1"/>
      <name val="Calibri"/>
      <family val="2"/>
    </font>
    <font>
      <sz val="12"/>
      <color theme="1"/>
      <name val="Calibri"/>
      <family val="2"/>
    </font>
    <font>
      <b/>
      <sz val="10"/>
      <color theme="1"/>
      <name val="Cambria"/>
      <family val="1"/>
      <scheme val="major"/>
    </font>
    <font>
      <sz val="10"/>
      <color theme="1"/>
      <name val="Cambria"/>
      <family val="1"/>
      <scheme val="major"/>
    </font>
    <font>
      <u/>
      <sz val="10"/>
      <color indexed="12"/>
      <name val="Calibri"/>
      <family val="2"/>
      <scheme val="minor"/>
    </font>
    <font>
      <b/>
      <sz val="12"/>
      <color theme="1"/>
      <name val="Cambria"/>
      <family val="1"/>
      <scheme val="major"/>
    </font>
    <font>
      <b/>
      <sz val="12"/>
      <color theme="1"/>
      <name val="Calibri"/>
      <family val="2"/>
    </font>
    <font>
      <b/>
      <sz val="12"/>
      <name val="Calibri"/>
      <family val="2"/>
      <scheme val="minor"/>
    </font>
    <font>
      <sz val="10"/>
      <name val="Calibri"/>
      <family val="2"/>
      <scheme val="minor"/>
    </font>
    <font>
      <b/>
      <sz val="12"/>
      <color indexed="8"/>
      <name val="Calibri"/>
      <family val="2"/>
      <scheme val="minor"/>
    </font>
    <font>
      <sz val="12"/>
      <color indexed="8"/>
      <name val="Calibri"/>
      <family val="2"/>
      <scheme val="minor"/>
    </font>
    <font>
      <sz val="10"/>
      <color theme="1"/>
      <name val="Calibri"/>
      <family val="2"/>
      <scheme val="minor"/>
    </font>
    <font>
      <u/>
      <sz val="9"/>
      <color theme="1"/>
      <name val="Cambria"/>
      <family val="1"/>
      <scheme val="major"/>
    </font>
    <font>
      <sz val="12"/>
      <color theme="1"/>
      <name val="Calibri"/>
      <family val="2"/>
      <scheme val="minor"/>
    </font>
    <font>
      <i/>
      <sz val="9"/>
      <color theme="1"/>
      <name val="Cambria"/>
      <family val="1"/>
      <scheme val="major"/>
    </font>
    <font>
      <b/>
      <sz val="16"/>
      <color theme="6" tint="-0.249977111117893"/>
      <name val="Cambria"/>
      <family val="1"/>
      <scheme val="major"/>
    </font>
    <font>
      <b/>
      <sz val="10"/>
      <color theme="1"/>
      <name val="Times New Roman"/>
      <family val="1"/>
    </font>
    <font>
      <i/>
      <sz val="8"/>
      <color theme="1"/>
      <name val="Cambria"/>
      <family val="1"/>
      <scheme val="major"/>
    </font>
    <font>
      <b/>
      <sz val="9"/>
      <color theme="6" tint="-0.499984740745262"/>
      <name val="Cambria"/>
      <family val="1"/>
      <scheme val="major"/>
    </font>
    <font>
      <sz val="8"/>
      <color rgb="FFFF0000"/>
      <name val="Cambria"/>
      <family val="1"/>
      <scheme val="major"/>
    </font>
    <font>
      <sz val="12"/>
      <name val="Calibri"/>
      <family val="2"/>
      <scheme val="minor"/>
    </font>
    <font>
      <u/>
      <sz val="12"/>
      <color indexed="12"/>
      <name val="Calibri"/>
      <family val="2"/>
      <scheme val="minor"/>
    </font>
    <font>
      <u/>
      <sz val="12"/>
      <color rgb="FF000000"/>
      <name val="Calibri"/>
      <family val="2"/>
      <scheme val="minor"/>
    </font>
    <font>
      <b/>
      <sz val="12"/>
      <color rgb="FF000000"/>
      <name val="Calibri"/>
      <family val="2"/>
      <scheme val="minor"/>
    </font>
    <font>
      <sz val="12"/>
      <color rgb="FF000000"/>
      <name val="Calibri"/>
      <family val="2"/>
      <scheme val="minor"/>
    </font>
    <font>
      <b/>
      <sz val="9"/>
      <name val="Cambria"/>
      <family val="1"/>
      <scheme val="major"/>
    </font>
    <font>
      <b/>
      <sz val="10"/>
      <color theme="0"/>
      <name val="Cambria"/>
      <family val="1"/>
      <scheme val="major"/>
    </font>
    <font>
      <b/>
      <sz val="9"/>
      <color theme="0"/>
      <name val="Cambria"/>
      <family val="1"/>
      <scheme val="major"/>
    </font>
    <font>
      <i/>
      <sz val="10"/>
      <color theme="1"/>
      <name val="Cambria"/>
      <family val="1"/>
      <scheme val="major"/>
    </font>
    <font>
      <b/>
      <sz val="14"/>
      <color theme="8" tint="-0.499984740745262"/>
      <name val="Cambria"/>
      <family val="1"/>
      <scheme val="major"/>
    </font>
    <font>
      <b/>
      <sz val="10"/>
      <name val="Cambria"/>
      <family val="1"/>
      <scheme val="major"/>
    </font>
  </fonts>
  <fills count="27">
    <fill>
      <patternFill patternType="none"/>
    </fill>
    <fill>
      <patternFill patternType="gray125"/>
    </fill>
    <fill>
      <patternFill patternType="solid">
        <fgColor indexed="22"/>
        <bgColor indexed="0"/>
      </patternFill>
    </fill>
    <fill>
      <patternFill patternType="solid">
        <fgColor rgb="FFDFDFDF"/>
        <bgColor indexed="64"/>
      </patternFill>
    </fill>
    <fill>
      <patternFill patternType="solid">
        <fgColor rgb="FFBFD2E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rgb="FFDFDFDF"/>
      </patternFill>
    </fill>
    <fill>
      <patternFill patternType="solid">
        <fgColor rgb="FFFFFF00"/>
        <bgColor indexed="64"/>
      </patternFill>
    </fill>
    <fill>
      <patternFill patternType="solid">
        <fgColor theme="4" tint="0.79998168889431442"/>
        <bgColor indexed="0"/>
      </patternFill>
    </fill>
    <fill>
      <patternFill patternType="solid">
        <fgColor theme="6" tint="0.39997558519241921"/>
        <bgColor indexed="64"/>
      </patternFill>
    </fill>
    <fill>
      <patternFill patternType="solid">
        <fgColor theme="6" tint="-0.249977111117893"/>
        <bgColor indexed="64"/>
      </patternFill>
    </fill>
    <fill>
      <patternFill patternType="solid">
        <fgColor theme="7" tint="-0.249977111117893"/>
        <bgColor indexed="64"/>
      </patternFill>
    </fill>
    <fill>
      <patternFill patternType="solid">
        <fgColor theme="4"/>
        <bgColor indexed="64"/>
      </patternFill>
    </fill>
    <fill>
      <patternFill patternType="solid">
        <fgColor theme="8" tint="-0.249977111117893"/>
        <bgColor indexed="64"/>
      </patternFill>
    </fill>
  </fills>
  <borders count="220">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right/>
      <top/>
      <bottom style="thin">
        <color indexed="8"/>
      </bottom>
      <diagonal/>
    </border>
    <border>
      <left/>
      <right/>
      <top style="thin">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style="thin">
        <color indexed="22"/>
      </right>
      <top style="thin">
        <color indexed="22"/>
      </top>
      <bottom style="thin">
        <color indexed="22"/>
      </bottom>
      <diagonal/>
    </border>
    <border>
      <left style="thin">
        <color indexed="8"/>
      </left>
      <right/>
      <top/>
      <bottom/>
      <diagonal/>
    </border>
    <border>
      <left style="thin">
        <color indexed="22"/>
      </left>
      <right style="thin">
        <color indexed="22"/>
      </right>
      <top/>
      <bottom style="thin">
        <color indexed="22"/>
      </bottom>
      <diagonal/>
    </border>
    <border>
      <left style="thin">
        <color indexed="22"/>
      </left>
      <right/>
      <top style="thin">
        <color indexed="22"/>
      </top>
      <bottom style="thin">
        <color indexed="22"/>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bottom/>
      <diagonal/>
    </border>
    <border>
      <left style="dashed">
        <color indexed="64"/>
      </left>
      <right style="thin">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dashed">
        <color indexed="64"/>
      </left>
      <right style="dashed">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22"/>
      </top>
      <bottom style="thin">
        <color indexed="22"/>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8"/>
      </left>
      <right style="dashed">
        <color indexed="8"/>
      </right>
      <top/>
      <bottom/>
      <diagonal/>
    </border>
    <border>
      <left style="dashed">
        <color indexed="8"/>
      </left>
      <right style="dashed">
        <color indexed="8"/>
      </right>
      <top/>
      <bottom/>
      <diagonal/>
    </border>
    <border>
      <left style="dashed">
        <color indexed="8"/>
      </left>
      <right style="thin">
        <color indexed="8"/>
      </right>
      <top/>
      <bottom/>
      <diagonal/>
    </border>
    <border>
      <left/>
      <right/>
      <top style="thin">
        <color indexed="64"/>
      </top>
      <bottom/>
      <diagonal/>
    </border>
    <border>
      <left style="thin">
        <color indexed="64"/>
      </left>
      <right style="dashed">
        <color indexed="64"/>
      </right>
      <top/>
      <bottom style="thin">
        <color indexed="8"/>
      </bottom>
      <diagonal/>
    </border>
    <border>
      <left style="dashed">
        <color indexed="64"/>
      </left>
      <right style="dashed">
        <color indexed="64"/>
      </right>
      <top/>
      <bottom style="thin">
        <color indexed="8"/>
      </bottom>
      <diagonal/>
    </border>
    <border>
      <left/>
      <right style="thin">
        <color indexed="8"/>
      </right>
      <top/>
      <bottom/>
      <diagonal/>
    </border>
    <border>
      <left style="dashed">
        <color indexed="64"/>
      </left>
      <right style="thin">
        <color indexed="64"/>
      </right>
      <top/>
      <bottom style="thin">
        <color indexed="8"/>
      </bottom>
      <diagonal/>
    </border>
    <border>
      <left style="thin">
        <color indexed="64"/>
      </left>
      <right/>
      <top style="thin">
        <color indexed="64"/>
      </top>
      <bottom/>
      <diagonal/>
    </border>
    <border>
      <left style="dashed">
        <color indexed="64"/>
      </left>
      <right/>
      <top style="thin">
        <color indexed="64"/>
      </top>
      <bottom style="thin">
        <color indexed="64"/>
      </bottom>
      <diagonal/>
    </border>
    <border>
      <left style="thin">
        <color indexed="22"/>
      </left>
      <right/>
      <top/>
      <bottom/>
      <diagonal/>
    </border>
    <border>
      <left style="dashed">
        <color indexed="64"/>
      </left>
      <right/>
      <top/>
      <bottom/>
      <diagonal/>
    </border>
    <border>
      <left style="dashed">
        <color indexed="64"/>
      </left>
      <right/>
      <top style="thin">
        <color indexed="64"/>
      </top>
      <bottom/>
      <diagonal/>
    </border>
    <border>
      <left style="thin">
        <color indexed="64"/>
      </left>
      <right style="dashed">
        <color indexed="64"/>
      </right>
      <top style="thin">
        <color indexed="64"/>
      </top>
      <bottom style="thin">
        <color indexed="8"/>
      </bottom>
      <diagonal/>
    </border>
    <border>
      <left/>
      <right style="dashed">
        <color indexed="64"/>
      </right>
      <top style="thin">
        <color indexed="64"/>
      </top>
      <bottom style="thin">
        <color indexed="8"/>
      </bottom>
      <diagonal/>
    </border>
    <border>
      <left style="dashed">
        <color indexed="64"/>
      </left>
      <right style="dashed">
        <color indexed="64"/>
      </right>
      <top style="thin">
        <color indexed="64"/>
      </top>
      <bottom style="thin">
        <color indexed="8"/>
      </bottom>
      <diagonal/>
    </border>
    <border>
      <left style="dashed">
        <color indexed="64"/>
      </left>
      <right style="thin">
        <color indexed="64"/>
      </right>
      <top style="thin">
        <color indexed="64"/>
      </top>
      <bottom style="thin">
        <color indexed="8"/>
      </bottom>
      <diagonal/>
    </border>
    <border>
      <left style="thin">
        <color indexed="64"/>
      </left>
      <right style="thin">
        <color indexed="64"/>
      </right>
      <top style="thin">
        <color indexed="64"/>
      </top>
      <bottom style="thin">
        <color indexed="8"/>
      </bottom>
      <diagonal/>
    </border>
    <border>
      <left/>
      <right style="dashed">
        <color indexed="64"/>
      </right>
      <top/>
      <bottom/>
      <diagonal/>
    </border>
    <border>
      <left style="dashed">
        <color indexed="64"/>
      </left>
      <right/>
      <top style="thin">
        <color indexed="22"/>
      </top>
      <bottom style="thin">
        <color indexed="22"/>
      </bottom>
      <diagonal/>
    </border>
    <border>
      <left style="dashed">
        <color indexed="64"/>
      </left>
      <right style="thin">
        <color indexed="64"/>
      </right>
      <top style="thin">
        <color indexed="22"/>
      </top>
      <bottom style="thin">
        <color indexed="22"/>
      </bottom>
      <diagonal/>
    </border>
    <border>
      <left style="thin">
        <color indexed="64"/>
      </left>
      <right style="dashed">
        <color indexed="64"/>
      </right>
      <top style="thin">
        <color indexed="22"/>
      </top>
      <bottom style="thin">
        <color indexed="22"/>
      </bottom>
      <diagonal/>
    </border>
    <border>
      <left style="dashed">
        <color indexed="64"/>
      </left>
      <right style="dashed">
        <color indexed="64"/>
      </right>
      <top style="thin">
        <color indexed="22"/>
      </top>
      <bottom style="thin">
        <color indexed="22"/>
      </bottom>
      <diagonal/>
    </border>
    <border>
      <left/>
      <right style="dashed">
        <color indexed="64"/>
      </right>
      <top style="thin">
        <color indexed="22"/>
      </top>
      <bottom style="thin">
        <color indexed="22"/>
      </bottom>
      <diagonal/>
    </border>
    <border>
      <left/>
      <right style="dashed">
        <color indexed="64"/>
      </right>
      <top/>
      <bottom style="thin">
        <color indexed="64"/>
      </bottom>
      <diagonal/>
    </border>
    <border>
      <left style="dashed">
        <color indexed="8"/>
      </left>
      <right style="dashed">
        <color indexed="8"/>
      </right>
      <top style="thin">
        <color indexed="8"/>
      </top>
      <bottom style="thin">
        <color indexed="8"/>
      </bottom>
      <diagonal/>
    </border>
    <border>
      <left style="dashed">
        <color indexed="8"/>
      </left>
      <right/>
      <top style="thin">
        <color indexed="8"/>
      </top>
      <bottom style="thin">
        <color indexed="8"/>
      </bottom>
      <diagonal/>
    </border>
    <border>
      <left style="dashed">
        <color indexed="8"/>
      </left>
      <right style="thin">
        <color indexed="8"/>
      </right>
      <top style="thin">
        <color indexed="8"/>
      </top>
      <bottom style="thin">
        <color indexed="8"/>
      </bottom>
      <diagonal/>
    </border>
    <border>
      <left style="dashed">
        <color indexed="8"/>
      </left>
      <right style="dashed">
        <color indexed="8"/>
      </right>
      <top style="thin">
        <color indexed="22"/>
      </top>
      <bottom style="thin">
        <color indexed="22"/>
      </bottom>
      <diagonal/>
    </border>
    <border>
      <left style="dashed">
        <color indexed="8"/>
      </left>
      <right/>
      <top/>
      <bottom/>
      <diagonal/>
    </border>
    <border>
      <left style="dashed">
        <color indexed="8"/>
      </left>
      <right style="thin">
        <color indexed="8"/>
      </right>
      <top style="thin">
        <color indexed="8"/>
      </top>
      <bottom/>
      <diagonal/>
    </border>
    <border>
      <left style="dashed">
        <color indexed="8"/>
      </left>
      <right style="thin">
        <color indexed="8"/>
      </right>
      <top style="thin">
        <color indexed="8"/>
      </top>
      <bottom style="thin">
        <color indexed="22"/>
      </bottom>
      <diagonal/>
    </border>
    <border>
      <left style="dashed">
        <color indexed="8"/>
      </left>
      <right/>
      <top style="thin">
        <color indexed="22"/>
      </top>
      <bottom style="thin">
        <color indexed="22"/>
      </bottom>
      <diagonal/>
    </border>
    <border>
      <left style="dashed">
        <color indexed="8"/>
      </left>
      <right style="thin">
        <color indexed="8"/>
      </right>
      <top style="thin">
        <color indexed="22"/>
      </top>
      <bottom style="thin">
        <color indexed="22"/>
      </bottom>
      <diagonal/>
    </border>
    <border>
      <left style="dashed">
        <color indexed="8"/>
      </left>
      <right style="dashed">
        <color indexed="8"/>
      </right>
      <top style="thin">
        <color indexed="22"/>
      </top>
      <bottom/>
      <diagonal/>
    </border>
    <border>
      <left style="dashed">
        <color indexed="8"/>
      </left>
      <right/>
      <top style="thin">
        <color indexed="22"/>
      </top>
      <bottom/>
      <diagonal/>
    </border>
    <border>
      <left style="dashed">
        <color indexed="8"/>
      </left>
      <right style="thin">
        <color indexed="8"/>
      </right>
      <top style="thin">
        <color indexed="22"/>
      </top>
      <bottom/>
      <diagonal/>
    </border>
    <border>
      <left style="thin">
        <color indexed="22"/>
      </left>
      <right style="thin">
        <color indexed="22"/>
      </right>
      <top style="thin">
        <color indexed="22"/>
      </top>
      <bottom/>
      <diagonal/>
    </border>
    <border>
      <left style="thin">
        <color indexed="22"/>
      </left>
      <right/>
      <top style="thin">
        <color indexed="22"/>
      </top>
      <bottom/>
      <diagonal/>
    </border>
    <border>
      <left/>
      <right/>
      <top style="thin">
        <color indexed="22"/>
      </top>
      <bottom/>
      <diagonal/>
    </border>
    <border>
      <left style="medium">
        <color indexed="64"/>
      </left>
      <right style="medium">
        <color indexed="64"/>
      </right>
      <top style="medium">
        <color indexed="64"/>
      </top>
      <bottom style="thin">
        <color indexed="64"/>
      </bottom>
      <diagonal/>
    </border>
    <border>
      <left/>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style="thin">
        <color indexed="22"/>
      </left>
      <right/>
      <top/>
      <bottom style="thin">
        <color indexed="22"/>
      </bottom>
      <diagonal/>
    </border>
    <border>
      <left style="thin">
        <color indexed="8"/>
      </left>
      <right style="dashed">
        <color indexed="8"/>
      </right>
      <top style="thin">
        <color indexed="22"/>
      </top>
      <bottom style="thin">
        <color indexed="22"/>
      </bottom>
      <diagonal/>
    </border>
    <border>
      <left/>
      <right style="dashed">
        <color indexed="8"/>
      </right>
      <top style="thin">
        <color indexed="22"/>
      </top>
      <bottom style="thin">
        <color indexed="22"/>
      </bottom>
      <diagonal/>
    </border>
    <border>
      <left style="thin">
        <color indexed="8"/>
      </left>
      <right style="thin">
        <color indexed="8"/>
      </right>
      <top style="thin">
        <color indexed="22"/>
      </top>
      <bottom style="thin">
        <color indexed="22"/>
      </bottom>
      <diagonal/>
    </border>
    <border>
      <left style="thin">
        <color indexed="8"/>
      </left>
      <right style="dashed">
        <color indexed="8"/>
      </right>
      <top style="thin">
        <color indexed="8"/>
      </top>
      <bottom style="thin">
        <color indexed="8"/>
      </bottom>
      <diagonal/>
    </border>
    <border>
      <left/>
      <right style="dashed">
        <color indexed="8"/>
      </right>
      <top style="thin">
        <color indexed="8"/>
      </top>
      <bottom style="thin">
        <color indexed="8"/>
      </bottom>
      <diagonal/>
    </border>
    <border>
      <left/>
      <right style="dashed">
        <color indexed="64"/>
      </right>
      <top style="thin">
        <color indexed="64"/>
      </top>
      <bottom style="thin">
        <color indexed="64"/>
      </bottom>
      <diagonal/>
    </border>
    <border>
      <left style="thin">
        <color indexed="8"/>
      </left>
      <right style="dashed">
        <color indexed="8"/>
      </right>
      <top/>
      <bottom style="thin">
        <color indexed="22"/>
      </bottom>
      <diagonal/>
    </border>
    <border>
      <left style="dashed">
        <color indexed="8"/>
      </left>
      <right style="dashed">
        <color indexed="8"/>
      </right>
      <top/>
      <bottom style="thin">
        <color indexed="22"/>
      </bottom>
      <diagonal/>
    </border>
    <border>
      <left style="dashed">
        <color indexed="8"/>
      </left>
      <right style="thin">
        <color indexed="8"/>
      </right>
      <top/>
      <bottom style="thin">
        <color indexed="22"/>
      </bottom>
      <diagonal/>
    </border>
    <border>
      <left/>
      <right style="dashed">
        <color indexed="8"/>
      </right>
      <top/>
      <bottom style="thin">
        <color indexed="22"/>
      </bottom>
      <diagonal/>
    </border>
    <border>
      <left style="thin">
        <color indexed="8"/>
      </left>
      <right style="thin">
        <color indexed="22"/>
      </right>
      <top style="thin">
        <color indexed="22"/>
      </top>
      <bottom style="thin">
        <color indexed="22"/>
      </bottom>
      <diagonal/>
    </border>
    <border>
      <left style="thin">
        <color indexed="22"/>
      </left>
      <right style="thin">
        <color indexed="8"/>
      </right>
      <top style="thin">
        <color indexed="22"/>
      </top>
      <bottom style="thin">
        <color indexed="22"/>
      </bottom>
      <diagonal/>
    </border>
    <border>
      <left style="thin">
        <color indexed="8"/>
      </left>
      <right style="thin">
        <color indexed="22"/>
      </right>
      <top/>
      <bottom style="thin">
        <color indexed="22"/>
      </bottom>
      <diagonal/>
    </border>
    <border>
      <left style="thin">
        <color indexed="22"/>
      </left>
      <right style="thin">
        <color indexed="8"/>
      </right>
      <top/>
      <bottom style="thin">
        <color indexed="22"/>
      </bottom>
      <diagonal/>
    </border>
    <border>
      <left style="thin">
        <color indexed="22"/>
      </left>
      <right style="thin">
        <color indexed="22"/>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indexed="8"/>
      </left>
      <right style="dashed">
        <color indexed="8"/>
      </right>
      <top style="thin">
        <color indexed="8"/>
      </top>
      <bottom/>
      <diagonal/>
    </border>
    <border>
      <left style="dashed">
        <color indexed="8"/>
      </left>
      <right style="dashed">
        <color indexed="8"/>
      </right>
      <top style="thin">
        <color indexed="8"/>
      </top>
      <bottom/>
      <diagonal/>
    </border>
    <border>
      <left style="thin">
        <color indexed="22"/>
      </left>
      <right/>
      <top style="thin">
        <color indexed="8"/>
      </top>
      <bottom style="thin">
        <color indexed="8"/>
      </bottom>
      <diagonal/>
    </border>
    <border>
      <left style="dashed">
        <color indexed="8"/>
      </left>
      <right/>
      <top style="thin">
        <color indexed="8"/>
      </top>
      <bottom/>
      <diagonal/>
    </border>
    <border>
      <left style="thin">
        <color indexed="22"/>
      </left>
      <right style="thin">
        <color indexed="22"/>
      </right>
      <top/>
      <bottom/>
      <diagonal/>
    </border>
    <border>
      <left/>
      <right style="dashed">
        <color indexed="8"/>
      </right>
      <top/>
      <bottom/>
      <diagonal/>
    </border>
    <border>
      <left style="thin">
        <color indexed="8"/>
      </left>
      <right style="thin">
        <color indexed="8"/>
      </right>
      <top/>
      <bottom style="thin">
        <color indexed="22"/>
      </bottom>
      <diagonal/>
    </border>
    <border>
      <left style="thin">
        <color indexed="8"/>
      </left>
      <right style="dashed">
        <color indexed="8"/>
      </right>
      <top style="thin">
        <color indexed="22"/>
      </top>
      <bottom/>
      <diagonal/>
    </border>
    <border>
      <left/>
      <right/>
      <top/>
      <bottom style="thin">
        <color indexed="22"/>
      </bottom>
      <diagonal/>
    </border>
    <border>
      <left/>
      <right/>
      <top/>
      <bottom style="dashDotDot">
        <color indexed="64"/>
      </bottom>
      <diagonal/>
    </border>
    <border>
      <left/>
      <right/>
      <top/>
      <bottom style="dashDot">
        <color indexed="64"/>
      </bottom>
      <diagonal/>
    </border>
    <border>
      <left/>
      <right/>
      <top style="dashDot">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rgb="FFA2C4E0"/>
      </left>
      <right style="thin">
        <color rgb="FFA2C4E0"/>
      </right>
      <top style="thin">
        <color rgb="FFA2C4E0"/>
      </top>
      <bottom style="thin">
        <color rgb="FFA2C4E0"/>
      </bottom>
      <diagonal/>
    </border>
    <border>
      <left/>
      <right style="thin">
        <color rgb="FF93B1CD"/>
      </right>
      <top style="thin">
        <color rgb="FFCFCFCF"/>
      </top>
      <bottom style="thin">
        <color rgb="FF93B1CD"/>
      </bottom>
      <diagonal/>
    </border>
    <border>
      <left style="thin">
        <color rgb="FF93B1CD"/>
      </left>
      <right style="thin">
        <color rgb="FF93B1CD"/>
      </right>
      <top style="thin">
        <color rgb="FF93B1CD"/>
      </top>
      <bottom style="thin">
        <color rgb="FF93B1CD"/>
      </bottom>
      <diagonal/>
    </border>
    <border>
      <left/>
      <right style="thin">
        <color rgb="FF93B1CD"/>
      </right>
      <top style="thin">
        <color rgb="FF93B1CD"/>
      </top>
      <bottom style="thin">
        <color rgb="FF93B1CD"/>
      </bottom>
      <diagonal/>
    </border>
    <border>
      <left style="thin">
        <color theme="1"/>
      </left>
      <right style="dashed">
        <color theme="1"/>
      </right>
      <top/>
      <bottom/>
      <diagonal/>
    </border>
    <border>
      <left style="dashed">
        <color theme="1"/>
      </left>
      <right style="dashed">
        <color theme="1"/>
      </right>
      <top/>
      <bottom/>
      <diagonal/>
    </border>
    <border>
      <left style="dashed">
        <color theme="1"/>
      </left>
      <right style="thin">
        <color theme="1"/>
      </right>
      <top/>
      <bottom/>
      <diagonal/>
    </border>
    <border>
      <left style="thin">
        <color theme="1"/>
      </left>
      <right style="dashed">
        <color theme="1"/>
      </right>
      <top style="thin">
        <color indexed="64"/>
      </top>
      <bottom style="thin">
        <color indexed="64"/>
      </bottom>
      <diagonal/>
    </border>
    <border>
      <left style="dashed">
        <color theme="1"/>
      </left>
      <right style="dashed">
        <color theme="1"/>
      </right>
      <top style="thin">
        <color indexed="64"/>
      </top>
      <bottom style="thin">
        <color indexed="64"/>
      </bottom>
      <diagonal/>
    </border>
    <border>
      <left style="dashed">
        <color theme="1"/>
      </left>
      <right style="thin">
        <color theme="1"/>
      </right>
      <top style="thin">
        <color indexed="64"/>
      </top>
      <bottom style="thin">
        <color indexed="64"/>
      </bottom>
      <diagonal/>
    </border>
    <border>
      <left style="thin">
        <color indexed="64"/>
      </left>
      <right style="dashed">
        <color indexed="64"/>
      </right>
      <top style="thin">
        <color theme="1"/>
      </top>
      <bottom/>
      <diagonal/>
    </border>
    <border>
      <left style="dashed">
        <color indexed="64"/>
      </left>
      <right style="dashed">
        <color indexed="64"/>
      </right>
      <top style="thin">
        <color theme="1"/>
      </top>
      <bottom/>
      <diagonal/>
    </border>
    <border>
      <left style="thin">
        <color theme="1"/>
      </left>
      <right style="thin">
        <color indexed="64"/>
      </right>
      <top/>
      <bottom/>
      <diagonal/>
    </border>
    <border>
      <left style="thin">
        <color theme="1"/>
      </left>
      <right/>
      <top/>
      <bottom/>
      <diagonal/>
    </border>
    <border>
      <left style="thin">
        <color theme="1"/>
      </left>
      <right/>
      <top/>
      <bottom style="thin">
        <color theme="1"/>
      </bottom>
      <diagonal/>
    </border>
    <border>
      <left style="dashed">
        <color indexed="64"/>
      </left>
      <right style="thin">
        <color theme="1"/>
      </right>
      <top/>
      <bottom style="thin">
        <color indexed="64"/>
      </bottom>
      <diagonal/>
    </border>
    <border>
      <left style="thin">
        <color indexed="64"/>
      </left>
      <right style="thin">
        <color theme="1"/>
      </right>
      <top/>
      <bottom/>
      <diagonal/>
    </border>
    <border>
      <left/>
      <right/>
      <top/>
      <bottom style="thin">
        <color theme="1"/>
      </bottom>
      <diagonal/>
    </border>
    <border>
      <left style="thin">
        <color indexed="64"/>
      </left>
      <right style="thin">
        <color indexed="64"/>
      </right>
      <top/>
      <bottom style="thin">
        <color theme="1"/>
      </bottom>
      <diagonal/>
    </border>
    <border>
      <left style="thin">
        <color indexed="64"/>
      </left>
      <right style="thin">
        <color theme="1"/>
      </right>
      <top/>
      <bottom style="thin">
        <color theme="1"/>
      </bottom>
      <diagonal/>
    </border>
    <border>
      <left style="dashed">
        <color indexed="64"/>
      </left>
      <right style="thin">
        <color theme="1"/>
      </right>
      <top/>
      <bottom/>
      <diagonal/>
    </border>
    <border>
      <left style="thin">
        <color indexed="64"/>
      </left>
      <right style="dashed">
        <color indexed="64"/>
      </right>
      <top/>
      <bottom style="thin">
        <color theme="1"/>
      </bottom>
      <diagonal/>
    </border>
    <border>
      <left style="dashed">
        <color indexed="64"/>
      </left>
      <right style="dashed">
        <color indexed="64"/>
      </right>
      <top/>
      <bottom style="thin">
        <color theme="1"/>
      </bottom>
      <diagonal/>
    </border>
    <border>
      <left/>
      <right style="thin">
        <color theme="1"/>
      </right>
      <top/>
      <bottom/>
      <diagonal/>
    </border>
    <border>
      <left style="dashed">
        <color indexed="64"/>
      </left>
      <right style="thin">
        <color indexed="64"/>
      </right>
      <top/>
      <bottom style="thin">
        <color theme="1"/>
      </bottom>
      <diagonal/>
    </border>
    <border>
      <left/>
      <right style="thin">
        <color theme="1"/>
      </right>
      <top/>
      <bottom style="thin">
        <color theme="1"/>
      </bottom>
      <diagonal/>
    </border>
    <border>
      <left style="dashed">
        <color indexed="64"/>
      </left>
      <right style="thin">
        <color indexed="64"/>
      </right>
      <top style="thin">
        <color theme="3" tint="-0.24994659260841701"/>
      </top>
      <bottom style="thin">
        <color theme="3" tint="-0.24994659260841701"/>
      </bottom>
      <diagonal/>
    </border>
    <border>
      <left style="thin">
        <color indexed="64"/>
      </left>
      <right style="thin">
        <color indexed="64"/>
      </right>
      <top/>
      <bottom style="thin">
        <color theme="3" tint="-0.24994659260841701"/>
      </bottom>
      <diagonal/>
    </border>
    <border>
      <left style="thin">
        <color indexed="64"/>
      </left>
      <right style="thin">
        <color indexed="64"/>
      </right>
      <top style="thin">
        <color theme="3" tint="-0.24994659260841701"/>
      </top>
      <bottom style="thin">
        <color theme="3" tint="-0.24994659260841701"/>
      </bottom>
      <diagonal/>
    </border>
    <border>
      <left style="thin">
        <color indexed="64"/>
      </left>
      <right style="dashed">
        <color indexed="64"/>
      </right>
      <top style="thin">
        <color theme="3" tint="-0.24994659260841701"/>
      </top>
      <bottom style="thin">
        <color theme="3" tint="-0.24994659260841701"/>
      </bottom>
      <diagonal/>
    </border>
    <border>
      <left style="thin">
        <color indexed="64"/>
      </left>
      <right style="dashed">
        <color indexed="64"/>
      </right>
      <top style="thin">
        <color theme="1"/>
      </top>
      <bottom style="thin">
        <color theme="1"/>
      </bottom>
      <diagonal/>
    </border>
    <border>
      <left style="dashed">
        <color indexed="64"/>
      </left>
      <right style="dashed">
        <color indexed="64"/>
      </right>
      <top style="thin">
        <color theme="1"/>
      </top>
      <bottom style="thin">
        <color theme="1"/>
      </bottom>
      <diagonal/>
    </border>
    <border>
      <left style="dashed">
        <color indexed="64"/>
      </left>
      <right style="thin">
        <color theme="1"/>
      </right>
      <top style="thin">
        <color theme="1"/>
      </top>
      <bottom style="thin">
        <color theme="1"/>
      </bottom>
      <diagonal/>
    </border>
    <border>
      <left style="dashed">
        <color indexed="64"/>
      </left>
      <right style="thin">
        <color indexed="64"/>
      </right>
      <top style="thin">
        <color theme="1"/>
      </top>
      <bottom/>
      <diagonal/>
    </border>
    <border>
      <left style="thin">
        <color rgb="FFCFCFCF"/>
      </left>
      <right/>
      <top/>
      <bottom/>
      <diagonal/>
    </border>
    <border>
      <left/>
      <right style="thin">
        <color rgb="FF93B1CD"/>
      </right>
      <top style="thin">
        <color indexed="64"/>
      </top>
      <bottom style="thin">
        <color indexed="64"/>
      </bottom>
      <diagonal/>
    </border>
    <border>
      <left style="thin">
        <color indexed="64"/>
      </left>
      <right style="dashed">
        <color indexed="64"/>
      </right>
      <top/>
      <bottom style="thin">
        <color rgb="FFA2C4E0"/>
      </bottom>
      <diagonal/>
    </border>
    <border>
      <left style="thin">
        <color indexed="64"/>
      </left>
      <right style="thin">
        <color indexed="64"/>
      </right>
      <top/>
      <bottom style="thin">
        <color rgb="FFA2C4E0"/>
      </bottom>
      <diagonal/>
    </border>
    <border>
      <left style="thin">
        <color indexed="64"/>
      </left>
      <right style="dashed">
        <color indexed="64"/>
      </right>
      <top style="thin">
        <color rgb="FFA2C4E0"/>
      </top>
      <bottom/>
      <diagonal/>
    </border>
    <border>
      <left style="thin">
        <color indexed="64"/>
      </left>
      <right style="thin">
        <color indexed="64"/>
      </right>
      <top style="thin">
        <color rgb="FFA2C4E0"/>
      </top>
      <bottom/>
      <diagonal/>
    </border>
    <border>
      <left style="thin">
        <color rgb="FFCFCFCF"/>
      </left>
      <right/>
      <top/>
      <bottom style="thin">
        <color indexed="64"/>
      </bottom>
      <diagonal/>
    </border>
    <border>
      <left style="thin">
        <color rgb="FF93B1CD"/>
      </left>
      <right/>
      <top style="thin">
        <color indexed="64"/>
      </top>
      <bottom/>
      <diagonal/>
    </border>
    <border>
      <left style="thin">
        <color rgb="FF93B1CD"/>
      </left>
      <right/>
      <top/>
      <bottom/>
      <diagonal/>
    </border>
    <border>
      <left/>
      <right/>
      <top/>
      <bottom style="thin">
        <color rgb="FFA2C4E0"/>
      </bottom>
      <diagonal/>
    </border>
    <border>
      <left style="thin">
        <color indexed="64"/>
      </left>
      <right/>
      <top/>
      <bottom style="thin">
        <color rgb="FFA2C4E0"/>
      </bottom>
      <diagonal/>
    </border>
    <border>
      <left/>
      <right style="thin">
        <color indexed="64"/>
      </right>
      <top/>
      <bottom style="thin">
        <color rgb="FFA2C4E0"/>
      </bottom>
      <diagonal/>
    </border>
    <border>
      <left/>
      <right style="medium">
        <color indexed="64"/>
      </right>
      <top/>
      <bottom style="thin">
        <color rgb="FFA2C4E0"/>
      </bottom>
      <diagonal/>
    </border>
    <border>
      <left style="medium">
        <color indexed="64"/>
      </left>
      <right style="medium">
        <color indexed="64"/>
      </right>
      <top/>
      <bottom style="thin">
        <color rgb="FFA2C4E0"/>
      </bottom>
      <diagonal/>
    </border>
    <border>
      <left style="medium">
        <color indexed="64"/>
      </left>
      <right/>
      <top/>
      <bottom style="thin">
        <color rgb="FFA2C4E0"/>
      </bottom>
      <diagonal/>
    </border>
    <border>
      <left/>
      <right style="thin">
        <color theme="1"/>
      </right>
      <top style="thin">
        <color indexed="64"/>
      </top>
      <bottom style="thin">
        <color indexed="64"/>
      </bottom>
      <diagonal/>
    </border>
    <border>
      <left/>
      <right style="thin">
        <color theme="1"/>
      </right>
      <top style="thin">
        <color indexed="64"/>
      </top>
      <bottom style="thin">
        <color theme="7" tint="-0.24994659260841701"/>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theme="1"/>
      </right>
      <top style="thin">
        <color theme="1"/>
      </top>
      <bottom style="thin">
        <color indexed="64"/>
      </bottom>
      <diagonal/>
    </border>
    <border>
      <left style="thin">
        <color indexed="64"/>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indexed="64"/>
      </right>
      <top style="thin">
        <color theme="1"/>
      </top>
      <bottom/>
      <diagonal/>
    </border>
    <border>
      <left style="thin">
        <color theme="1"/>
      </left>
      <right style="thin">
        <color indexed="64"/>
      </right>
      <top/>
      <bottom style="thin">
        <color indexed="64"/>
      </bottom>
      <diagonal/>
    </border>
    <border>
      <left style="thin">
        <color indexed="64"/>
      </left>
      <right/>
      <top style="thin">
        <color theme="1"/>
      </top>
      <bottom/>
      <diagonal/>
    </border>
    <border>
      <left/>
      <right/>
      <top style="thin">
        <color theme="1"/>
      </top>
      <bottom/>
      <diagonal/>
    </border>
    <border>
      <left style="dashed">
        <color theme="1"/>
      </left>
      <right style="dashed">
        <color theme="1"/>
      </right>
      <top style="thin">
        <color indexed="64"/>
      </top>
      <bottom/>
      <diagonal/>
    </border>
    <border>
      <left style="dashed">
        <color theme="1"/>
      </left>
      <right style="dashed">
        <color theme="1"/>
      </right>
      <top/>
      <bottom style="thin">
        <color indexed="64"/>
      </bottom>
      <diagonal/>
    </border>
    <border>
      <left style="dashed">
        <color theme="1"/>
      </left>
      <right style="thin">
        <color theme="1"/>
      </right>
      <top style="thin">
        <color indexed="64"/>
      </top>
      <bottom/>
      <diagonal/>
    </border>
    <border>
      <left style="dashed">
        <color theme="1"/>
      </left>
      <right style="thin">
        <color theme="1"/>
      </right>
      <top/>
      <bottom style="thin">
        <color indexed="64"/>
      </bottom>
      <diagonal/>
    </border>
    <border>
      <left/>
      <right style="thin">
        <color theme="1"/>
      </right>
      <top style="thin">
        <color indexed="64"/>
      </top>
      <bottom/>
      <diagonal/>
    </border>
    <border>
      <left/>
      <right style="thin">
        <color theme="1"/>
      </right>
      <top/>
      <bottom style="thin">
        <color indexed="64"/>
      </bottom>
      <diagonal/>
    </border>
    <border>
      <left style="thin">
        <color theme="1"/>
      </left>
      <right style="dashed">
        <color theme="1"/>
      </right>
      <top style="thin">
        <color indexed="64"/>
      </top>
      <bottom/>
      <diagonal/>
    </border>
    <border>
      <left style="thin">
        <color theme="1"/>
      </left>
      <right style="dashed">
        <color theme="1"/>
      </right>
      <top/>
      <bottom style="thin">
        <color indexed="64"/>
      </bottom>
      <diagonal/>
    </border>
    <border>
      <left style="thin">
        <color theme="1"/>
      </left>
      <right style="thin">
        <color indexed="64"/>
      </right>
      <top style="thin">
        <color indexed="64"/>
      </top>
      <bottom style="thin">
        <color theme="1"/>
      </bottom>
      <diagonal/>
    </border>
    <border>
      <left style="thin">
        <color theme="1"/>
      </left>
      <right style="thin">
        <color indexed="64"/>
      </right>
      <top style="thin">
        <color theme="1"/>
      </top>
      <bottom style="thin">
        <color indexed="64"/>
      </bottom>
      <diagonal/>
    </border>
    <border>
      <left style="thin">
        <color indexed="64"/>
      </left>
      <right style="thin">
        <color indexed="64"/>
      </right>
      <top style="thin">
        <color theme="1"/>
      </top>
      <bottom/>
      <diagonal/>
    </border>
    <border>
      <left style="thin">
        <color indexed="64"/>
      </left>
      <right style="thin">
        <color indexed="64"/>
      </right>
      <top style="thin">
        <color theme="1"/>
      </top>
      <bottom style="thin">
        <color theme="1"/>
      </bottom>
      <diagonal/>
    </border>
    <border>
      <left style="thin">
        <color theme="1"/>
      </left>
      <right/>
      <top style="thin">
        <color theme="1"/>
      </top>
      <bottom/>
      <diagonal/>
    </border>
    <border>
      <left style="thin">
        <color theme="1"/>
      </left>
      <right/>
      <top/>
      <bottom style="thin">
        <color indexed="64"/>
      </bottom>
      <diagonal/>
    </border>
    <border>
      <left/>
      <right style="thin">
        <color indexed="64"/>
      </right>
      <top style="thin">
        <color theme="1"/>
      </top>
      <bottom style="thin">
        <color indexed="64"/>
      </bottom>
      <diagonal/>
    </border>
    <border>
      <left style="thin">
        <color indexed="64"/>
      </left>
      <right/>
      <top style="thin">
        <color theme="1"/>
      </top>
      <bottom style="thin">
        <color theme="1"/>
      </bottom>
      <diagonal/>
    </border>
    <border>
      <left/>
      <right style="thin">
        <color theme="1"/>
      </right>
      <top style="thin">
        <color theme="1"/>
      </top>
      <bottom style="thin">
        <color theme="1"/>
      </bottom>
      <diagonal/>
    </border>
    <border>
      <left style="dashed">
        <color indexed="64"/>
      </left>
      <right style="thin">
        <color indexed="64"/>
      </right>
      <top style="thin">
        <color indexed="64"/>
      </top>
      <bottom style="thin">
        <color theme="7" tint="-0.24994659260841701"/>
      </bottom>
      <diagonal/>
    </border>
    <border>
      <left style="thin">
        <color indexed="64"/>
      </left>
      <right style="dashed">
        <color indexed="64"/>
      </right>
      <top style="thin">
        <color indexed="64"/>
      </top>
      <bottom style="thin">
        <color theme="7" tint="-0.24994659260841701"/>
      </bottom>
      <diagonal/>
    </border>
    <border>
      <left style="dashed">
        <color indexed="64"/>
      </left>
      <right style="dashed">
        <color indexed="64"/>
      </right>
      <top style="thin">
        <color indexed="64"/>
      </top>
      <bottom style="thin">
        <color theme="7" tint="-0.24994659260841701"/>
      </bottom>
      <diagonal/>
    </border>
    <border>
      <left style="thin">
        <color theme="1"/>
      </left>
      <right/>
      <top style="thin">
        <color theme="1"/>
      </top>
      <bottom style="thin">
        <color theme="9" tint="-0.24994659260841701"/>
      </bottom>
      <diagonal/>
    </border>
    <border>
      <left/>
      <right/>
      <top style="thin">
        <color theme="1"/>
      </top>
      <bottom style="thin">
        <color theme="9" tint="-0.24994659260841701"/>
      </bottom>
      <diagonal/>
    </border>
    <border>
      <left style="thin">
        <color theme="1"/>
      </left>
      <right/>
      <top style="thin">
        <color theme="9" tint="-0.24994659260841701"/>
      </top>
      <bottom style="thin">
        <color theme="9" tint="-0.24994659260841701"/>
      </bottom>
      <diagonal/>
    </border>
    <border>
      <left/>
      <right/>
      <top style="thin">
        <color theme="9" tint="-0.24994659260841701"/>
      </top>
      <bottom style="thin">
        <color theme="9" tint="-0.24994659260841701"/>
      </bottom>
      <diagonal/>
    </border>
    <border>
      <left style="thin">
        <color theme="1"/>
      </left>
      <right/>
      <top style="thin">
        <color theme="9" tint="-0.24994659260841701"/>
      </top>
      <bottom style="thin">
        <color theme="7" tint="-0.24994659260841701"/>
      </bottom>
      <diagonal/>
    </border>
    <border>
      <left/>
      <right/>
      <top style="thin">
        <color theme="9" tint="-0.24994659260841701"/>
      </top>
      <bottom style="thin">
        <color theme="7" tint="-0.24994659260841701"/>
      </bottom>
      <diagonal/>
    </border>
  </borders>
  <cellStyleXfs count="41">
    <xf numFmtId="0" fontId="0" fillId="0" borderId="0"/>
    <xf numFmtId="43" fontId="42" fillId="0" borderId="0" applyFont="0" applyFill="0" applyBorder="0" applyAlignment="0" applyProtection="0"/>
    <xf numFmtId="43" fontId="43" fillId="0" borderId="0" applyFont="0" applyFill="0" applyBorder="0" applyAlignment="0" applyProtection="0"/>
    <xf numFmtId="44" fontId="42" fillId="0" borderId="0" applyFont="0" applyFill="0" applyBorder="0" applyAlignment="0" applyProtection="0"/>
    <xf numFmtId="0" fontId="2"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5" fillId="0" borderId="0"/>
    <xf numFmtId="0" fontId="45" fillId="0" borderId="0"/>
    <xf numFmtId="0" fontId="45" fillId="0" borderId="0"/>
    <xf numFmtId="0" fontId="45" fillId="0" borderId="0"/>
    <xf numFmtId="0" fontId="3" fillId="0" borderId="0"/>
    <xf numFmtId="0" fontId="8" fillId="0" borderId="0"/>
    <xf numFmtId="0" fontId="4" fillId="0" borderId="0">
      <alignment vertical="top"/>
    </xf>
    <xf numFmtId="0" fontId="42" fillId="0" borderId="0"/>
    <xf numFmtId="0" fontId="4" fillId="0" borderId="0"/>
    <xf numFmtId="0" fontId="43" fillId="0" borderId="0"/>
    <xf numFmtId="0" fontId="7" fillId="0" borderId="0"/>
    <xf numFmtId="0" fontId="4" fillId="0" borderId="0">
      <alignment vertical="top"/>
    </xf>
    <xf numFmtId="0" fontId="11" fillId="0" borderId="0"/>
    <xf numFmtId="0" fontId="15" fillId="0" borderId="0">
      <alignment vertical="top"/>
    </xf>
    <xf numFmtId="0" fontId="7" fillId="0" borderId="0"/>
    <xf numFmtId="0" fontId="16" fillId="0" borderId="0"/>
    <xf numFmtId="0" fontId="16" fillId="0" borderId="0"/>
    <xf numFmtId="0" fontId="16" fillId="0" borderId="0"/>
    <xf numFmtId="0" fontId="16" fillId="0" borderId="0"/>
    <xf numFmtId="0" fontId="16" fillId="0" borderId="0"/>
    <xf numFmtId="0" fontId="7" fillId="0" borderId="0"/>
    <xf numFmtId="0" fontId="30" fillId="0" borderId="0"/>
    <xf numFmtId="0" fontId="7" fillId="0" borderId="0"/>
    <xf numFmtId="0" fontId="30" fillId="0" borderId="0"/>
    <xf numFmtId="0" fontId="8" fillId="0" borderId="0"/>
    <xf numFmtId="0" fontId="30" fillId="0" borderId="0"/>
    <xf numFmtId="0" fontId="8" fillId="0" borderId="0"/>
    <xf numFmtId="0" fontId="8" fillId="0" borderId="0"/>
    <xf numFmtId="0" fontId="16" fillId="0" borderId="0"/>
    <xf numFmtId="0" fontId="8" fillId="0" borderId="0"/>
    <xf numFmtId="0" fontId="8" fillId="0" borderId="0"/>
    <xf numFmtId="0" fontId="8" fillId="0" borderId="0"/>
    <xf numFmtId="0" fontId="8" fillId="0" borderId="0"/>
    <xf numFmtId="0" fontId="7" fillId="0" borderId="0"/>
    <xf numFmtId="9" fontId="42" fillId="0" borderId="0" applyFont="0" applyFill="0" applyBorder="0" applyAlignment="0" applyProtection="0"/>
  </cellStyleXfs>
  <cellXfs count="1722">
    <xf numFmtId="0" fontId="0" fillId="0" borderId="0" xfId="0"/>
    <xf numFmtId="0" fontId="1" fillId="0" borderId="1" xfId="28" applyFont="1" applyFill="1" applyBorder="1" applyAlignment="1">
      <alignment wrapText="1"/>
    </xf>
    <xf numFmtId="49" fontId="46" fillId="0" borderId="0" xfId="12" applyNumberFormat="1" applyFont="1" applyFill="1" applyAlignment="1">
      <alignment vertical="top" wrapText="1"/>
    </xf>
    <xf numFmtId="3" fontId="47" fillId="0" borderId="133" xfId="12" applyNumberFormat="1" applyFont="1" applyFill="1" applyBorder="1" applyAlignment="1">
      <alignment horizontal="right" vertical="top"/>
    </xf>
    <xf numFmtId="49" fontId="48" fillId="0" borderId="0" xfId="12" applyNumberFormat="1" applyFont="1" applyFill="1" applyAlignment="1">
      <alignment horizontal="center" vertical="top" wrapText="1"/>
    </xf>
    <xf numFmtId="0" fontId="1" fillId="0" borderId="0" xfId="18" applyFont="1" applyFill="1"/>
    <xf numFmtId="0" fontId="1" fillId="0" borderId="0" xfId="18" applyFont="1" applyFill="1" applyAlignment="1">
      <alignment wrapText="1"/>
    </xf>
    <xf numFmtId="0" fontId="1" fillId="0" borderId="0" xfId="18" applyFont="1" applyFill="1" applyAlignment="1">
      <alignment horizontal="left" wrapText="1"/>
    </xf>
    <xf numFmtId="0" fontId="1" fillId="0" borderId="2" xfId="18" applyFont="1" applyFill="1" applyBorder="1" applyAlignment="1">
      <alignment horizontal="left"/>
    </xf>
    <xf numFmtId="3" fontId="1" fillId="0" borderId="2" xfId="18" applyNumberFormat="1" applyFont="1" applyFill="1" applyBorder="1" applyAlignment="1">
      <alignment horizontal="right"/>
    </xf>
    <xf numFmtId="3" fontId="1" fillId="0" borderId="0" xfId="18" applyNumberFormat="1" applyFont="1" applyFill="1"/>
    <xf numFmtId="0" fontId="1" fillId="0" borderId="0" xfId="18" quotePrefix="1" applyFont="1" applyFill="1"/>
    <xf numFmtId="9" fontId="49" fillId="0" borderId="0" xfId="0" applyNumberFormat="1" applyFont="1" applyAlignment="1">
      <alignment horizontal="right" indent="1"/>
    </xf>
    <xf numFmtId="0" fontId="12" fillId="2" borderId="2" xfId="18" applyFont="1" applyFill="1" applyBorder="1" applyAlignment="1">
      <alignment horizontal="center" wrapText="1"/>
    </xf>
    <xf numFmtId="0" fontId="12" fillId="2" borderId="3" xfId="18" applyFont="1" applyFill="1" applyBorder="1" applyAlignment="1">
      <alignment horizontal="center" wrapText="1"/>
    </xf>
    <xf numFmtId="0" fontId="11" fillId="0" borderId="0" xfId="18" applyAlignment="1">
      <alignment wrapText="1"/>
    </xf>
    <xf numFmtId="0" fontId="12" fillId="0" borderId="1" xfId="18" applyFont="1" applyFill="1" applyBorder="1" applyAlignment="1">
      <alignment wrapText="1"/>
    </xf>
    <xf numFmtId="0" fontId="12" fillId="0" borderId="1" xfId="18" applyFont="1" applyFill="1" applyBorder="1" applyAlignment="1">
      <alignment horizontal="right" wrapText="1"/>
    </xf>
    <xf numFmtId="0" fontId="11" fillId="0" borderId="0" xfId="18"/>
    <xf numFmtId="0" fontId="5" fillId="0" borderId="0" xfId="18" applyFont="1" applyFill="1" applyBorder="1" applyAlignment="1">
      <alignment horizontal="left" wrapText="1"/>
    </xf>
    <xf numFmtId="0" fontId="12" fillId="0" borderId="2" xfId="18" applyFont="1" applyFill="1" applyBorder="1" applyAlignment="1">
      <alignment horizontal="center" wrapText="1"/>
    </xf>
    <xf numFmtId="0" fontId="11" fillId="0" borderId="0" xfId="18" applyFill="1" applyAlignment="1">
      <alignment wrapText="1"/>
    </xf>
    <xf numFmtId="0" fontId="13" fillId="0" borderId="4" xfId="18" applyFont="1" applyBorder="1" applyAlignment="1">
      <alignment horizontal="center"/>
    </xf>
    <xf numFmtId="0" fontId="6" fillId="0" borderId="2" xfId="18" applyFont="1" applyFill="1" applyBorder="1" applyAlignment="1">
      <alignment horizontal="center" wrapText="1"/>
    </xf>
    <xf numFmtId="0" fontId="13" fillId="0" borderId="0" xfId="18" applyFont="1" applyBorder="1" applyAlignment="1">
      <alignment horizontal="center"/>
    </xf>
    <xf numFmtId="3" fontId="12" fillId="0" borderId="1" xfId="18" applyNumberFormat="1" applyFont="1" applyFill="1" applyBorder="1" applyAlignment="1">
      <alignment horizontal="right" wrapText="1"/>
    </xf>
    <xf numFmtId="3" fontId="12" fillId="0" borderId="1" xfId="18" applyNumberFormat="1" applyFont="1" applyFill="1" applyBorder="1" applyAlignment="1">
      <alignment horizontal="right" wrapText="1" indent="1"/>
    </xf>
    <xf numFmtId="9" fontId="49" fillId="0" borderId="0" xfId="0" applyNumberFormat="1" applyFont="1" applyAlignment="1">
      <alignment horizontal="right"/>
    </xf>
    <xf numFmtId="0" fontId="11" fillId="0" borderId="0" xfId="18" applyAlignment="1">
      <alignment horizontal="right"/>
    </xf>
    <xf numFmtId="0" fontId="50" fillId="0" borderId="1" xfId="18" applyFont="1" applyFill="1" applyBorder="1" applyAlignment="1">
      <alignment wrapText="1"/>
    </xf>
    <xf numFmtId="0" fontId="13" fillId="0" borderId="4" xfId="18" applyFont="1" applyBorder="1" applyAlignment="1">
      <alignment horizontal="center" wrapText="1"/>
    </xf>
    <xf numFmtId="0" fontId="12" fillId="0" borderId="2" xfId="18" applyFont="1" applyFill="1" applyBorder="1" applyAlignment="1">
      <alignment horizontal="right" wrapText="1"/>
    </xf>
    <xf numFmtId="0" fontId="50" fillId="0" borderId="1" xfId="18" applyFont="1" applyFill="1" applyBorder="1" applyAlignment="1">
      <alignment horizontal="right" wrapText="1"/>
    </xf>
    <xf numFmtId="0" fontId="13" fillId="0" borderId="5" xfId="18" applyFont="1" applyBorder="1" applyAlignment="1">
      <alignment horizontal="center"/>
    </xf>
    <xf numFmtId="0" fontId="6" fillId="0" borderId="6" xfId="18" applyFont="1" applyFill="1" applyBorder="1" applyAlignment="1">
      <alignment horizontal="center" wrapText="1"/>
    </xf>
    <xf numFmtId="0" fontId="6" fillId="0" borderId="7" xfId="18" applyFont="1" applyFill="1" applyBorder="1" applyAlignment="1">
      <alignment horizontal="center" wrapText="1"/>
    </xf>
    <xf numFmtId="3" fontId="12" fillId="0" borderId="8" xfId="18" applyNumberFormat="1" applyFont="1" applyFill="1" applyBorder="1" applyAlignment="1">
      <alignment horizontal="right" wrapText="1" indent="1"/>
    </xf>
    <xf numFmtId="0" fontId="13" fillId="0" borderId="0" xfId="18" applyFont="1" applyBorder="1" applyAlignment="1"/>
    <xf numFmtId="0" fontId="6" fillId="0" borderId="0" xfId="18" applyFont="1" applyFill="1" applyBorder="1" applyAlignment="1">
      <alignment horizontal="center" wrapText="1"/>
    </xf>
    <xf numFmtId="9" fontId="49" fillId="0" borderId="0" xfId="0" applyNumberFormat="1" applyFont="1" applyBorder="1" applyAlignment="1">
      <alignment horizontal="right"/>
    </xf>
    <xf numFmtId="0" fontId="11" fillId="0" borderId="0" xfId="18" applyBorder="1"/>
    <xf numFmtId="0" fontId="6" fillId="0" borderId="9" xfId="18" applyFont="1" applyFill="1" applyBorder="1" applyAlignment="1">
      <alignment horizontal="center" wrapText="1"/>
    </xf>
    <xf numFmtId="3" fontId="12" fillId="0" borderId="10" xfId="18" applyNumberFormat="1" applyFont="1" applyFill="1" applyBorder="1" applyAlignment="1">
      <alignment horizontal="right" wrapText="1"/>
    </xf>
    <xf numFmtId="0" fontId="13" fillId="0" borderId="0" xfId="18" applyFont="1" applyBorder="1" applyAlignment="1">
      <alignment horizontal="center" wrapText="1"/>
    </xf>
    <xf numFmtId="3" fontId="12" fillId="0" borderId="11" xfId="18" applyNumberFormat="1" applyFont="1" applyFill="1" applyBorder="1" applyAlignment="1">
      <alignment horizontal="right" wrapText="1" indent="1"/>
    </xf>
    <xf numFmtId="3" fontId="12" fillId="0" borderId="10" xfId="18" applyNumberFormat="1" applyFont="1" applyFill="1" applyBorder="1" applyAlignment="1">
      <alignment horizontal="right" wrapText="1" indent="1"/>
    </xf>
    <xf numFmtId="0" fontId="13" fillId="0" borderId="0" xfId="18" applyFont="1" applyBorder="1" applyAlignment="1">
      <alignment wrapText="1"/>
    </xf>
    <xf numFmtId="0" fontId="43" fillId="0" borderId="0" xfId="15"/>
    <xf numFmtId="0" fontId="1" fillId="0" borderId="1" xfId="18" applyFont="1" applyFill="1" applyBorder="1" applyAlignment="1">
      <alignment wrapText="1"/>
    </xf>
    <xf numFmtId="0" fontId="1" fillId="0" borderId="1" xfId="18" quotePrefix="1" applyFont="1" applyFill="1" applyBorder="1" applyAlignment="1">
      <alignment wrapText="1"/>
    </xf>
    <xf numFmtId="0" fontId="4" fillId="0" borderId="0" xfId="12" applyFont="1" applyAlignment="1">
      <alignment vertical="top"/>
    </xf>
    <xf numFmtId="49" fontId="51" fillId="0" borderId="134" xfId="12" applyNumberFormat="1" applyFont="1" applyBorder="1" applyAlignment="1">
      <alignment horizontal="center" vertical="top" wrapText="1"/>
    </xf>
    <xf numFmtId="49" fontId="51" fillId="3" borderId="135" xfId="12" applyNumberFormat="1" applyFont="1" applyFill="1" applyBorder="1" applyAlignment="1">
      <alignment horizontal="right" vertical="top" wrapText="1" indent="1"/>
    </xf>
    <xf numFmtId="49" fontId="47" fillId="4" borderId="135" xfId="12" applyNumberFormat="1" applyFont="1" applyFill="1" applyBorder="1" applyAlignment="1">
      <alignment vertical="top" wrapText="1"/>
    </xf>
    <xf numFmtId="3" fontId="47" fillId="0" borderId="133" xfId="12" applyNumberFormat="1" applyFont="1" applyFill="1" applyBorder="1" applyAlignment="1">
      <alignment horizontal="right" vertical="top" indent="1"/>
    </xf>
    <xf numFmtId="3" fontId="4" fillId="0" borderId="0" xfId="12" applyNumberFormat="1" applyFont="1" applyAlignment="1">
      <alignment horizontal="right" vertical="top" indent="1"/>
    </xf>
    <xf numFmtId="49" fontId="47" fillId="4" borderId="136" xfId="12" applyNumberFormat="1" applyFont="1" applyFill="1" applyBorder="1" applyAlignment="1">
      <alignment vertical="top" wrapText="1"/>
    </xf>
    <xf numFmtId="3" fontId="4" fillId="0" borderId="0" xfId="12" applyNumberFormat="1" applyFont="1" applyAlignment="1">
      <alignment vertical="top"/>
    </xf>
    <xf numFmtId="49" fontId="51" fillId="3" borderId="136" xfId="12" applyNumberFormat="1" applyFont="1" applyFill="1" applyBorder="1" applyAlignment="1">
      <alignment vertical="top" wrapText="1"/>
    </xf>
    <xf numFmtId="168" fontId="51" fillId="0" borderId="133" xfId="12" applyNumberFormat="1" applyFont="1" applyFill="1" applyBorder="1" applyAlignment="1">
      <alignment horizontal="right" vertical="top"/>
    </xf>
    <xf numFmtId="170" fontId="48" fillId="0" borderId="0" xfId="12" applyNumberFormat="1" applyFont="1" applyAlignment="1">
      <alignment horizontal="left" vertical="top" wrapText="1"/>
    </xf>
    <xf numFmtId="169" fontId="48" fillId="0" borderId="0" xfId="12" applyNumberFormat="1" applyFont="1" applyAlignment="1">
      <alignment horizontal="right" vertical="top" wrapText="1"/>
    </xf>
    <xf numFmtId="170" fontId="48" fillId="0" borderId="0" xfId="12" applyNumberFormat="1" applyFont="1" applyAlignment="1">
      <alignment vertical="top" wrapText="1"/>
    </xf>
    <xf numFmtId="0" fontId="52" fillId="0" borderId="0" xfId="0" applyFont="1" applyAlignment="1">
      <alignment horizontal="left"/>
    </xf>
    <xf numFmtId="0" fontId="52" fillId="0" borderId="0" xfId="0" applyFont="1"/>
    <xf numFmtId="0" fontId="53" fillId="0" borderId="0" xfId="0" applyFont="1"/>
    <xf numFmtId="0" fontId="54" fillId="0" borderId="0" xfId="0" applyFont="1"/>
    <xf numFmtId="0" fontId="55" fillId="0" borderId="0" xfId="0" applyFont="1" applyBorder="1" applyAlignment="1"/>
    <xf numFmtId="0" fontId="54" fillId="0" borderId="0" xfId="0" quotePrefix="1" applyFont="1"/>
    <xf numFmtId="0" fontId="55" fillId="0" borderId="0" xfId="0" applyFont="1" applyAlignment="1">
      <alignment horizontal="right"/>
    </xf>
    <xf numFmtId="0" fontId="55" fillId="0" borderId="0" xfId="0" applyFont="1"/>
    <xf numFmtId="0" fontId="56" fillId="0" borderId="0" xfId="0" applyFont="1" applyAlignment="1">
      <alignment vertical="top" wrapText="1"/>
    </xf>
    <xf numFmtId="0" fontId="54" fillId="0" borderId="0" xfId="0" quotePrefix="1" applyFont="1" applyAlignment="1"/>
    <xf numFmtId="0" fontId="54" fillId="0" borderId="0" xfId="0" quotePrefix="1" applyFont="1" applyAlignment="1">
      <alignment horizontal="center"/>
    </xf>
    <xf numFmtId="0" fontId="56" fillId="0" borderId="0" xfId="0" applyFont="1" applyAlignment="1">
      <alignment horizontal="left" vertical="top" wrapText="1"/>
    </xf>
    <xf numFmtId="0" fontId="55" fillId="0" borderId="0" xfId="0" applyFont="1" applyBorder="1"/>
    <xf numFmtId="0" fontId="55" fillId="0" borderId="0" xfId="0" applyFont="1" applyBorder="1" applyAlignment="1">
      <alignment horizontal="right"/>
    </xf>
    <xf numFmtId="0" fontId="55" fillId="0" borderId="0" xfId="0" applyFont="1" applyBorder="1" applyAlignment="1">
      <alignment horizontal="right" wrapText="1"/>
    </xf>
    <xf numFmtId="0" fontId="54" fillId="0" borderId="0" xfId="0" applyFont="1" applyBorder="1"/>
    <xf numFmtId="3" fontId="54" fillId="0" borderId="0" xfId="0" applyNumberFormat="1" applyFont="1"/>
    <xf numFmtId="9" fontId="54" fillId="0" borderId="0" xfId="0" applyNumberFormat="1" applyFont="1"/>
    <xf numFmtId="167" fontId="54" fillId="0" borderId="0" xfId="0" applyNumberFormat="1" applyFont="1"/>
    <xf numFmtId="0" fontId="54" fillId="0" borderId="0" xfId="0" applyFont="1" applyAlignment="1">
      <alignment horizontal="left" indent="2"/>
    </xf>
    <xf numFmtId="0" fontId="54" fillId="0" borderId="0" xfId="0" applyFont="1" applyBorder="1" applyAlignment="1">
      <alignment horizontal="right"/>
    </xf>
    <xf numFmtId="0" fontId="54" fillId="0" borderId="0" xfId="0" applyFont="1" applyAlignment="1">
      <alignment wrapText="1"/>
    </xf>
    <xf numFmtId="9" fontId="54" fillId="0" borderId="0" xfId="0" applyNumberFormat="1" applyFont="1" applyBorder="1"/>
    <xf numFmtId="3" fontId="54" fillId="0" borderId="0" xfId="0" applyNumberFormat="1" applyFont="1" applyAlignment="1">
      <alignment horizontal="right"/>
    </xf>
    <xf numFmtId="9" fontId="54" fillId="0" borderId="0" xfId="40" applyFont="1"/>
    <xf numFmtId="164" fontId="54" fillId="0" borderId="0" xfId="0" applyNumberFormat="1" applyFont="1" applyAlignment="1">
      <alignment horizontal="center"/>
    </xf>
    <xf numFmtId="3" fontId="54" fillId="0" borderId="0" xfId="0" applyNumberFormat="1" applyFont="1" applyAlignment="1">
      <alignment horizontal="right" indent="1"/>
    </xf>
    <xf numFmtId="0" fontId="57" fillId="0" borderId="0" xfId="0" applyFont="1"/>
    <xf numFmtId="0" fontId="57" fillId="0" borderId="0" xfId="0" applyFont="1" applyAlignment="1">
      <alignment horizontal="left"/>
    </xf>
    <xf numFmtId="0" fontId="54" fillId="0" borderId="0" xfId="0" applyFont="1" applyBorder="1" applyAlignment="1"/>
    <xf numFmtId="0" fontId="58" fillId="0" borderId="0" xfId="0" applyFont="1"/>
    <xf numFmtId="0" fontId="59" fillId="0" borderId="12" xfId="0" applyFont="1" applyBorder="1" applyAlignment="1">
      <alignment wrapText="1"/>
    </xf>
    <xf numFmtId="0" fontId="60" fillId="0" borderId="0" xfId="0" applyFont="1" applyAlignment="1">
      <alignment horizontal="center"/>
    </xf>
    <xf numFmtId="0" fontId="60" fillId="0" borderId="0" xfId="0" applyFont="1"/>
    <xf numFmtId="0" fontId="60" fillId="0" borderId="0" xfId="0" applyFont="1" applyAlignment="1">
      <alignment wrapText="1"/>
    </xf>
    <xf numFmtId="0" fontId="59" fillId="0" borderId="0" xfId="0" applyFont="1" applyBorder="1" applyAlignment="1">
      <alignment horizontal="center" wrapText="1"/>
    </xf>
    <xf numFmtId="49" fontId="59" fillId="0" borderId="12" xfId="0" applyNumberFormat="1" applyFont="1" applyBorder="1" applyAlignment="1">
      <alignment horizontal="center"/>
    </xf>
    <xf numFmtId="0" fontId="59" fillId="0" borderId="12" xfId="0" applyFont="1" applyBorder="1" applyAlignment="1">
      <alignment horizontal="left" wrapText="1"/>
    </xf>
    <xf numFmtId="49" fontId="60" fillId="0" borderId="0" xfId="0" applyNumberFormat="1" applyFont="1" applyBorder="1" applyAlignment="1">
      <alignment horizontal="center"/>
    </xf>
    <xf numFmtId="0" fontId="20" fillId="0" borderId="0" xfId="9" applyFont="1" applyBorder="1"/>
    <xf numFmtId="0" fontId="60" fillId="0" borderId="0" xfId="0" applyFont="1" applyBorder="1"/>
    <xf numFmtId="3" fontId="60" fillId="0" borderId="0" xfId="0" applyNumberFormat="1" applyFont="1" applyAlignment="1">
      <alignment horizontal="right" vertical="top" wrapText="1"/>
    </xf>
    <xf numFmtId="3" fontId="60" fillId="0" borderId="0" xfId="0" applyNumberFormat="1" applyFont="1" applyAlignment="1">
      <alignment horizontal="right" indent="1"/>
    </xf>
    <xf numFmtId="3" fontId="60" fillId="0" borderId="0" xfId="0" applyNumberFormat="1" applyFont="1" applyBorder="1" applyAlignment="1">
      <alignment horizontal="center"/>
    </xf>
    <xf numFmtId="3" fontId="60" fillId="0" borderId="0" xfId="0" applyNumberFormat="1" applyFont="1" applyAlignment="1">
      <alignment horizontal="center"/>
    </xf>
    <xf numFmtId="38" fontId="60" fillId="0" borderId="0" xfId="0" applyNumberFormat="1" applyFont="1"/>
    <xf numFmtId="9" fontId="60" fillId="0" borderId="0" xfId="0" applyNumberFormat="1" applyFont="1"/>
    <xf numFmtId="0" fontId="60" fillId="0" borderId="0" xfId="0" applyFont="1" applyAlignment="1">
      <alignment horizontal="right" wrapText="1"/>
    </xf>
    <xf numFmtId="0" fontId="60" fillId="0" borderId="12" xfId="0" applyFont="1" applyBorder="1"/>
    <xf numFmtId="3" fontId="60" fillId="0" borderId="0" xfId="0" applyNumberFormat="1" applyFont="1" applyBorder="1" applyAlignment="1">
      <alignment horizontal="right" vertical="top" wrapText="1"/>
    </xf>
    <xf numFmtId="0" fontId="60" fillId="0" borderId="0" xfId="0" applyFont="1" applyBorder="1" applyAlignment="1">
      <alignment horizontal="right" wrapText="1"/>
    </xf>
    <xf numFmtId="3" fontId="60" fillId="0" borderId="0" xfId="0" applyNumberFormat="1" applyFont="1" applyBorder="1" applyAlignment="1">
      <alignment horizontal="right" indent="1"/>
    </xf>
    <xf numFmtId="49" fontId="60" fillId="0" borderId="0" xfId="0" applyNumberFormat="1" applyFont="1" applyAlignment="1">
      <alignment horizontal="center"/>
    </xf>
    <xf numFmtId="0" fontId="60" fillId="0" borderId="0" xfId="0" applyFont="1" applyAlignment="1">
      <alignment horizontal="left" vertical="top" wrapText="1"/>
    </xf>
    <xf numFmtId="0" fontId="60" fillId="0" borderId="0" xfId="0" applyFont="1" applyAlignment="1">
      <alignment horizontal="center" wrapText="1"/>
    </xf>
    <xf numFmtId="9" fontId="60" fillId="0" borderId="0" xfId="0" applyNumberFormat="1" applyFont="1" applyAlignment="1">
      <alignment horizontal="center"/>
    </xf>
    <xf numFmtId="0" fontId="59" fillId="0" borderId="0" xfId="0" applyFont="1" applyAlignment="1">
      <alignment vertical="top" wrapText="1"/>
    </xf>
    <xf numFmtId="0" fontId="59" fillId="0" borderId="0" xfId="0" applyFont="1" applyAlignment="1">
      <alignment horizontal="center" vertical="top" wrapText="1"/>
    </xf>
    <xf numFmtId="0" fontId="20" fillId="0" borderId="0" xfId="0" applyFont="1" applyBorder="1" applyAlignment="1">
      <alignment vertical="top" wrapText="1"/>
    </xf>
    <xf numFmtId="0" fontId="20" fillId="0" borderId="0" xfId="0" applyFont="1" applyBorder="1" applyAlignment="1">
      <alignment horizontal="center" vertical="top" wrapText="1"/>
    </xf>
    <xf numFmtId="0" fontId="21" fillId="0" borderId="0" xfId="4" applyFont="1" applyFill="1" applyBorder="1" applyAlignment="1" applyProtection="1">
      <alignment wrapText="1"/>
    </xf>
    <xf numFmtId="0" fontId="20" fillId="0" borderId="0" xfId="0" applyFont="1" applyBorder="1" applyAlignment="1">
      <alignment horizontal="left"/>
    </xf>
    <xf numFmtId="0" fontId="57" fillId="0" borderId="0" xfId="0" applyFont="1" applyFill="1" applyBorder="1" applyAlignment="1">
      <alignment wrapText="1"/>
    </xf>
    <xf numFmtId="0" fontId="57" fillId="0" borderId="0" xfId="0" applyFont="1" applyAlignment="1">
      <alignment vertical="top" wrapText="1"/>
    </xf>
    <xf numFmtId="9" fontId="54" fillId="0" borderId="0" xfId="0" applyNumberFormat="1" applyFont="1" applyBorder="1" applyAlignment="1"/>
    <xf numFmtId="9" fontId="54" fillId="0" borderId="0" xfId="0" applyNumberFormat="1" applyFont="1" applyBorder="1" applyAlignment="1">
      <alignment horizontal="right"/>
    </xf>
    <xf numFmtId="0" fontId="54" fillId="0" borderId="0" xfId="0" applyFont="1" applyBorder="1" applyAlignment="1">
      <alignment horizontal="center"/>
    </xf>
    <xf numFmtId="0" fontId="55" fillId="0" borderId="0" xfId="0" applyFont="1" applyAlignment="1">
      <alignment horizontal="center" wrapText="1"/>
    </xf>
    <xf numFmtId="0" fontId="54" fillId="0" borderId="0" xfId="0" applyFont="1" applyFill="1" applyBorder="1" applyAlignment="1">
      <alignment horizontal="left" vertical="top" wrapText="1"/>
    </xf>
    <xf numFmtId="0" fontId="54" fillId="0" borderId="0" xfId="0" applyFont="1" applyAlignment="1">
      <alignment horizontal="left" vertical="top" wrapText="1"/>
    </xf>
    <xf numFmtId="0" fontId="54" fillId="0" borderId="0" xfId="0" applyFont="1" applyAlignment="1">
      <alignment horizontal="left"/>
    </xf>
    <xf numFmtId="0" fontId="61" fillId="0" borderId="0" xfId="0" applyFont="1"/>
    <xf numFmtId="0" fontId="61" fillId="0" borderId="0" xfId="0" applyFont="1" applyAlignment="1">
      <alignment horizontal="center"/>
    </xf>
    <xf numFmtId="0" fontId="60" fillId="0" borderId="0" xfId="0" applyFont="1" applyAlignment="1">
      <alignment horizontal="left" wrapText="1"/>
    </xf>
    <xf numFmtId="49" fontId="20" fillId="0" borderId="0" xfId="0" applyNumberFormat="1" applyFont="1" applyFill="1"/>
    <xf numFmtId="174" fontId="20" fillId="0" borderId="0" xfId="0" applyNumberFormat="1" applyFont="1" applyFill="1" applyBorder="1" applyAlignment="1" applyProtection="1">
      <alignment horizontal="center" vertical="center"/>
    </xf>
    <xf numFmtId="174" fontId="20" fillId="0" borderId="13" xfId="0" applyNumberFormat="1" applyFont="1" applyFill="1" applyBorder="1" applyAlignment="1" applyProtection="1">
      <alignment horizontal="centerContinuous" vertical="center"/>
    </xf>
    <xf numFmtId="174" fontId="20" fillId="0" borderId="14" xfId="0" applyNumberFormat="1" applyFont="1" applyFill="1" applyBorder="1" applyAlignment="1" applyProtection="1">
      <alignment horizontal="centerContinuous" vertical="center"/>
    </xf>
    <xf numFmtId="174" fontId="20" fillId="0" borderId="15" xfId="0" applyNumberFormat="1" applyFont="1" applyFill="1" applyBorder="1" applyAlignment="1" applyProtection="1">
      <alignment horizontal="centerContinuous" vertical="center"/>
    </xf>
    <xf numFmtId="174" fontId="20" fillId="0" borderId="0" xfId="0" applyNumberFormat="1" applyFont="1" applyFill="1"/>
    <xf numFmtId="174" fontId="20" fillId="0" borderId="16" xfId="0" applyNumberFormat="1" applyFont="1" applyFill="1" applyBorder="1" applyAlignment="1" applyProtection="1">
      <alignment horizontal="center" vertical="center"/>
    </xf>
    <xf numFmtId="174" fontId="20" fillId="0" borderId="17" xfId="0" applyNumberFormat="1" applyFont="1" applyFill="1" applyBorder="1" applyAlignment="1" applyProtection="1">
      <alignment horizontal="center" vertical="center"/>
    </xf>
    <xf numFmtId="174" fontId="20" fillId="0" borderId="18" xfId="0" applyNumberFormat="1" applyFont="1" applyFill="1" applyBorder="1" applyAlignment="1">
      <alignment horizontal="center" vertical="center"/>
    </xf>
    <xf numFmtId="49" fontId="22" fillId="5" borderId="19" xfId="0" applyNumberFormat="1" applyFont="1" applyFill="1" applyBorder="1" applyAlignment="1">
      <alignment horizontal="center"/>
    </xf>
    <xf numFmtId="174" fontId="22" fillId="5" borderId="20" xfId="0" applyNumberFormat="1" applyFont="1" applyFill="1" applyBorder="1" applyAlignment="1" applyProtection="1">
      <alignment horizontal="left" vertical="center"/>
    </xf>
    <xf numFmtId="174" fontId="22" fillId="5" borderId="21" xfId="0" applyNumberFormat="1" applyFont="1" applyFill="1" applyBorder="1" applyAlignment="1" applyProtection="1">
      <alignment horizontal="left" vertical="center"/>
    </xf>
    <xf numFmtId="0" fontId="20" fillId="0" borderId="22" xfId="0" applyNumberFormat="1" applyFont="1" applyBorder="1" applyAlignment="1">
      <alignment horizontal="center"/>
    </xf>
    <xf numFmtId="0" fontId="20" fillId="0" borderId="23" xfId="0" applyNumberFormat="1" applyFont="1" applyBorder="1"/>
    <xf numFmtId="176" fontId="20" fillId="0" borderId="0" xfId="0" applyNumberFormat="1" applyFont="1" applyFill="1" applyBorder="1" applyAlignment="1" applyProtection="1">
      <alignment vertical="center"/>
    </xf>
    <xf numFmtId="176" fontId="20" fillId="0" borderId="0" xfId="0" applyNumberFormat="1" applyFont="1" applyFill="1" applyBorder="1" applyAlignment="1" applyProtection="1">
      <alignment vertical="center"/>
      <protection locked="0"/>
    </xf>
    <xf numFmtId="176" fontId="20" fillId="0" borderId="24" xfId="0" applyNumberFormat="1" applyFont="1" applyFill="1" applyBorder="1" applyAlignment="1" applyProtection="1">
      <alignment vertical="center"/>
      <protection locked="0"/>
    </xf>
    <xf numFmtId="176" fontId="20" fillId="0" borderId="24" xfId="0" applyNumberFormat="1" applyFont="1" applyFill="1" applyBorder="1" applyAlignment="1" applyProtection="1">
      <alignment vertical="center"/>
    </xf>
    <xf numFmtId="0" fontId="20" fillId="0" borderId="25" xfId="0" applyNumberFormat="1" applyFont="1" applyBorder="1" applyAlignment="1">
      <alignment horizontal="center"/>
    </xf>
    <xf numFmtId="0" fontId="20" fillId="0" borderId="26" xfId="0" applyNumberFormat="1" applyFont="1" applyBorder="1"/>
    <xf numFmtId="176" fontId="20" fillId="0" borderId="27" xfId="0" applyNumberFormat="1" applyFont="1" applyFill="1" applyBorder="1" applyAlignment="1" applyProtection="1">
      <alignment vertical="center"/>
      <protection locked="0"/>
    </xf>
    <xf numFmtId="176" fontId="20" fillId="0" borderId="27" xfId="0" applyNumberFormat="1" applyFont="1" applyFill="1" applyBorder="1" applyAlignment="1" applyProtection="1">
      <alignment vertical="center"/>
    </xf>
    <xf numFmtId="0" fontId="61" fillId="0" borderId="0" xfId="0" applyFont="1" applyAlignment="1">
      <alignment wrapText="1"/>
    </xf>
    <xf numFmtId="0" fontId="61" fillId="0" borderId="0" xfId="0" applyFont="1" applyAlignment="1">
      <alignment horizontal="left" wrapText="1"/>
    </xf>
    <xf numFmtId="0" fontId="62" fillId="0" borderId="0" xfId="0" applyFont="1"/>
    <xf numFmtId="0" fontId="62" fillId="0" borderId="0" xfId="0" applyFont="1" applyAlignment="1">
      <alignment horizontal="right"/>
    </xf>
    <xf numFmtId="0" fontId="63" fillId="0" borderId="0" xfId="0" applyFont="1"/>
    <xf numFmtId="0" fontId="54" fillId="0" borderId="0" xfId="0" applyFont="1" applyFill="1" applyBorder="1" applyAlignment="1">
      <alignment horizontal="left"/>
    </xf>
    <xf numFmtId="0" fontId="54" fillId="0" borderId="0" xfId="0" applyFont="1" applyFill="1" applyBorder="1"/>
    <xf numFmtId="0" fontId="54" fillId="6" borderId="0" xfId="0" applyFont="1" applyFill="1" applyBorder="1"/>
    <xf numFmtId="0" fontId="54" fillId="6" borderId="23" xfId="0" applyFont="1" applyFill="1" applyBorder="1"/>
    <xf numFmtId="0" fontId="63" fillId="6" borderId="0" xfId="0" applyFont="1" applyFill="1" applyBorder="1" applyAlignment="1"/>
    <xf numFmtId="0" fontId="57" fillId="0" borderId="0" xfId="0" applyFont="1" applyAlignment="1">
      <alignment horizontal="left" wrapText="1"/>
    </xf>
    <xf numFmtId="0" fontId="53" fillId="0" borderId="0" xfId="0" applyFont="1" applyAlignment="1">
      <alignment horizontal="center"/>
    </xf>
    <xf numFmtId="49" fontId="60" fillId="0" borderId="12" xfId="0" applyNumberFormat="1" applyFont="1" applyBorder="1" applyAlignment="1">
      <alignment horizontal="center"/>
    </xf>
    <xf numFmtId="0" fontId="20" fillId="0" borderId="12" xfId="9" applyFont="1" applyBorder="1"/>
    <xf numFmtId="0" fontId="64" fillId="0" borderId="0" xfId="4" applyFont="1" applyAlignment="1" applyProtection="1"/>
    <xf numFmtId="0" fontId="57" fillId="0" borderId="0" xfId="0" applyFont="1" applyAlignment="1">
      <alignment wrapText="1"/>
    </xf>
    <xf numFmtId="0" fontId="57" fillId="0" borderId="0" xfId="0" applyFont="1" applyAlignment="1"/>
    <xf numFmtId="0" fontId="55" fillId="0" borderId="0" xfId="0" applyFont="1" applyFill="1" applyBorder="1" applyAlignment="1"/>
    <xf numFmtId="0" fontId="65" fillId="0" borderId="0" xfId="0" applyFont="1" applyBorder="1" applyAlignment="1"/>
    <xf numFmtId="0" fontId="54" fillId="0" borderId="0" xfId="0" applyFont="1" applyAlignment="1"/>
    <xf numFmtId="0" fontId="54" fillId="0" borderId="0" xfId="0" applyFont="1" applyAlignment="1">
      <alignment vertical="center"/>
    </xf>
    <xf numFmtId="0" fontId="57" fillId="0" borderId="0" xfId="0" applyFont="1" applyAlignment="1">
      <alignment horizontal="left" vertical="top" wrapText="1"/>
    </xf>
    <xf numFmtId="0" fontId="54" fillId="0" borderId="0" xfId="0" applyFont="1" applyFill="1" applyBorder="1" applyAlignment="1">
      <alignment horizontal="right"/>
    </xf>
    <xf numFmtId="0" fontId="57" fillId="0" borderId="0" xfId="0" applyFont="1" applyAlignment="1">
      <alignment vertical="center" wrapText="1"/>
    </xf>
    <xf numFmtId="0" fontId="53" fillId="0" borderId="13" xfId="0" applyFont="1" applyBorder="1" applyAlignment="1">
      <alignment horizontal="center"/>
    </xf>
    <xf numFmtId="0" fontId="53" fillId="0" borderId="15" xfId="0" applyFont="1" applyBorder="1" applyAlignment="1">
      <alignment horizontal="center"/>
    </xf>
    <xf numFmtId="0" fontId="53" fillId="0" borderId="28" xfId="0" applyFont="1" applyBorder="1" applyAlignment="1">
      <alignment horizontal="center"/>
    </xf>
    <xf numFmtId="0" fontId="59" fillId="0" borderId="0" xfId="0" applyFont="1" applyBorder="1" applyAlignment="1">
      <alignment horizontal="center" wrapText="1"/>
    </xf>
    <xf numFmtId="0" fontId="60" fillId="0" borderId="0" xfId="0" applyFont="1" applyAlignment="1">
      <alignment horizontal="left" vertical="top" wrapText="1"/>
    </xf>
    <xf numFmtId="0" fontId="66" fillId="0" borderId="12" xfId="0" applyFont="1" applyBorder="1" applyAlignment="1">
      <alignment horizontal="left" wrapText="1"/>
    </xf>
    <xf numFmtId="0" fontId="67" fillId="0" borderId="0" xfId="9" applyFont="1" applyBorder="1" applyAlignment="1">
      <alignment horizontal="left"/>
    </xf>
    <xf numFmtId="0" fontId="67" fillId="0" borderId="0" xfId="14" applyFont="1"/>
    <xf numFmtId="0" fontId="68" fillId="0" borderId="0" xfId="14" applyFont="1"/>
    <xf numFmtId="0" fontId="69" fillId="0" borderId="4" xfId="14" applyFont="1" applyFill="1" applyBorder="1" applyAlignment="1">
      <alignment horizontal="center" wrapText="1"/>
    </xf>
    <xf numFmtId="164" fontId="69" fillId="0" borderId="0" xfId="14" applyNumberFormat="1" applyFont="1" applyFill="1" applyBorder="1" applyAlignment="1">
      <alignment horizontal="center" wrapText="1"/>
    </xf>
    <xf numFmtId="0" fontId="68" fillId="0" borderId="29" xfId="9" applyFont="1" applyBorder="1"/>
    <xf numFmtId="0" fontId="68" fillId="0" borderId="30" xfId="9" applyFont="1" applyBorder="1"/>
    <xf numFmtId="0" fontId="70" fillId="0" borderId="0" xfId="14" applyFont="1" applyFill="1" applyBorder="1" applyAlignment="1">
      <alignment wrapText="1"/>
    </xf>
    <xf numFmtId="0" fontId="68" fillId="0" borderId="31" xfId="9" applyFont="1" applyBorder="1"/>
    <xf numFmtId="0" fontId="68" fillId="0" borderId="0" xfId="14" applyFont="1" applyAlignment="1">
      <alignment horizontal="right" vertical="top"/>
    </xf>
    <xf numFmtId="0" fontId="69" fillId="0" borderId="0" xfId="16" applyFont="1"/>
    <xf numFmtId="0" fontId="59" fillId="0" borderId="0" xfId="0" applyFont="1" applyBorder="1" applyAlignment="1">
      <alignment wrapText="1"/>
    </xf>
    <xf numFmtId="0" fontId="66" fillId="0" borderId="0" xfId="0" applyFont="1" applyBorder="1" applyAlignment="1">
      <alignment horizontal="left" wrapText="1"/>
    </xf>
    <xf numFmtId="49" fontId="59" fillId="7" borderId="0" xfId="0" quotePrefix="1" applyNumberFormat="1" applyFont="1" applyFill="1" applyBorder="1" applyAlignment="1">
      <alignment horizontal="center"/>
    </xf>
    <xf numFmtId="0" fontId="59" fillId="7" borderId="14" xfId="0" applyFont="1" applyFill="1" applyBorder="1" applyAlignment="1">
      <alignment horizontal="left" vertical="top" wrapText="1"/>
    </xf>
    <xf numFmtId="3" fontId="59" fillId="7" borderId="0" xfId="0" applyNumberFormat="1" applyFont="1" applyFill="1" applyBorder="1" applyAlignment="1">
      <alignment horizontal="right" vertical="top" wrapText="1"/>
    </xf>
    <xf numFmtId="3" fontId="59" fillId="7" borderId="12" xfId="0" applyNumberFormat="1" applyFont="1" applyFill="1" applyBorder="1" applyAlignment="1">
      <alignment horizontal="right" indent="1"/>
    </xf>
    <xf numFmtId="3" fontId="59" fillId="7" borderId="12" xfId="0" applyNumberFormat="1" applyFont="1" applyFill="1" applyBorder="1" applyAlignment="1">
      <alignment horizontal="center"/>
    </xf>
    <xf numFmtId="0" fontId="59" fillId="0" borderId="28" xfId="0" applyFont="1" applyBorder="1" applyAlignment="1">
      <alignment horizontal="center" wrapText="1"/>
    </xf>
    <xf numFmtId="165" fontId="59" fillId="7" borderId="31" xfId="40" applyNumberFormat="1" applyFont="1" applyFill="1" applyBorder="1" applyAlignment="1">
      <alignment horizontal="center"/>
    </xf>
    <xf numFmtId="165" fontId="60" fillId="0" borderId="30" xfId="40" applyNumberFormat="1" applyFont="1" applyBorder="1" applyAlignment="1">
      <alignment horizontal="center"/>
    </xf>
    <xf numFmtId="165" fontId="60" fillId="0" borderId="30" xfId="0" applyNumberFormat="1" applyFont="1" applyBorder="1" applyAlignment="1">
      <alignment horizontal="center"/>
    </xf>
    <xf numFmtId="165" fontId="60" fillId="0" borderId="30" xfId="40" applyNumberFormat="1" applyFont="1" applyBorder="1" applyAlignment="1">
      <alignment horizontal="center" wrapText="1"/>
    </xf>
    <xf numFmtId="165" fontId="60" fillId="0" borderId="31" xfId="40" applyNumberFormat="1" applyFont="1" applyBorder="1" applyAlignment="1">
      <alignment horizontal="center" wrapText="1"/>
    </xf>
    <xf numFmtId="165" fontId="60" fillId="0" borderId="31" xfId="0" applyNumberFormat="1" applyFont="1" applyBorder="1" applyAlignment="1">
      <alignment horizontal="center"/>
    </xf>
    <xf numFmtId="165" fontId="60" fillId="0" borderId="31" xfId="40" applyNumberFormat="1" applyFont="1" applyBorder="1" applyAlignment="1">
      <alignment horizontal="center"/>
    </xf>
    <xf numFmtId="0" fontId="59" fillId="0" borderId="31" xfId="0" applyFont="1" applyBorder="1" applyAlignment="1">
      <alignment horizontal="center" wrapText="1"/>
    </xf>
    <xf numFmtId="3" fontId="59" fillId="7" borderId="31" xfId="0" applyNumberFormat="1" applyFont="1" applyFill="1" applyBorder="1" applyAlignment="1">
      <alignment horizontal="right" indent="1"/>
    </xf>
    <xf numFmtId="3" fontId="60" fillId="0" borderId="30" xfId="0" applyNumberFormat="1" applyFont="1" applyBorder="1" applyAlignment="1">
      <alignment horizontal="right" indent="1"/>
    </xf>
    <xf numFmtId="3" fontId="60" fillId="0" borderId="31" xfId="0" applyNumberFormat="1" applyFont="1" applyBorder="1" applyAlignment="1">
      <alignment horizontal="right" indent="1"/>
    </xf>
    <xf numFmtId="172" fontId="59" fillId="7" borderId="31" xfId="1" applyNumberFormat="1" applyFont="1" applyFill="1" applyBorder="1" applyAlignment="1">
      <alignment horizontal="right" vertical="top" wrapText="1"/>
    </xf>
    <xf numFmtId="3" fontId="59" fillId="7" borderId="31" xfId="0" applyNumberFormat="1" applyFont="1" applyFill="1" applyBorder="1" applyAlignment="1">
      <alignment horizontal="right" vertical="top" wrapText="1"/>
    </xf>
    <xf numFmtId="172" fontId="60" fillId="0" borderId="30" xfId="1" applyNumberFormat="1" applyFont="1" applyBorder="1" applyAlignment="1">
      <alignment horizontal="right" vertical="top" wrapText="1"/>
    </xf>
    <xf numFmtId="3" fontId="60" fillId="0" borderId="30" xfId="0" applyNumberFormat="1" applyFont="1" applyBorder="1" applyAlignment="1">
      <alignment horizontal="right" vertical="top" wrapText="1"/>
    </xf>
    <xf numFmtId="172" fontId="60" fillId="0" borderId="31" xfId="1" applyNumberFormat="1" applyFont="1" applyBorder="1" applyAlignment="1">
      <alignment horizontal="right" vertical="top" wrapText="1"/>
    </xf>
    <xf numFmtId="3" fontId="60" fillId="0" borderId="31" xfId="0" applyNumberFormat="1" applyFont="1" applyBorder="1" applyAlignment="1">
      <alignment horizontal="right" vertical="top" wrapText="1"/>
    </xf>
    <xf numFmtId="0" fontId="70" fillId="0" borderId="32" xfId="14" applyFont="1" applyFill="1" applyBorder="1" applyAlignment="1">
      <alignment wrapText="1"/>
    </xf>
    <xf numFmtId="0" fontId="71" fillId="0" borderId="0" xfId="0" applyFont="1" applyAlignment="1">
      <alignment wrapText="1"/>
    </xf>
    <xf numFmtId="0" fontId="71" fillId="0" borderId="0" xfId="0" applyFont="1" applyAlignment="1">
      <alignment horizontal="center"/>
    </xf>
    <xf numFmtId="0" fontId="71" fillId="0" borderId="0" xfId="0" applyFont="1"/>
    <xf numFmtId="49" fontId="53" fillId="0" borderId="12" xfId="0" applyNumberFormat="1" applyFont="1" applyBorder="1" applyAlignment="1">
      <alignment horizontal="center"/>
    </xf>
    <xf numFmtId="0" fontId="53" fillId="0" borderId="12" xfId="0" applyFont="1" applyBorder="1" applyAlignment="1">
      <alignment horizontal="left" wrapText="1"/>
    </xf>
    <xf numFmtId="0" fontId="53" fillId="0" borderId="0" xfId="0" applyFont="1" applyBorder="1" applyAlignment="1">
      <alignment horizontal="left" wrapText="1"/>
    </xf>
    <xf numFmtId="49" fontId="53" fillId="7" borderId="14" xfId="0" quotePrefix="1" applyNumberFormat="1" applyFont="1" applyFill="1" applyBorder="1" applyAlignment="1">
      <alignment horizontal="center"/>
    </xf>
    <xf numFmtId="0" fontId="53" fillId="7" borderId="14" xfId="0" applyFont="1" applyFill="1" applyBorder="1" applyAlignment="1">
      <alignment horizontal="left" wrapText="1"/>
    </xf>
    <xf numFmtId="0" fontId="53" fillId="0" borderId="0" xfId="0" applyFont="1" applyFill="1" applyBorder="1" applyAlignment="1">
      <alignment horizontal="left" wrapText="1"/>
    </xf>
    <xf numFmtId="172" fontId="53" fillId="7" borderId="15" xfId="1" applyNumberFormat="1" applyFont="1" applyFill="1" applyBorder="1" applyAlignment="1"/>
    <xf numFmtId="172" fontId="53" fillId="7" borderId="28" xfId="1" applyNumberFormat="1" applyFont="1" applyFill="1" applyBorder="1" applyAlignment="1"/>
    <xf numFmtId="172" fontId="53" fillId="7" borderId="13" xfId="1" applyNumberFormat="1" applyFont="1" applyFill="1" applyBorder="1" applyAlignment="1"/>
    <xf numFmtId="164" fontId="53" fillId="7" borderId="15" xfId="40" applyNumberFormat="1" applyFont="1" applyFill="1" applyBorder="1" applyAlignment="1"/>
    <xf numFmtId="164" fontId="53" fillId="7" borderId="13" xfId="40" applyNumberFormat="1" applyFont="1" applyFill="1" applyBorder="1" applyAlignment="1"/>
    <xf numFmtId="172" fontId="53" fillId="0" borderId="0" xfId="1" applyNumberFormat="1" applyFont="1" applyFill="1" applyAlignment="1"/>
    <xf numFmtId="49" fontId="71" fillId="0" borderId="0" xfId="0" applyNumberFormat="1" applyFont="1" applyBorder="1" applyAlignment="1">
      <alignment horizontal="center"/>
    </xf>
    <xf numFmtId="0" fontId="68" fillId="0" borderId="0" xfId="9" applyFont="1" applyBorder="1"/>
    <xf numFmtId="0" fontId="71" fillId="0" borderId="0" xfId="0" applyFont="1" applyBorder="1"/>
    <xf numFmtId="172" fontId="71" fillId="0" borderId="33" xfId="1" applyNumberFormat="1" applyFont="1" applyBorder="1"/>
    <xf numFmtId="172" fontId="71" fillId="0" borderId="30" xfId="1" applyNumberFormat="1" applyFont="1" applyBorder="1"/>
    <xf numFmtId="172" fontId="71" fillId="0" borderId="34" xfId="1" applyNumberFormat="1" applyFont="1" applyBorder="1"/>
    <xf numFmtId="164" fontId="71" fillId="0" borderId="33" xfId="40" applyNumberFormat="1" applyFont="1" applyBorder="1"/>
    <xf numFmtId="164" fontId="71" fillId="0" borderId="34" xfId="40" applyNumberFormat="1" applyFont="1" applyBorder="1"/>
    <xf numFmtId="172" fontId="71" fillId="0" borderId="0" xfId="1" applyNumberFormat="1" applyFont="1"/>
    <xf numFmtId="164" fontId="71" fillId="0" borderId="0" xfId="40" applyNumberFormat="1" applyFont="1"/>
    <xf numFmtId="49" fontId="71" fillId="0" borderId="12" xfId="0" applyNumberFormat="1" applyFont="1" applyBorder="1" applyAlignment="1">
      <alignment horizontal="center"/>
    </xf>
    <xf numFmtId="0" fontId="68" fillId="0" borderId="12" xfId="9" applyFont="1" applyBorder="1"/>
    <xf numFmtId="0" fontId="71" fillId="0" borderId="12" xfId="0" applyFont="1" applyBorder="1"/>
    <xf numFmtId="172" fontId="71" fillId="0" borderId="35" xfId="1" applyNumberFormat="1" applyFont="1" applyBorder="1"/>
    <xf numFmtId="172" fontId="71" fillId="0" borderId="31" xfId="1" applyNumberFormat="1" applyFont="1" applyBorder="1"/>
    <xf numFmtId="172" fontId="71" fillId="0" borderId="36" xfId="1" applyNumberFormat="1" applyFont="1" applyBorder="1"/>
    <xf numFmtId="164" fontId="71" fillId="0" borderId="35" xfId="40" applyNumberFormat="1" applyFont="1" applyBorder="1"/>
    <xf numFmtId="164" fontId="71" fillId="0" borderId="36" xfId="40" applyNumberFormat="1" applyFont="1" applyBorder="1"/>
    <xf numFmtId="49" fontId="71" fillId="0" borderId="0" xfId="0" applyNumberFormat="1" applyFont="1" applyAlignment="1">
      <alignment horizontal="left"/>
    </xf>
    <xf numFmtId="0" fontId="71" fillId="0" borderId="0" xfId="0" applyFont="1" applyAlignment="1">
      <alignment horizontal="left" vertical="top" wrapText="1"/>
    </xf>
    <xf numFmtId="0" fontId="68" fillId="0" borderId="0" xfId="0" applyFont="1" applyBorder="1" applyAlignment="1">
      <alignment vertical="top" wrapText="1"/>
    </xf>
    <xf numFmtId="0" fontId="64" fillId="0" borderId="0" xfId="4" applyFont="1" applyFill="1" applyBorder="1" applyAlignment="1" applyProtection="1">
      <alignment wrapText="1"/>
    </xf>
    <xf numFmtId="0" fontId="67" fillId="0" borderId="0" xfId="19" applyFont="1" applyAlignment="1">
      <alignment vertical="top"/>
    </xf>
    <xf numFmtId="0" fontId="52" fillId="0" borderId="0" xfId="15" applyFont="1"/>
    <xf numFmtId="3" fontId="54" fillId="0" borderId="24" xfId="0" applyNumberFormat="1" applyFont="1" applyFill="1" applyBorder="1" applyAlignment="1">
      <alignment horizontal="right" indent="1"/>
    </xf>
    <xf numFmtId="3" fontId="54" fillId="0" borderId="23" xfId="0" applyNumberFormat="1" applyFont="1" applyFill="1" applyBorder="1" applyAlignment="1">
      <alignment horizontal="right" indent="1"/>
    </xf>
    <xf numFmtId="0" fontId="69" fillId="0" borderId="1" xfId="30" applyFont="1" applyFill="1" applyBorder="1" applyAlignment="1"/>
    <xf numFmtId="0" fontId="55" fillId="0" borderId="0" xfId="0" applyFont="1" applyBorder="1" applyAlignment="1">
      <alignment horizontal="center" wrapText="1"/>
    </xf>
    <xf numFmtId="0" fontId="55" fillId="0" borderId="0" xfId="0" applyFont="1" applyBorder="1" applyAlignment="1">
      <alignment wrapText="1"/>
    </xf>
    <xf numFmtId="0" fontId="69" fillId="0" borderId="1" xfId="38" applyFont="1" applyFill="1" applyBorder="1" applyAlignment="1"/>
    <xf numFmtId="0" fontId="55" fillId="0" borderId="0" xfId="0" applyFont="1" applyAlignment="1">
      <alignment wrapText="1"/>
    </xf>
    <xf numFmtId="0" fontId="0" fillId="0" borderId="0" xfId="0" applyFont="1" applyBorder="1" applyAlignment="1">
      <alignment horizontal="left"/>
    </xf>
    <xf numFmtId="0" fontId="54" fillId="0" borderId="0" xfId="0" applyFont="1" applyFill="1" applyBorder="1" applyAlignment="1"/>
    <xf numFmtId="0" fontId="72" fillId="8" borderId="0" xfId="0" applyFont="1" applyFill="1" applyAlignment="1">
      <alignment wrapText="1"/>
    </xf>
    <xf numFmtId="9" fontId="54" fillId="0" borderId="0" xfId="0" applyNumberFormat="1" applyFont="1" applyFill="1" applyBorder="1" applyAlignment="1">
      <alignment horizontal="right" indent="1"/>
    </xf>
    <xf numFmtId="9" fontId="54" fillId="0" borderId="0" xfId="0" applyNumberFormat="1" applyFont="1" applyFill="1" applyBorder="1"/>
    <xf numFmtId="0" fontId="54" fillId="0" borderId="0" xfId="0" applyFont="1" applyFill="1" applyBorder="1" applyAlignment="1">
      <alignment horizontal="right" indent="1"/>
    </xf>
    <xf numFmtId="3" fontId="54" fillId="0" borderId="0" xfId="0" applyNumberFormat="1" applyFont="1" applyFill="1" applyBorder="1" applyAlignment="1">
      <alignment horizontal="right" indent="1"/>
    </xf>
    <xf numFmtId="3" fontId="54" fillId="0" borderId="0" xfId="0" applyNumberFormat="1" applyFont="1" applyFill="1" applyBorder="1" applyAlignment="1"/>
    <xf numFmtId="0" fontId="73" fillId="0" borderId="0" xfId="0" applyFont="1"/>
    <xf numFmtId="3" fontId="73" fillId="0" borderId="0" xfId="0" applyNumberFormat="1" applyFont="1"/>
    <xf numFmtId="9" fontId="73" fillId="0" borderId="0" xfId="40" applyFont="1"/>
    <xf numFmtId="172" fontId="73" fillId="0" borderId="0" xfId="1" applyNumberFormat="1" applyFont="1"/>
    <xf numFmtId="9" fontId="54" fillId="0" borderId="0" xfId="40" applyFont="1" applyFill="1" applyBorder="1" applyAlignment="1">
      <alignment horizontal="right" indent="1"/>
    </xf>
    <xf numFmtId="0" fontId="55" fillId="0" borderId="0" xfId="0" applyFont="1" applyFill="1" applyBorder="1" applyAlignment="1">
      <alignment horizontal="center"/>
    </xf>
    <xf numFmtId="9" fontId="54" fillId="0" borderId="23" xfId="40" applyFont="1" applyBorder="1" applyAlignment="1">
      <alignment horizontal="right" indent="1"/>
    </xf>
    <xf numFmtId="9" fontId="54" fillId="6" borderId="23" xfId="40" applyFont="1" applyFill="1" applyBorder="1" applyAlignment="1">
      <alignment horizontal="right" indent="1"/>
    </xf>
    <xf numFmtId="0" fontId="57" fillId="0" borderId="0" xfId="0" applyFont="1" applyBorder="1" applyAlignment="1">
      <alignment vertical="top" wrapText="1"/>
    </xf>
    <xf numFmtId="0" fontId="57" fillId="0" borderId="0" xfId="0" applyFont="1" applyAlignment="1">
      <alignment vertical="top"/>
    </xf>
    <xf numFmtId="0" fontId="57" fillId="0" borderId="0" xfId="0" applyFont="1" applyFill="1" applyBorder="1" applyAlignment="1">
      <alignment vertical="top" wrapText="1"/>
    </xf>
    <xf numFmtId="3" fontId="54" fillId="0" borderId="137" xfId="0" applyNumberFormat="1" applyFont="1" applyFill="1" applyBorder="1" applyAlignment="1">
      <alignment horizontal="center"/>
    </xf>
    <xf numFmtId="3" fontId="54" fillId="0" borderId="138" xfId="0" applyNumberFormat="1" applyFont="1" applyFill="1" applyBorder="1" applyAlignment="1">
      <alignment horizontal="center"/>
    </xf>
    <xf numFmtId="3" fontId="54" fillId="0" borderId="139" xfId="0" applyNumberFormat="1" applyFont="1" applyFill="1" applyBorder="1" applyAlignment="1">
      <alignment horizontal="center"/>
    </xf>
    <xf numFmtId="0" fontId="20" fillId="0" borderId="0" xfId="0" applyNumberFormat="1" applyFont="1" applyBorder="1" applyAlignment="1">
      <alignment horizontal="center"/>
    </xf>
    <xf numFmtId="0" fontId="20" fillId="0" borderId="0" xfId="0" applyNumberFormat="1" applyFont="1" applyBorder="1"/>
    <xf numFmtId="3" fontId="20" fillId="0" borderId="0" xfId="0" applyNumberFormat="1" applyFont="1" applyFill="1" applyBorder="1" applyAlignment="1" applyProtection="1">
      <alignment vertical="center"/>
    </xf>
    <xf numFmtId="175" fontId="20" fillId="0" borderId="0" xfId="0" applyNumberFormat="1" applyFont="1" applyFill="1" applyBorder="1" applyAlignment="1" applyProtection="1">
      <alignment horizontal="center" vertical="center"/>
    </xf>
    <xf numFmtId="0" fontId="22" fillId="0" borderId="0" xfId="0" applyNumberFormat="1" applyFont="1" applyBorder="1" applyAlignment="1">
      <alignment horizontal="center"/>
    </xf>
    <xf numFmtId="164" fontId="22" fillId="5" borderId="19" xfId="40" applyNumberFormat="1" applyFont="1" applyFill="1" applyBorder="1" applyAlignment="1" applyProtection="1">
      <alignment horizontal="center" vertical="center"/>
    </xf>
    <xf numFmtId="164" fontId="20" fillId="0" borderId="22" xfId="40" applyNumberFormat="1" applyFont="1" applyFill="1" applyBorder="1" applyAlignment="1" applyProtection="1">
      <alignment horizontal="center" vertical="center"/>
    </xf>
    <xf numFmtId="164" fontId="20" fillId="0" borderId="24" xfId="40" applyNumberFormat="1" applyFont="1" applyFill="1" applyBorder="1" applyAlignment="1" applyProtection="1">
      <alignment horizontal="center" vertical="center"/>
    </xf>
    <xf numFmtId="164" fontId="20" fillId="0" borderId="23" xfId="40" applyNumberFormat="1" applyFont="1" applyFill="1" applyBorder="1" applyAlignment="1" applyProtection="1">
      <alignment horizontal="center" vertical="center"/>
    </xf>
    <xf numFmtId="164" fontId="20" fillId="0" borderId="25" xfId="40" applyNumberFormat="1" applyFont="1" applyFill="1" applyBorder="1" applyAlignment="1" applyProtection="1">
      <alignment horizontal="center" vertical="center"/>
    </xf>
    <xf numFmtId="164" fontId="20" fillId="0" borderId="27" xfId="40" applyNumberFormat="1" applyFont="1" applyFill="1" applyBorder="1" applyAlignment="1" applyProtection="1">
      <alignment horizontal="center" vertical="center"/>
    </xf>
    <xf numFmtId="164" fontId="20" fillId="0" borderId="26" xfId="40" applyNumberFormat="1" applyFont="1" applyFill="1" applyBorder="1" applyAlignment="1" applyProtection="1">
      <alignment horizontal="center" vertical="center"/>
    </xf>
    <xf numFmtId="176" fontId="20" fillId="0" borderId="22" xfId="0" applyNumberFormat="1" applyFont="1" applyFill="1" applyBorder="1" applyAlignment="1" applyProtection="1">
      <alignment vertical="center"/>
      <protection locked="0"/>
    </xf>
    <xf numFmtId="3" fontId="20" fillId="0" borderId="23" xfId="0" applyNumberFormat="1" applyFont="1" applyFill="1" applyBorder="1" applyAlignment="1" applyProtection="1">
      <alignment vertical="center"/>
    </xf>
    <xf numFmtId="176" fontId="20" fillId="0" borderId="23" xfId="0" applyNumberFormat="1" applyFont="1" applyFill="1" applyBorder="1" applyAlignment="1" applyProtection="1">
      <alignment vertical="center"/>
    </xf>
    <xf numFmtId="174" fontId="20" fillId="0" borderId="18" xfId="0" applyNumberFormat="1" applyFont="1" applyFill="1" applyBorder="1" applyAlignment="1" applyProtection="1">
      <alignment horizontal="center" vertical="center"/>
    </xf>
    <xf numFmtId="3" fontId="22" fillId="5" borderId="19" xfId="0" applyNumberFormat="1" applyFont="1" applyFill="1" applyBorder="1" applyAlignment="1" applyProtection="1">
      <alignment vertical="center"/>
    </xf>
    <xf numFmtId="3" fontId="22" fillId="5" borderId="20" xfId="0" applyNumberFormat="1" applyFont="1" applyFill="1" applyBorder="1" applyAlignment="1" applyProtection="1">
      <alignment vertical="center"/>
    </xf>
    <xf numFmtId="3" fontId="22" fillId="5" borderId="21" xfId="0" applyNumberFormat="1" applyFont="1" applyFill="1" applyBorder="1" applyAlignment="1" applyProtection="1">
      <alignment vertical="center"/>
    </xf>
    <xf numFmtId="176" fontId="20" fillId="0" borderId="25" xfId="0" applyNumberFormat="1" applyFont="1" applyFill="1" applyBorder="1" applyAlignment="1" applyProtection="1">
      <alignment vertical="center"/>
      <protection locked="0"/>
    </xf>
    <xf numFmtId="3" fontId="20" fillId="0" borderId="26" xfId="0" applyNumberFormat="1" applyFont="1" applyFill="1" applyBorder="1" applyAlignment="1" applyProtection="1">
      <alignment vertical="center"/>
    </xf>
    <xf numFmtId="176" fontId="20" fillId="0" borderId="26" xfId="0" applyNumberFormat="1" applyFont="1" applyFill="1" applyBorder="1" applyAlignment="1" applyProtection="1">
      <alignment vertical="center"/>
    </xf>
    <xf numFmtId="0" fontId="54" fillId="0" borderId="0" xfId="0" applyFont="1" applyBorder="1" applyAlignment="1">
      <alignment vertical="top"/>
    </xf>
    <xf numFmtId="0" fontId="54" fillId="0" borderId="0" xfId="0" applyFont="1" applyBorder="1" applyAlignment="1">
      <alignment vertical="top" wrapText="1"/>
    </xf>
    <xf numFmtId="0" fontId="55" fillId="0" borderId="0" xfId="0" applyFont="1" applyBorder="1" applyAlignment="1">
      <alignment vertical="top"/>
    </xf>
    <xf numFmtId="167" fontId="57" fillId="8" borderId="24" xfId="0" applyNumberFormat="1" applyFont="1" applyFill="1" applyBorder="1"/>
    <xf numFmtId="167" fontId="57" fillId="9" borderId="24" xfId="0" applyNumberFormat="1" applyFont="1" applyFill="1" applyBorder="1"/>
    <xf numFmtId="172" fontId="71" fillId="0" borderId="0" xfId="1" applyNumberFormat="1" applyFont="1" applyBorder="1"/>
    <xf numFmtId="164" fontId="71" fillId="0" borderId="0" xfId="40" applyNumberFormat="1" applyFont="1" applyBorder="1"/>
    <xf numFmtId="49" fontId="53" fillId="0" borderId="0" xfId="0" applyNumberFormat="1" applyFont="1" applyBorder="1" applyAlignment="1">
      <alignment horizontal="center"/>
    </xf>
    <xf numFmtId="0" fontId="54" fillId="0" borderId="0" xfId="0" applyFont="1" applyFill="1" applyBorder="1" applyAlignment="1">
      <alignment horizontal="center"/>
    </xf>
    <xf numFmtId="164" fontId="54" fillId="0" borderId="0" xfId="40" applyNumberFormat="1" applyFont="1" applyFill="1" applyBorder="1" applyAlignment="1">
      <alignment horizontal="center"/>
    </xf>
    <xf numFmtId="164" fontId="54" fillId="0" borderId="0" xfId="0" applyNumberFormat="1" applyFont="1" applyFill="1" applyBorder="1" applyAlignment="1">
      <alignment horizontal="center"/>
    </xf>
    <xf numFmtId="0" fontId="52" fillId="0" borderId="0" xfId="0" applyFont="1" applyAlignment="1"/>
    <xf numFmtId="0" fontId="54" fillId="0" borderId="24" xfId="0" applyFont="1" applyBorder="1" applyAlignment="1">
      <alignment horizontal="right" indent="1"/>
    </xf>
    <xf numFmtId="9" fontId="54" fillId="0" borderId="24" xfId="40" applyFont="1" applyBorder="1" applyAlignment="1">
      <alignment horizontal="right" indent="1"/>
    </xf>
    <xf numFmtId="0" fontId="74" fillId="0" borderId="0" xfId="0" applyFont="1" applyBorder="1" applyAlignment="1">
      <alignment vertical="top" wrapText="1"/>
    </xf>
    <xf numFmtId="179" fontId="75" fillId="0" borderId="0" xfId="0" applyNumberFormat="1" applyFont="1" applyBorder="1" applyAlignment="1">
      <alignment vertical="center"/>
    </xf>
    <xf numFmtId="3" fontId="54" fillId="0" borderId="24" xfId="0" applyNumberFormat="1" applyFont="1" applyBorder="1" applyAlignment="1">
      <alignment horizontal="right" indent="2"/>
    </xf>
    <xf numFmtId="0" fontId="66" fillId="0" borderId="0" xfId="0" applyFont="1" applyBorder="1" applyAlignment="1">
      <alignment horizontal="left"/>
    </xf>
    <xf numFmtId="0" fontId="61" fillId="0" borderId="0" xfId="0" applyFont="1" applyAlignment="1">
      <alignment horizontal="left"/>
    </xf>
    <xf numFmtId="0" fontId="69" fillId="0" borderId="0" xfId="16" applyFont="1" applyBorder="1" applyAlignment="1">
      <alignment horizontal="center"/>
    </xf>
    <xf numFmtId="0" fontId="52" fillId="0" borderId="0" xfId="0" applyFont="1" applyBorder="1" applyAlignment="1">
      <alignment horizontal="center"/>
    </xf>
    <xf numFmtId="0" fontId="73" fillId="0" borderId="23" xfId="0" applyFont="1" applyBorder="1"/>
    <xf numFmtId="0" fontId="60" fillId="0" borderId="0" xfId="0" applyFont="1" applyAlignment="1">
      <alignment horizontal="left" vertical="top" wrapText="1"/>
    </xf>
    <xf numFmtId="0" fontId="66" fillId="0" borderId="0" xfId="0" applyFont="1" applyBorder="1" applyAlignment="1">
      <alignment horizontal="left" wrapText="1"/>
    </xf>
    <xf numFmtId="176" fontId="20" fillId="0" borderId="30" xfId="0" applyNumberFormat="1" applyFont="1" applyFill="1" applyBorder="1" applyAlignment="1" applyProtection="1">
      <alignment vertical="center"/>
      <protection locked="0"/>
    </xf>
    <xf numFmtId="165" fontId="60" fillId="0" borderId="30" xfId="40" applyNumberFormat="1" applyFont="1" applyBorder="1" applyAlignment="1">
      <alignment horizontal="center" wrapText="1"/>
    </xf>
    <xf numFmtId="165" fontId="60" fillId="0" borderId="30" xfId="0" applyNumberFormat="1" applyFont="1" applyBorder="1" applyAlignment="1">
      <alignment horizontal="center"/>
    </xf>
    <xf numFmtId="165" fontId="60" fillId="0" borderId="30" xfId="40" applyNumberFormat="1" applyFont="1" applyBorder="1" applyAlignment="1">
      <alignment horizontal="center"/>
    </xf>
    <xf numFmtId="3" fontId="54" fillId="0" borderId="22" xfId="0" applyNumberFormat="1" applyFont="1" applyBorder="1" applyAlignment="1">
      <alignment horizontal="right" indent="2"/>
    </xf>
    <xf numFmtId="3" fontId="54" fillId="0" borderId="30" xfId="0" applyNumberFormat="1" applyFont="1" applyFill="1" applyBorder="1" applyAlignment="1">
      <alignment horizontal="right" indent="1"/>
    </xf>
    <xf numFmtId="3" fontId="54" fillId="0" borderId="22" xfId="0" applyNumberFormat="1" applyFont="1" applyFill="1" applyBorder="1" applyAlignment="1">
      <alignment horizontal="right" indent="1"/>
    </xf>
    <xf numFmtId="9" fontId="54" fillId="0" borderId="22" xfId="0" applyNumberFormat="1" applyFont="1" applyFill="1" applyBorder="1" applyAlignment="1">
      <alignment horizontal="right" indent="1"/>
    </xf>
    <xf numFmtId="9" fontId="54" fillId="0" borderId="24" xfId="0" applyNumberFormat="1" applyFont="1" applyFill="1" applyBorder="1" applyAlignment="1">
      <alignment horizontal="right" indent="1"/>
    </xf>
    <xf numFmtId="9" fontId="54" fillId="0" borderId="23" xfId="0" applyNumberFormat="1" applyFont="1" applyFill="1" applyBorder="1" applyAlignment="1">
      <alignment horizontal="right" indent="1"/>
    </xf>
    <xf numFmtId="0" fontId="54" fillId="0" borderId="22" xfId="0" applyFont="1" applyBorder="1" applyAlignment="1">
      <alignment horizontal="right" indent="1"/>
    </xf>
    <xf numFmtId="9" fontId="54" fillId="0" borderId="22" xfId="40" applyFont="1" applyBorder="1" applyAlignment="1">
      <alignment horizontal="right" indent="1"/>
    </xf>
    <xf numFmtId="0" fontId="32" fillId="0" borderId="0" xfId="0" applyFont="1"/>
    <xf numFmtId="0" fontId="4" fillId="0" borderId="0" xfId="0" applyFont="1"/>
    <xf numFmtId="0" fontId="76" fillId="0" borderId="0" xfId="0" applyFont="1"/>
    <xf numFmtId="0" fontId="54" fillId="0" borderId="0" xfId="0" applyFont="1" applyFill="1" applyBorder="1" applyAlignment="1">
      <alignment horizontal="left"/>
    </xf>
    <xf numFmtId="9" fontId="54" fillId="0" borderId="30" xfId="40" applyFont="1" applyFill="1" applyBorder="1" applyAlignment="1">
      <alignment horizontal="right" indent="1"/>
    </xf>
    <xf numFmtId="0" fontId="54" fillId="10" borderId="0" xfId="0" applyFont="1" applyFill="1" applyBorder="1" applyAlignment="1"/>
    <xf numFmtId="0" fontId="54" fillId="10" borderId="30" xfId="0" applyFont="1" applyFill="1" applyBorder="1" applyAlignment="1">
      <alignment horizontal="right" indent="1"/>
    </xf>
    <xf numFmtId="0" fontId="54" fillId="10" borderId="16" xfId="0" applyFont="1" applyFill="1" applyBorder="1" applyAlignment="1">
      <alignment horizontal="right" indent="1"/>
    </xf>
    <xf numFmtId="0" fontId="54" fillId="10" borderId="17" xfId="0" applyFont="1" applyFill="1" applyBorder="1" applyAlignment="1">
      <alignment horizontal="right" indent="1"/>
    </xf>
    <xf numFmtId="0" fontId="54" fillId="10" borderId="18" xfId="0" applyFont="1" applyFill="1" applyBorder="1" applyAlignment="1">
      <alignment horizontal="right" indent="1"/>
    </xf>
    <xf numFmtId="0" fontId="54" fillId="10" borderId="22" xfId="0" applyFont="1" applyFill="1" applyBorder="1" applyAlignment="1">
      <alignment horizontal="right" indent="1"/>
    </xf>
    <xf numFmtId="0" fontId="54" fillId="10" borderId="24" xfId="0" applyFont="1" applyFill="1" applyBorder="1" applyAlignment="1">
      <alignment horizontal="right" indent="1"/>
    </xf>
    <xf numFmtId="0" fontId="54" fillId="10" borderId="23" xfId="0" applyFont="1" applyFill="1" applyBorder="1" applyAlignment="1">
      <alignment horizontal="right" indent="1"/>
    </xf>
    <xf numFmtId="0" fontId="54" fillId="10" borderId="29" xfId="0" applyFont="1" applyFill="1" applyBorder="1" applyAlignment="1">
      <alignment horizontal="right" indent="1"/>
    </xf>
    <xf numFmtId="3" fontId="54" fillId="10" borderId="22" xfId="0" applyNumberFormat="1" applyFont="1" applyFill="1" applyBorder="1" applyAlignment="1">
      <alignment horizontal="right" indent="2"/>
    </xf>
    <xf numFmtId="3" fontId="54" fillId="10" borderId="24" xfId="0" applyNumberFormat="1" applyFont="1" applyFill="1" applyBorder="1" applyAlignment="1">
      <alignment horizontal="right" indent="2"/>
    </xf>
    <xf numFmtId="3" fontId="54" fillId="0" borderId="23" xfId="0" quotePrefix="1" applyNumberFormat="1" applyFont="1" applyFill="1" applyBorder="1" applyAlignment="1">
      <alignment horizontal="right" indent="2"/>
    </xf>
    <xf numFmtId="3" fontId="54" fillId="10" borderId="23" xfId="0" quotePrefix="1" applyNumberFormat="1" applyFont="1" applyFill="1" applyBorder="1" applyAlignment="1">
      <alignment horizontal="right" indent="2"/>
    </xf>
    <xf numFmtId="9" fontId="54" fillId="9" borderId="140" xfId="40" applyFont="1" applyFill="1" applyBorder="1" applyAlignment="1">
      <alignment horizontal="center"/>
    </xf>
    <xf numFmtId="9" fontId="54" fillId="9" borderId="141" xfId="40" applyFont="1" applyFill="1" applyBorder="1" applyAlignment="1">
      <alignment horizontal="center"/>
    </xf>
    <xf numFmtId="9" fontId="54" fillId="9" borderId="142" xfId="40" applyFont="1" applyFill="1" applyBorder="1" applyAlignment="1">
      <alignment horizontal="center"/>
    </xf>
    <xf numFmtId="0" fontId="54" fillId="11" borderId="23" xfId="0" applyFont="1" applyFill="1" applyBorder="1"/>
    <xf numFmtId="167" fontId="57" fillId="8" borderId="22" xfId="0" applyNumberFormat="1" applyFont="1" applyFill="1" applyBorder="1"/>
    <xf numFmtId="167" fontId="57" fillId="9" borderId="22" xfId="0" applyNumberFormat="1" applyFont="1" applyFill="1" applyBorder="1"/>
    <xf numFmtId="0" fontId="62" fillId="5" borderId="19" xfId="0" applyFont="1" applyFill="1" applyBorder="1" applyAlignment="1">
      <alignment horizontal="center"/>
    </xf>
    <xf numFmtId="0" fontId="62" fillId="5" borderId="21" xfId="0" applyFont="1" applyFill="1" applyBorder="1" applyAlignment="1">
      <alignment horizontal="center"/>
    </xf>
    <xf numFmtId="0" fontId="62" fillId="5" borderId="28" xfId="0" applyFont="1" applyFill="1" applyBorder="1" applyAlignment="1">
      <alignment horizontal="center"/>
    </xf>
    <xf numFmtId="0" fontId="62" fillId="12" borderId="40" xfId="0" applyFont="1" applyFill="1" applyBorder="1" applyAlignment="1"/>
    <xf numFmtId="172" fontId="55" fillId="12" borderId="16" xfId="1" applyNumberFormat="1" applyFont="1" applyFill="1" applyBorder="1" applyAlignment="1"/>
    <xf numFmtId="172" fontId="55" fillId="11" borderId="30" xfId="1" applyNumberFormat="1" applyFont="1" applyFill="1" applyBorder="1"/>
    <xf numFmtId="172" fontId="54" fillId="6" borderId="22" xfId="1" applyNumberFormat="1" applyFont="1" applyFill="1" applyBorder="1" applyAlignment="1">
      <alignment horizontal="left"/>
    </xf>
    <xf numFmtId="173" fontId="54" fillId="6" borderId="30" xfId="1" applyNumberFormat="1" applyFont="1" applyFill="1" applyBorder="1"/>
    <xf numFmtId="172" fontId="54" fillId="0" borderId="22" xfId="1" applyNumberFormat="1" applyFont="1" applyBorder="1" applyAlignment="1"/>
    <xf numFmtId="9" fontId="54" fillId="0" borderId="30" xfId="40" applyFont="1" applyBorder="1"/>
    <xf numFmtId="172" fontId="54" fillId="6" borderId="22" xfId="1" applyNumberFormat="1" applyFont="1" applyFill="1" applyBorder="1" applyAlignment="1"/>
    <xf numFmtId="172" fontId="54" fillId="6" borderId="30" xfId="1" applyNumberFormat="1" applyFont="1" applyFill="1" applyBorder="1"/>
    <xf numFmtId="172" fontId="54" fillId="0" borderId="22" xfId="1" applyNumberFormat="1" applyFont="1" applyBorder="1"/>
    <xf numFmtId="0" fontId="54" fillId="13" borderId="0" xfId="0" quotePrefix="1" applyFont="1" applyFill="1" applyAlignment="1">
      <alignment horizontal="left"/>
    </xf>
    <xf numFmtId="0" fontId="54" fillId="13" borderId="0" xfId="0" quotePrefix="1" applyFont="1" applyFill="1" applyAlignment="1"/>
    <xf numFmtId="0" fontId="54" fillId="13" borderId="0" xfId="0" applyFont="1" applyFill="1" applyAlignment="1">
      <alignment horizontal="center"/>
    </xf>
    <xf numFmtId="0" fontId="62" fillId="13" borderId="28" xfId="0" applyFont="1" applyFill="1" applyBorder="1" applyAlignment="1"/>
    <xf numFmtId="0" fontId="62" fillId="13" borderId="28" xfId="0" quotePrefix="1" applyFont="1" applyFill="1" applyBorder="1" applyAlignment="1">
      <alignment horizontal="left"/>
    </xf>
    <xf numFmtId="0" fontId="55" fillId="14" borderId="25" xfId="0" applyFont="1" applyFill="1" applyBorder="1" applyAlignment="1">
      <alignment horizontal="center"/>
    </xf>
    <xf numFmtId="0" fontId="55" fillId="14" borderId="27" xfId="0" applyFont="1" applyFill="1" applyBorder="1" applyAlignment="1">
      <alignment horizontal="center"/>
    </xf>
    <xf numFmtId="0" fontId="55" fillId="14" borderId="26" xfId="0" applyFont="1" applyFill="1" applyBorder="1" applyAlignment="1">
      <alignment horizontal="center"/>
    </xf>
    <xf numFmtId="0" fontId="54" fillId="9" borderId="22" xfId="0" applyFont="1" applyFill="1" applyBorder="1"/>
    <xf numFmtId="0" fontId="54" fillId="9" borderId="24" xfId="0" applyFont="1" applyFill="1" applyBorder="1"/>
    <xf numFmtId="9" fontId="77" fillId="15" borderId="22" xfId="0" applyNumberFormat="1" applyFont="1" applyFill="1" applyBorder="1"/>
    <xf numFmtId="9" fontId="77" fillId="15" borderId="24" xfId="0" applyNumberFormat="1" applyFont="1" applyFill="1" applyBorder="1"/>
    <xf numFmtId="0" fontId="57" fillId="9" borderId="22" xfId="0" applyFont="1" applyFill="1" applyBorder="1"/>
    <xf numFmtId="0" fontId="57" fillId="9" borderId="24" xfId="0" applyFont="1" applyFill="1" applyBorder="1"/>
    <xf numFmtId="167" fontId="57" fillId="9" borderId="16" xfId="0" applyNumberFormat="1" applyFont="1" applyFill="1" applyBorder="1"/>
    <xf numFmtId="167" fontId="57" fillId="9" borderId="17" xfId="0" applyNumberFormat="1" applyFont="1" applyFill="1" applyBorder="1"/>
    <xf numFmtId="164" fontId="77" fillId="0" borderId="25" xfId="40" applyNumberFormat="1" applyFont="1" applyBorder="1"/>
    <xf numFmtId="9" fontId="77" fillId="15" borderId="22" xfId="40" applyFont="1" applyFill="1" applyBorder="1"/>
    <xf numFmtId="167" fontId="57" fillId="9" borderId="143" xfId="0" applyNumberFormat="1" applyFont="1" applyFill="1" applyBorder="1"/>
    <xf numFmtId="167" fontId="57" fillId="9" borderId="144" xfId="0" applyNumberFormat="1" applyFont="1" applyFill="1" applyBorder="1"/>
    <xf numFmtId="0" fontId="54" fillId="0" borderId="34" xfId="0" applyFont="1" applyFill="1" applyBorder="1" applyAlignment="1">
      <alignment horizontal="left"/>
    </xf>
    <xf numFmtId="164" fontId="54" fillId="0" borderId="145" xfId="40" applyNumberFormat="1" applyFont="1" applyFill="1" applyBorder="1"/>
    <xf numFmtId="164" fontId="78" fillId="0" borderId="145" xfId="40" applyNumberFormat="1" applyFont="1" applyFill="1" applyBorder="1"/>
    <xf numFmtId="0" fontId="54" fillId="0" borderId="146" xfId="0" applyFont="1" applyFill="1" applyBorder="1" applyAlignment="1"/>
    <xf numFmtId="0" fontId="54" fillId="0" borderId="147" xfId="0" applyFont="1" applyFill="1" applyBorder="1" applyAlignment="1"/>
    <xf numFmtId="0" fontId="55" fillId="14" borderId="148" xfId="0" applyFont="1" applyFill="1" applyBorder="1" applyAlignment="1">
      <alignment horizontal="center"/>
    </xf>
    <xf numFmtId="3" fontId="54" fillId="0" borderId="149" xfId="0" applyNumberFormat="1" applyFont="1" applyFill="1" applyBorder="1" applyAlignment="1">
      <alignment horizontal="right" indent="1"/>
    </xf>
    <xf numFmtId="0" fontId="54" fillId="0" borderId="150" xfId="0" applyFont="1" applyFill="1" applyBorder="1" applyAlignment="1"/>
    <xf numFmtId="0" fontId="54" fillId="0" borderId="151" xfId="0" applyFont="1" applyFill="1" applyBorder="1" applyAlignment="1">
      <alignment horizontal="right" indent="1"/>
    </xf>
    <xf numFmtId="0" fontId="54" fillId="0" borderId="152" xfId="0" applyFont="1" applyFill="1" applyBorder="1" applyAlignment="1">
      <alignment horizontal="right" indent="1"/>
    </xf>
    <xf numFmtId="3" fontId="54" fillId="0" borderId="153" xfId="0" applyNumberFormat="1" applyFont="1" applyFill="1" applyBorder="1" applyAlignment="1">
      <alignment horizontal="right" indent="1"/>
    </xf>
    <xf numFmtId="172" fontId="54" fillId="0" borderId="156" xfId="1" applyNumberFormat="1" applyFont="1" applyBorder="1"/>
    <xf numFmtId="172" fontId="54" fillId="10" borderId="156" xfId="1" applyNumberFormat="1" applyFont="1" applyFill="1" applyBorder="1"/>
    <xf numFmtId="3" fontId="54" fillId="10" borderId="154" xfId="0" applyNumberFormat="1" applyFont="1" applyFill="1" applyBorder="1" applyAlignment="1">
      <alignment horizontal="right" indent="2"/>
    </xf>
    <xf numFmtId="3" fontId="54" fillId="10" borderId="155" xfId="0" applyNumberFormat="1" applyFont="1" applyFill="1" applyBorder="1" applyAlignment="1">
      <alignment horizontal="right" indent="2"/>
    </xf>
    <xf numFmtId="3" fontId="54" fillId="10" borderId="157" xfId="0" quotePrefix="1" applyNumberFormat="1" applyFont="1" applyFill="1" applyBorder="1" applyAlignment="1">
      <alignment horizontal="right" indent="2"/>
    </xf>
    <xf numFmtId="172" fontId="54" fillId="10" borderId="158" xfId="1" applyNumberFormat="1" applyFont="1" applyFill="1" applyBorder="1"/>
    <xf numFmtId="0" fontId="54" fillId="0" borderId="34" xfId="0" applyFont="1" applyFill="1" applyBorder="1" applyAlignment="1">
      <alignment horizontal="left" wrapText="1" indent="1"/>
    </xf>
    <xf numFmtId="0" fontId="54" fillId="16" borderId="34" xfId="0" applyFont="1" applyFill="1" applyBorder="1" applyAlignment="1">
      <alignment horizontal="left" indent="1"/>
    </xf>
    <xf numFmtId="0" fontId="54" fillId="0" borderId="34" xfId="0" applyFont="1" applyBorder="1" applyAlignment="1">
      <alignment horizontal="left" indent="1"/>
    </xf>
    <xf numFmtId="0" fontId="54" fillId="0" borderId="36" xfId="0" applyFont="1" applyFill="1" applyBorder="1" applyAlignment="1">
      <alignment horizontal="left" indent="1"/>
    </xf>
    <xf numFmtId="0" fontId="54" fillId="0" borderId="146" xfId="0" applyFont="1" applyFill="1" applyBorder="1" applyAlignment="1">
      <alignment horizontal="left" wrapText="1" indent="1"/>
    </xf>
    <xf numFmtId="0" fontId="54" fillId="16" borderId="146" xfId="0" applyFont="1" applyFill="1" applyBorder="1" applyAlignment="1">
      <alignment horizontal="left" indent="1"/>
    </xf>
    <xf numFmtId="0" fontId="54" fillId="0" borderId="146" xfId="0" applyFont="1" applyBorder="1" applyAlignment="1">
      <alignment horizontal="left" indent="1"/>
    </xf>
    <xf numFmtId="0" fontId="54" fillId="16" borderId="147" xfId="0" applyFont="1" applyFill="1" applyBorder="1" applyAlignment="1">
      <alignment horizontal="left" indent="1"/>
    </xf>
    <xf numFmtId="0" fontId="62" fillId="5" borderId="15" xfId="0" applyFont="1" applyFill="1" applyBorder="1" applyAlignment="1">
      <alignment horizontal="center"/>
    </xf>
    <xf numFmtId="0" fontId="62" fillId="12" borderId="45" xfId="0" applyFont="1" applyFill="1" applyBorder="1" applyAlignment="1"/>
    <xf numFmtId="0" fontId="54" fillId="11" borderId="33" xfId="0" applyFont="1" applyFill="1" applyBorder="1"/>
    <xf numFmtId="0" fontId="63" fillId="6" borderId="34" xfId="0" applyFont="1" applyFill="1" applyBorder="1" applyAlignment="1">
      <alignment horizontal="left"/>
    </xf>
    <xf numFmtId="0" fontId="54" fillId="6" borderId="33" xfId="0" applyFont="1" applyFill="1" applyBorder="1"/>
    <xf numFmtId="9" fontId="54" fillId="0" borderId="33" xfId="40" applyFont="1" applyBorder="1" applyAlignment="1">
      <alignment horizontal="right" indent="1"/>
    </xf>
    <xf numFmtId="0" fontId="63" fillId="6" borderId="34" xfId="0" applyFont="1" applyFill="1" applyBorder="1" applyAlignment="1"/>
    <xf numFmtId="9" fontId="54" fillId="6" borderId="33" xfId="40" applyFont="1" applyFill="1" applyBorder="1" applyAlignment="1">
      <alignment horizontal="right" indent="1"/>
    </xf>
    <xf numFmtId="172" fontId="54" fillId="0" borderId="25" xfId="1" applyNumberFormat="1" applyFont="1" applyBorder="1"/>
    <xf numFmtId="9" fontId="54" fillId="0" borderId="26" xfId="40" applyFont="1" applyBorder="1" applyAlignment="1">
      <alignment horizontal="right" indent="1"/>
    </xf>
    <xf numFmtId="9" fontId="54" fillId="0" borderId="31" xfId="40" applyFont="1" applyBorder="1"/>
    <xf numFmtId="9" fontId="54" fillId="0" borderId="35" xfId="40" applyFont="1" applyBorder="1" applyAlignment="1">
      <alignment horizontal="right" indent="1"/>
    </xf>
    <xf numFmtId="0" fontId="55" fillId="17" borderId="159" xfId="0" applyFont="1" applyFill="1" applyBorder="1" applyAlignment="1">
      <alignment horizontal="center"/>
    </xf>
    <xf numFmtId="164" fontId="54" fillId="0" borderId="22" xfId="0" applyNumberFormat="1" applyFont="1" applyBorder="1" applyAlignment="1">
      <alignment horizontal="center"/>
    </xf>
    <xf numFmtId="164" fontId="54" fillId="0" borderId="23" xfId="0" applyNumberFormat="1" applyFont="1" applyBorder="1" applyAlignment="1">
      <alignment horizontal="center"/>
    </xf>
    <xf numFmtId="164" fontId="54" fillId="16" borderId="22" xfId="0" applyNumberFormat="1" applyFont="1" applyFill="1" applyBorder="1" applyAlignment="1">
      <alignment horizontal="center"/>
    </xf>
    <xf numFmtId="164" fontId="54" fillId="16" borderId="23" xfId="0" applyNumberFormat="1" applyFont="1" applyFill="1" applyBorder="1" applyAlignment="1">
      <alignment horizontal="center"/>
    </xf>
    <xf numFmtId="164" fontId="54" fillId="16" borderId="154" xfId="0" applyNumberFormat="1" applyFont="1" applyFill="1" applyBorder="1" applyAlignment="1">
      <alignment horizontal="center"/>
    </xf>
    <xf numFmtId="164" fontId="54" fillId="16" borderId="157" xfId="40" applyNumberFormat="1" applyFont="1" applyFill="1" applyBorder="1" applyAlignment="1">
      <alignment horizontal="center"/>
    </xf>
    <xf numFmtId="164" fontId="54" fillId="0" borderId="22" xfId="40" applyNumberFormat="1" applyFont="1" applyBorder="1" applyAlignment="1">
      <alignment horizontal="center"/>
    </xf>
    <xf numFmtId="164" fontId="54" fillId="0" borderId="23" xfId="40" applyNumberFormat="1" applyFont="1" applyBorder="1" applyAlignment="1">
      <alignment horizontal="center"/>
    </xf>
    <xf numFmtId="164" fontId="54" fillId="16" borderId="23" xfId="40" applyNumberFormat="1" applyFont="1" applyFill="1" applyBorder="1" applyAlignment="1">
      <alignment horizontal="center"/>
    </xf>
    <xf numFmtId="0" fontId="55" fillId="17" borderId="19" xfId="0" applyFont="1" applyFill="1" applyBorder="1" applyAlignment="1">
      <alignment horizontal="center"/>
    </xf>
    <xf numFmtId="0" fontId="55" fillId="17" borderId="21" xfId="0" applyFont="1" applyFill="1" applyBorder="1" applyAlignment="1">
      <alignment horizontal="center"/>
    </xf>
    <xf numFmtId="0" fontId="55" fillId="17" borderId="160" xfId="0" applyFont="1" applyFill="1" applyBorder="1" applyAlignment="1">
      <alignment horizontal="center"/>
    </xf>
    <xf numFmtId="0" fontId="55" fillId="17" borderId="161" xfId="0" applyFont="1" applyFill="1" applyBorder="1" applyAlignment="1">
      <alignment horizontal="center"/>
    </xf>
    <xf numFmtId="164" fontId="54" fillId="0" borderId="30" xfId="40" applyNumberFormat="1" applyFont="1" applyBorder="1" applyAlignment="1">
      <alignment horizontal="center"/>
    </xf>
    <xf numFmtId="164" fontId="54" fillId="0" borderId="30" xfId="0" applyNumberFormat="1" applyFont="1" applyBorder="1" applyAlignment="1">
      <alignment horizontal="center"/>
    </xf>
    <xf numFmtId="164" fontId="54" fillId="16" borderId="30" xfId="40" applyNumberFormat="1" applyFont="1" applyFill="1" applyBorder="1" applyAlignment="1">
      <alignment horizontal="center"/>
    </xf>
    <xf numFmtId="164" fontId="54" fillId="16" borderId="30" xfId="0" applyNumberFormat="1" applyFont="1" applyFill="1" applyBorder="1" applyAlignment="1">
      <alignment horizontal="center"/>
    </xf>
    <xf numFmtId="164" fontId="54" fillId="0" borderId="31" xfId="40" applyNumberFormat="1" applyFont="1" applyFill="1" applyBorder="1" applyAlignment="1">
      <alignment horizontal="center"/>
    </xf>
    <xf numFmtId="164" fontId="54" fillId="0" borderId="31" xfId="0" applyNumberFormat="1" applyFont="1" applyFill="1" applyBorder="1" applyAlignment="1">
      <alignment horizontal="center"/>
    </xf>
    <xf numFmtId="0" fontId="55" fillId="17" borderId="162" xfId="0" applyFont="1" applyFill="1" applyBorder="1" applyAlignment="1">
      <alignment horizontal="center"/>
    </xf>
    <xf numFmtId="37" fontId="54" fillId="0" borderId="22" xfId="1" applyNumberFormat="1" applyFont="1" applyBorder="1" applyAlignment="1">
      <alignment horizontal="center"/>
    </xf>
    <xf numFmtId="37" fontId="54" fillId="16" borderId="22" xfId="1" applyNumberFormat="1" applyFont="1" applyFill="1" applyBorder="1" applyAlignment="1">
      <alignment horizontal="center"/>
    </xf>
    <xf numFmtId="37" fontId="54" fillId="0" borderId="25" xfId="1" applyNumberFormat="1" applyFont="1" applyFill="1" applyBorder="1" applyAlignment="1">
      <alignment horizontal="center"/>
    </xf>
    <xf numFmtId="164" fontId="54" fillId="0" borderId="26" xfId="40" applyNumberFormat="1" applyFont="1" applyFill="1" applyBorder="1" applyAlignment="1">
      <alignment horizontal="center"/>
    </xf>
    <xf numFmtId="0" fontId="54" fillId="10" borderId="34" xfId="0" applyFont="1" applyFill="1" applyBorder="1" applyAlignment="1"/>
    <xf numFmtId="0" fontId="54" fillId="0" borderId="34" xfId="0" applyFont="1" applyFill="1" applyBorder="1" applyAlignment="1">
      <alignment horizontal="left" indent="1"/>
    </xf>
    <xf numFmtId="0" fontId="54" fillId="0" borderId="23" xfId="0" applyFont="1" applyBorder="1" applyAlignment="1">
      <alignment horizontal="right" indent="1"/>
    </xf>
    <xf numFmtId="9" fontId="54" fillId="0" borderId="23" xfId="0" applyNumberFormat="1" applyFont="1" applyBorder="1" applyAlignment="1">
      <alignment horizontal="right" indent="1"/>
    </xf>
    <xf numFmtId="0" fontId="54" fillId="0" borderId="12" xfId="0" applyFont="1" applyFill="1" applyBorder="1" applyAlignment="1">
      <alignment horizontal="left"/>
    </xf>
    <xf numFmtId="9" fontId="54" fillId="0" borderId="31" xfId="40" applyFont="1" applyFill="1" applyBorder="1" applyAlignment="1">
      <alignment horizontal="right" indent="1"/>
    </xf>
    <xf numFmtId="9" fontId="54" fillId="0" borderId="25" xfId="0" applyNumberFormat="1" applyFont="1" applyFill="1" applyBorder="1" applyAlignment="1">
      <alignment horizontal="right" indent="1"/>
    </xf>
    <xf numFmtId="9" fontId="54" fillId="0" borderId="27" xfId="0" applyNumberFormat="1" applyFont="1" applyFill="1" applyBorder="1" applyAlignment="1">
      <alignment horizontal="right" indent="1"/>
    </xf>
    <xf numFmtId="9" fontId="54" fillId="0" borderId="26" xfId="0" applyNumberFormat="1" applyFont="1" applyFill="1" applyBorder="1" applyAlignment="1">
      <alignment horizontal="right" indent="1"/>
    </xf>
    <xf numFmtId="9" fontId="54" fillId="0" borderId="25" xfId="40" applyFont="1" applyBorder="1" applyAlignment="1">
      <alignment horizontal="right" indent="1"/>
    </xf>
    <xf numFmtId="9" fontId="54" fillId="0" borderId="27" xfId="40" applyFont="1" applyBorder="1" applyAlignment="1">
      <alignment horizontal="right" indent="1"/>
    </xf>
    <xf numFmtId="9" fontId="54" fillId="0" borderId="26" xfId="0" applyNumberFormat="1" applyFont="1" applyBorder="1" applyAlignment="1">
      <alignment horizontal="right" indent="1"/>
    </xf>
    <xf numFmtId="0" fontId="55" fillId="18" borderId="19" xfId="0" applyFont="1" applyFill="1" applyBorder="1" applyAlignment="1">
      <alignment horizontal="center"/>
    </xf>
    <xf numFmtId="0" fontId="55" fillId="18" borderId="20" xfId="0" applyFont="1" applyFill="1" applyBorder="1" applyAlignment="1">
      <alignment horizontal="center"/>
    </xf>
    <xf numFmtId="0" fontId="55" fillId="18" borderId="46" xfId="0" applyFont="1" applyFill="1" applyBorder="1" applyAlignment="1">
      <alignment horizontal="center"/>
    </xf>
    <xf numFmtId="0" fontId="55" fillId="18" borderId="21" xfId="0" applyFont="1" applyFill="1" applyBorder="1" applyAlignment="1">
      <alignment horizontal="center"/>
    </xf>
    <xf numFmtId="0" fontId="55" fillId="14" borderId="163" xfId="0" applyFont="1" applyFill="1" applyBorder="1" applyAlignment="1">
      <alignment horizontal="center"/>
    </xf>
    <xf numFmtId="0" fontId="55" fillId="14" borderId="164" xfId="0" applyFont="1" applyFill="1" applyBorder="1" applyAlignment="1">
      <alignment horizontal="center"/>
    </xf>
    <xf numFmtId="0" fontId="55" fillId="14" borderId="165" xfId="0" applyFont="1" applyFill="1" applyBorder="1" applyAlignment="1">
      <alignment horizontal="center"/>
    </xf>
    <xf numFmtId="0" fontId="54" fillId="9" borderId="23" xfId="0" applyFont="1" applyFill="1" applyBorder="1"/>
    <xf numFmtId="167" fontId="57" fillId="8" borderId="23" xfId="0" applyNumberFormat="1" applyFont="1" applyFill="1" applyBorder="1"/>
    <xf numFmtId="167" fontId="57" fillId="9" borderId="23" xfId="0" applyNumberFormat="1" applyFont="1" applyFill="1" applyBorder="1"/>
    <xf numFmtId="9" fontId="77" fillId="15" borderId="23" xfId="0" applyNumberFormat="1" applyFont="1" applyFill="1" applyBorder="1"/>
    <xf numFmtId="167" fontId="57" fillId="9" borderId="18" xfId="0" applyNumberFormat="1" applyFont="1" applyFill="1" applyBorder="1"/>
    <xf numFmtId="164" fontId="77" fillId="0" borderId="31" xfId="40" applyNumberFormat="1" applyFont="1" applyBorder="1"/>
    <xf numFmtId="167" fontId="57" fillId="9" borderId="30" xfId="0" applyNumberFormat="1" applyFont="1" applyFill="1" applyBorder="1"/>
    <xf numFmtId="9" fontId="77" fillId="15" borderId="30" xfId="40" applyFont="1" applyFill="1" applyBorder="1"/>
    <xf numFmtId="167" fontId="79" fillId="9" borderId="166" xfId="0" applyNumberFormat="1" applyFont="1" applyFill="1" applyBorder="1"/>
    <xf numFmtId="0" fontId="55" fillId="0" borderId="36" xfId="0" applyFont="1" applyFill="1" applyBorder="1" applyAlignment="1"/>
    <xf numFmtId="0" fontId="54" fillId="0" borderId="12" xfId="0" applyFont="1" applyBorder="1" applyAlignment="1"/>
    <xf numFmtId="0" fontId="55" fillId="0" borderId="12" xfId="0" applyFont="1" applyFill="1" applyBorder="1" applyAlignment="1"/>
    <xf numFmtId="9" fontId="57" fillId="0" borderId="25" xfId="40" applyFont="1" applyFill="1" applyBorder="1"/>
    <xf numFmtId="9" fontId="57" fillId="0" borderId="27" xfId="40" applyFont="1" applyFill="1" applyBorder="1"/>
    <xf numFmtId="9" fontId="57" fillId="0" borderId="26" xfId="40" applyFont="1" applyFill="1" applyBorder="1"/>
    <xf numFmtId="0" fontId="52" fillId="0" borderId="0" xfId="0" applyFont="1" applyAlignment="1">
      <alignment horizontal="center"/>
    </xf>
    <xf numFmtId="0" fontId="67" fillId="0" borderId="0" xfId="14" applyFont="1" applyBorder="1" applyAlignment="1">
      <alignment horizontal="center"/>
    </xf>
    <xf numFmtId="0" fontId="54" fillId="0" borderId="0" xfId="0" applyNumberFormat="1" applyFont="1" applyAlignment="1">
      <alignment vertical="top" wrapText="1"/>
    </xf>
    <xf numFmtId="0" fontId="54" fillId="0" borderId="0" xfId="0" applyFont="1" applyAlignment="1">
      <alignment vertical="top" wrapText="1"/>
    </xf>
    <xf numFmtId="49" fontId="67" fillId="0" borderId="0" xfId="0" applyNumberFormat="1" applyFont="1" applyFill="1" applyBorder="1" applyAlignment="1">
      <alignment horizontal="left" wrapText="1"/>
    </xf>
    <xf numFmtId="0" fontId="52" fillId="0" borderId="0" xfId="0" applyFont="1" applyAlignment="1">
      <alignment horizontal="center"/>
    </xf>
    <xf numFmtId="0" fontId="70" fillId="0" borderId="0" xfId="16" applyFont="1"/>
    <xf numFmtId="0" fontId="52" fillId="0" borderId="19" xfId="0" applyFont="1" applyBorder="1"/>
    <xf numFmtId="0" fontId="52" fillId="0" borderId="20" xfId="0" applyFont="1" applyBorder="1"/>
    <xf numFmtId="0" fontId="52" fillId="0" borderId="46" xfId="0" applyFont="1" applyBorder="1"/>
    <xf numFmtId="0" fontId="52" fillId="0" borderId="21" xfId="0" applyFont="1" applyBorder="1"/>
    <xf numFmtId="0" fontId="69" fillId="5" borderId="0" xfId="16" quotePrefix="1" applyFont="1" applyFill="1"/>
    <xf numFmtId="0" fontId="69" fillId="5" borderId="47" xfId="16" applyFont="1" applyFill="1" applyBorder="1" applyAlignment="1">
      <alignment wrapText="1"/>
    </xf>
    <xf numFmtId="172" fontId="73" fillId="7" borderId="22" xfId="1" applyNumberFormat="1" applyFont="1" applyFill="1" applyBorder="1"/>
    <xf numFmtId="172" fontId="73" fillId="7" borderId="24" xfId="1" applyNumberFormat="1" applyFont="1" applyFill="1" applyBorder="1"/>
    <xf numFmtId="172" fontId="73" fillId="7" borderId="48" xfId="1" applyNumberFormat="1" applyFont="1" applyFill="1" applyBorder="1"/>
    <xf numFmtId="172" fontId="73" fillId="7" borderId="18" xfId="1" applyNumberFormat="1" applyFont="1" applyFill="1" applyBorder="1"/>
    <xf numFmtId="164" fontId="73" fillId="7" borderId="22" xfId="40" applyNumberFormat="1" applyFont="1" applyFill="1" applyBorder="1"/>
    <xf numFmtId="164" fontId="73" fillId="7" borderId="24" xfId="40" applyNumberFormat="1" applyFont="1" applyFill="1" applyBorder="1"/>
    <xf numFmtId="164" fontId="73" fillId="7" borderId="48" xfId="40" applyNumberFormat="1" applyFont="1" applyFill="1" applyBorder="1"/>
    <xf numFmtId="164" fontId="73" fillId="7" borderId="18" xfId="40" applyNumberFormat="1" applyFont="1" applyFill="1" applyBorder="1"/>
    <xf numFmtId="172" fontId="80" fillId="7" borderId="22" xfId="1" applyNumberFormat="1" applyFont="1" applyFill="1" applyBorder="1"/>
    <xf numFmtId="172" fontId="80" fillId="7" borderId="24" xfId="1" applyNumberFormat="1" applyFont="1" applyFill="1" applyBorder="1"/>
    <xf numFmtId="3" fontId="73" fillId="7" borderId="18" xfId="0" applyNumberFormat="1" applyFont="1" applyFill="1" applyBorder="1"/>
    <xf numFmtId="0" fontId="70" fillId="0" borderId="1" xfId="16" applyFont="1" applyFill="1" applyBorder="1" applyAlignment="1">
      <alignment wrapText="1"/>
    </xf>
    <xf numFmtId="0" fontId="70" fillId="0" borderId="11" xfId="16" applyFont="1" applyFill="1" applyBorder="1" applyAlignment="1">
      <alignment wrapText="1"/>
    </xf>
    <xf numFmtId="172" fontId="73" fillId="0" borderId="22" xfId="1" applyNumberFormat="1" applyFont="1" applyBorder="1"/>
    <xf numFmtId="172" fontId="73" fillId="0" borderId="24" xfId="1" applyNumberFormat="1" applyFont="1" applyBorder="1"/>
    <xf numFmtId="172" fontId="73" fillId="0" borderId="48" xfId="1" applyNumberFormat="1" applyFont="1" applyBorder="1"/>
    <xf numFmtId="172" fontId="73" fillId="0" borderId="23" xfId="1" applyNumberFormat="1" applyFont="1" applyBorder="1"/>
    <xf numFmtId="164" fontId="73" fillId="0" borderId="22" xfId="40" applyNumberFormat="1" applyFont="1" applyBorder="1"/>
    <xf numFmtId="164" fontId="73" fillId="0" borderId="24" xfId="40" applyNumberFormat="1" applyFont="1" applyBorder="1"/>
    <xf numFmtId="164" fontId="73" fillId="0" borderId="48" xfId="40" applyNumberFormat="1" applyFont="1" applyBorder="1"/>
    <xf numFmtId="164" fontId="73" fillId="0" borderId="23" xfId="40" applyNumberFormat="1" applyFont="1" applyBorder="1"/>
    <xf numFmtId="3" fontId="73" fillId="0" borderId="23" xfId="0" applyNumberFormat="1" applyFont="1" applyBorder="1"/>
    <xf numFmtId="0" fontId="70" fillId="0" borderId="0" xfId="16" applyFont="1" applyFill="1" applyBorder="1" applyAlignment="1">
      <alignment wrapText="1"/>
    </xf>
    <xf numFmtId="0" fontId="69" fillId="0" borderId="0" xfId="16" applyFont="1" applyFill="1" applyBorder="1" applyAlignment="1">
      <alignment wrapText="1"/>
    </xf>
    <xf numFmtId="0" fontId="80" fillId="0" borderId="0" xfId="14" applyFont="1"/>
    <xf numFmtId="0" fontId="80" fillId="0" borderId="0" xfId="14" applyFont="1" applyAlignment="1">
      <alignment horizontal="right" vertical="top"/>
    </xf>
    <xf numFmtId="0" fontId="81" fillId="0" borderId="0" xfId="4" applyFont="1" applyAlignment="1" applyProtection="1"/>
    <xf numFmtId="172" fontId="73" fillId="0" borderId="16" xfId="1" applyNumberFormat="1" applyFont="1" applyBorder="1"/>
    <xf numFmtId="172" fontId="73" fillId="0" borderId="17" xfId="1" applyNumberFormat="1" applyFont="1" applyBorder="1"/>
    <xf numFmtId="172" fontId="73" fillId="0" borderId="49" xfId="1" applyNumberFormat="1" applyFont="1" applyBorder="1"/>
    <xf numFmtId="164" fontId="73" fillId="0" borderId="16" xfId="40" applyNumberFormat="1" applyFont="1" applyBorder="1"/>
    <xf numFmtId="164" fontId="73" fillId="0" borderId="17" xfId="40" applyNumberFormat="1" applyFont="1" applyBorder="1"/>
    <xf numFmtId="164" fontId="73" fillId="0" borderId="49" xfId="40" applyNumberFormat="1" applyFont="1" applyBorder="1"/>
    <xf numFmtId="164" fontId="73" fillId="0" borderId="18" xfId="40" applyNumberFormat="1" applyFont="1" applyBorder="1"/>
    <xf numFmtId="3" fontId="73" fillId="0" borderId="18" xfId="0" applyNumberFormat="1" applyFont="1" applyBorder="1"/>
    <xf numFmtId="0" fontId="69" fillId="0" borderId="4" xfId="14" applyFont="1" applyFill="1" applyBorder="1" applyAlignment="1">
      <alignment horizontal="right" wrapText="1" indent="1"/>
    </xf>
    <xf numFmtId="0" fontId="69" fillId="0" borderId="50" xfId="14" applyFont="1" applyFill="1" applyBorder="1" applyAlignment="1">
      <alignment horizontal="center" wrapText="1"/>
    </xf>
    <xf numFmtId="0" fontId="69" fillId="0" borderId="51" xfId="14" applyFont="1" applyFill="1" applyBorder="1" applyAlignment="1">
      <alignment horizontal="center" wrapText="1"/>
    </xf>
    <xf numFmtId="0" fontId="69" fillId="0" borderId="52" xfId="14" applyFont="1" applyFill="1" applyBorder="1" applyAlignment="1">
      <alignment horizontal="center" wrapText="1"/>
    </xf>
    <xf numFmtId="0" fontId="69" fillId="0" borderId="53" xfId="14" quotePrefix="1" applyFont="1" applyFill="1" applyBorder="1" applyAlignment="1">
      <alignment horizontal="center" wrapText="1"/>
    </xf>
    <xf numFmtId="0" fontId="69" fillId="0" borderId="54" xfId="14" quotePrefix="1" applyFont="1" applyFill="1" applyBorder="1" applyAlignment="1">
      <alignment horizontal="center" wrapText="1"/>
    </xf>
    <xf numFmtId="0" fontId="69" fillId="0" borderId="52" xfId="14" applyFont="1" applyFill="1" applyBorder="1" applyAlignment="1">
      <alignment horizontal="center" wrapText="1"/>
    </xf>
    <xf numFmtId="0" fontId="69" fillId="0" borderId="53" xfId="14" applyFont="1" applyFill="1" applyBorder="1" applyAlignment="1">
      <alignment horizontal="center" wrapText="1"/>
    </xf>
    <xf numFmtId="0" fontId="69" fillId="0" borderId="50" xfId="14" applyFont="1" applyFill="1" applyBorder="1" applyAlignment="1">
      <alignment horizontal="center" wrapText="1"/>
    </xf>
    <xf numFmtId="0" fontId="69" fillId="0" borderId="53" xfId="14" applyFont="1" applyFill="1" applyBorder="1" applyAlignment="1">
      <alignment horizontal="center" wrapText="1"/>
    </xf>
    <xf numFmtId="0" fontId="69" fillId="0" borderId="51" xfId="14" applyFont="1" applyFill="1" applyBorder="1" applyAlignment="1">
      <alignment horizontal="center" wrapText="1"/>
    </xf>
    <xf numFmtId="0" fontId="69" fillId="0" borderId="41" xfId="14" applyFont="1" applyFill="1" applyBorder="1" applyAlignment="1">
      <alignment horizontal="center" wrapText="1"/>
    </xf>
    <xf numFmtId="0" fontId="69" fillId="0" borderId="42" xfId="14" applyFont="1" applyFill="1" applyBorder="1" applyAlignment="1">
      <alignment horizontal="center" wrapText="1"/>
    </xf>
    <xf numFmtId="0" fontId="69" fillId="0" borderId="44" xfId="14" applyFont="1" applyFill="1" applyBorder="1" applyAlignment="1">
      <alignment horizontal="center" wrapText="1"/>
    </xf>
    <xf numFmtId="0" fontId="69" fillId="5" borderId="0" xfId="14" quotePrefix="1" applyFont="1" applyFill="1" applyBorder="1" applyAlignment="1">
      <alignment horizontal="right" wrapText="1" indent="1"/>
    </xf>
    <xf numFmtId="0" fontId="69" fillId="5" borderId="0" xfId="14" applyFont="1" applyFill="1" applyBorder="1" applyAlignment="1">
      <alignment horizontal="left" wrapText="1"/>
    </xf>
    <xf numFmtId="0" fontId="69" fillId="5" borderId="0" xfId="14" applyFont="1" applyFill="1" applyBorder="1" applyAlignment="1">
      <alignment horizontal="center" wrapText="1"/>
    </xf>
    <xf numFmtId="164" fontId="69" fillId="5" borderId="22" xfId="14" applyNumberFormat="1" applyFont="1" applyFill="1" applyBorder="1" applyAlignment="1">
      <alignment horizontal="center" wrapText="1"/>
    </xf>
    <xf numFmtId="164" fontId="69" fillId="5" borderId="55" xfId="14" applyNumberFormat="1" applyFont="1" applyFill="1" applyBorder="1" applyAlignment="1">
      <alignment horizontal="center" wrapText="1"/>
    </xf>
    <xf numFmtId="164" fontId="69" fillId="5" borderId="24" xfId="14" applyNumberFormat="1" applyFont="1" applyFill="1" applyBorder="1" applyAlignment="1">
      <alignment horizontal="center" wrapText="1"/>
    </xf>
    <xf numFmtId="164" fontId="69" fillId="5" borderId="23" xfId="14" applyNumberFormat="1" applyFont="1" applyFill="1" applyBorder="1" applyAlignment="1">
      <alignment horizontal="center" wrapText="1"/>
    </xf>
    <xf numFmtId="164" fontId="69" fillId="5" borderId="30" xfId="14" applyNumberFormat="1" applyFont="1" applyFill="1" applyBorder="1" applyAlignment="1">
      <alignment horizontal="center" wrapText="1"/>
    </xf>
    <xf numFmtId="172" fontId="69" fillId="6" borderId="22" xfId="1" applyNumberFormat="1" applyFont="1" applyFill="1" applyBorder="1" applyAlignment="1">
      <alignment horizontal="center" wrapText="1"/>
    </xf>
    <xf numFmtId="172" fontId="69" fillId="6" borderId="24" xfId="1" applyNumberFormat="1" applyFont="1" applyFill="1" applyBorder="1" applyAlignment="1">
      <alignment horizontal="center" wrapText="1"/>
    </xf>
    <xf numFmtId="164" fontId="69" fillId="6" borderId="23" xfId="14" applyNumberFormat="1" applyFont="1" applyFill="1" applyBorder="1" applyAlignment="1">
      <alignment horizontal="center" wrapText="1"/>
    </xf>
    <xf numFmtId="3" fontId="69" fillId="5" borderId="22" xfId="14" applyNumberFormat="1" applyFont="1" applyFill="1" applyBorder="1" applyAlignment="1">
      <alignment horizontal="right" wrapText="1"/>
    </xf>
    <xf numFmtId="3" fontId="69" fillId="5" borderId="24" xfId="14" applyNumberFormat="1" applyFont="1" applyFill="1" applyBorder="1" applyAlignment="1">
      <alignment horizontal="right" wrapText="1"/>
    </xf>
    <xf numFmtId="164" fontId="69" fillId="5" borderId="56" xfId="14" applyNumberFormat="1" applyFont="1" applyFill="1" applyBorder="1" applyAlignment="1">
      <alignment horizontal="right" wrapText="1" indent="2"/>
    </xf>
    <xf numFmtId="164" fontId="69" fillId="5" borderId="57" xfId="14" applyNumberFormat="1" applyFont="1" applyFill="1" applyBorder="1" applyAlignment="1">
      <alignment horizontal="right" wrapText="1" indent="2"/>
    </xf>
    <xf numFmtId="3" fontId="69" fillId="5" borderId="55" xfId="14" applyNumberFormat="1" applyFont="1" applyFill="1" applyBorder="1" applyAlignment="1">
      <alignment horizontal="right" wrapText="1"/>
    </xf>
    <xf numFmtId="10" fontId="69" fillId="5" borderId="57" xfId="14" applyNumberFormat="1" applyFont="1" applyFill="1" applyBorder="1" applyAlignment="1">
      <alignment wrapText="1"/>
    </xf>
    <xf numFmtId="172" fontId="67" fillId="6" borderId="22" xfId="1" applyNumberFormat="1" applyFont="1" applyFill="1" applyBorder="1"/>
    <xf numFmtId="3" fontId="52" fillId="6" borderId="24" xfId="0" applyNumberFormat="1" applyFont="1" applyFill="1" applyBorder="1"/>
    <xf numFmtId="164" fontId="67" fillId="6" borderId="23" xfId="40" applyNumberFormat="1" applyFont="1" applyFill="1" applyBorder="1"/>
    <xf numFmtId="0" fontId="70" fillId="0" borderId="0" xfId="14" applyFont="1" applyFill="1" applyBorder="1" applyAlignment="1">
      <alignment horizontal="right" wrapText="1" indent="1"/>
    </xf>
    <xf numFmtId="0" fontId="80" fillId="0" borderId="29" xfId="9" applyFont="1" applyBorder="1"/>
    <xf numFmtId="164" fontId="70" fillId="0" borderId="22" xfId="40" applyNumberFormat="1" applyFont="1" applyFill="1" applyBorder="1" applyAlignment="1">
      <alignment wrapText="1"/>
    </xf>
    <xf numFmtId="164" fontId="70" fillId="0" borderId="55" xfId="14" applyNumberFormat="1" applyFont="1" applyFill="1" applyBorder="1" applyAlignment="1">
      <alignment horizontal="center" wrapText="1"/>
    </xf>
    <xf numFmtId="164" fontId="70" fillId="0" borderId="24" xfId="14" applyNumberFormat="1" applyFont="1" applyFill="1" applyBorder="1" applyAlignment="1">
      <alignment horizontal="center" wrapText="1"/>
    </xf>
    <xf numFmtId="164" fontId="70" fillId="0" borderId="23" xfId="14" applyNumberFormat="1" applyFont="1" applyFill="1" applyBorder="1" applyAlignment="1">
      <alignment horizontal="center" wrapText="1"/>
    </xf>
    <xf numFmtId="164" fontId="70" fillId="0" borderId="30" xfId="14" applyNumberFormat="1" applyFont="1" applyFill="1" applyBorder="1" applyAlignment="1">
      <alignment horizontal="center" wrapText="1"/>
    </xf>
    <xf numFmtId="172" fontId="70" fillId="0" borderId="58" xfId="1" applyNumberFormat="1" applyFont="1" applyFill="1" applyBorder="1" applyAlignment="1">
      <alignment wrapText="1"/>
    </xf>
    <xf numFmtId="172" fontId="70" fillId="0" borderId="59" xfId="1" applyNumberFormat="1" applyFont="1" applyFill="1" applyBorder="1" applyAlignment="1">
      <alignment wrapText="1"/>
    </xf>
    <xf numFmtId="164" fontId="70" fillId="0" borderId="57" xfId="40" applyNumberFormat="1" applyFont="1" applyFill="1" applyBorder="1" applyAlignment="1">
      <alignment wrapText="1"/>
    </xf>
    <xf numFmtId="3" fontId="70" fillId="0" borderId="58" xfId="14" applyNumberFormat="1" applyFont="1" applyFill="1" applyBorder="1" applyAlignment="1">
      <alignment horizontal="right" wrapText="1"/>
    </xf>
    <xf numFmtId="3" fontId="70" fillId="0" borderId="59" xfId="14" applyNumberFormat="1" applyFont="1" applyFill="1" applyBorder="1" applyAlignment="1">
      <alignment horizontal="right" wrapText="1"/>
    </xf>
    <xf numFmtId="164" fontId="69" fillId="0" borderId="56" xfId="14" applyNumberFormat="1" applyFont="1" applyFill="1" applyBorder="1" applyAlignment="1">
      <alignment horizontal="right" wrapText="1" indent="2"/>
    </xf>
    <xf numFmtId="164" fontId="69" fillId="0" borderId="57" xfId="14" applyNumberFormat="1" applyFont="1" applyFill="1" applyBorder="1" applyAlignment="1">
      <alignment horizontal="right" wrapText="1" indent="2"/>
    </xf>
    <xf numFmtId="164" fontId="70" fillId="0" borderId="57" xfId="14" applyNumberFormat="1" applyFont="1" applyFill="1" applyBorder="1" applyAlignment="1">
      <alignment horizontal="right" wrapText="1" indent="2"/>
    </xf>
    <xf numFmtId="3" fontId="70" fillId="0" borderId="60" xfId="14" applyNumberFormat="1" applyFont="1" applyFill="1" applyBorder="1" applyAlignment="1">
      <alignment horizontal="right" wrapText="1"/>
    </xf>
    <xf numFmtId="164" fontId="70" fillId="0" borderId="56" xfId="14" applyNumberFormat="1" applyFont="1" applyFill="1" applyBorder="1" applyAlignment="1">
      <alignment horizontal="right" wrapText="1" indent="2"/>
    </xf>
    <xf numFmtId="3" fontId="70" fillId="0" borderId="22" xfId="14" applyNumberFormat="1" applyFont="1" applyFill="1" applyBorder="1" applyAlignment="1">
      <alignment horizontal="right" wrapText="1"/>
    </xf>
    <xf numFmtId="3" fontId="70" fillId="0" borderId="24" xfId="14" applyNumberFormat="1" applyFont="1" applyFill="1" applyBorder="1" applyAlignment="1">
      <alignment horizontal="right" wrapText="1"/>
    </xf>
    <xf numFmtId="164" fontId="80" fillId="0" borderId="23" xfId="40" applyNumberFormat="1" applyFont="1" applyBorder="1"/>
    <xf numFmtId="172" fontId="80" fillId="0" borderId="22" xfId="1" applyNumberFormat="1" applyFont="1" applyBorder="1"/>
    <xf numFmtId="3" fontId="73" fillId="0" borderId="24" xfId="0" applyNumberFormat="1" applyFont="1" applyBorder="1"/>
    <xf numFmtId="0" fontId="80" fillId="0" borderId="30" xfId="9" applyFont="1" applyBorder="1"/>
    <xf numFmtId="172" fontId="70" fillId="0" borderId="22" xfId="1" applyNumberFormat="1" applyFont="1" applyFill="1" applyBorder="1" applyAlignment="1">
      <alignment wrapText="1"/>
    </xf>
    <xf numFmtId="172" fontId="70" fillId="0" borderId="24" xfId="1" applyNumberFormat="1" applyFont="1" applyFill="1" applyBorder="1" applyAlignment="1">
      <alignment wrapText="1"/>
    </xf>
    <xf numFmtId="164" fontId="70" fillId="0" borderId="23" xfId="40" applyNumberFormat="1" applyFont="1" applyFill="1" applyBorder="1" applyAlignment="1">
      <alignment wrapText="1"/>
    </xf>
    <xf numFmtId="3" fontId="80" fillId="0" borderId="22" xfId="14" applyNumberFormat="1" applyFont="1" applyBorder="1"/>
    <xf numFmtId="3" fontId="80" fillId="0" borderId="24" xfId="14" applyNumberFormat="1" applyFont="1" applyBorder="1"/>
    <xf numFmtId="3" fontId="80" fillId="0" borderId="55" xfId="14" applyNumberFormat="1" applyFont="1" applyBorder="1"/>
    <xf numFmtId="0" fontId="73" fillId="0" borderId="34" xfId="0" applyFont="1" applyBorder="1"/>
    <xf numFmtId="3" fontId="70" fillId="0" borderId="55" xfId="14" applyNumberFormat="1" applyFont="1" applyFill="1" applyBorder="1" applyAlignment="1">
      <alignment horizontal="right" wrapText="1"/>
    </xf>
    <xf numFmtId="0" fontId="80" fillId="0" borderId="30" xfId="9" applyFont="1" applyBorder="1" applyAlignment="1">
      <alignment wrapText="1"/>
    </xf>
    <xf numFmtId="0" fontId="70" fillId="0" borderId="12" xfId="14" applyFont="1" applyFill="1" applyBorder="1" applyAlignment="1">
      <alignment horizontal="right" wrapText="1" indent="1"/>
    </xf>
    <xf numFmtId="0" fontId="80" fillId="0" borderId="31" xfId="9" applyFont="1" applyBorder="1"/>
    <xf numFmtId="0" fontId="70" fillId="0" borderId="12" xfId="14" applyFont="1" applyFill="1" applyBorder="1" applyAlignment="1">
      <alignment wrapText="1"/>
    </xf>
    <xf numFmtId="164" fontId="70" fillId="0" borderId="25" xfId="40" applyNumberFormat="1" applyFont="1" applyFill="1" applyBorder="1" applyAlignment="1">
      <alignment wrapText="1"/>
    </xf>
    <xf numFmtId="164" fontId="70" fillId="0" borderId="61" xfId="14" applyNumberFormat="1" applyFont="1" applyFill="1" applyBorder="1" applyAlignment="1">
      <alignment horizontal="center" wrapText="1"/>
    </xf>
    <xf numFmtId="164" fontId="70" fillId="0" borderId="27" xfId="14" applyNumberFormat="1" applyFont="1" applyFill="1" applyBorder="1" applyAlignment="1">
      <alignment horizontal="center" wrapText="1"/>
    </xf>
    <xf numFmtId="164" fontId="70" fillId="0" borderId="26" xfId="14" applyNumberFormat="1" applyFont="1" applyFill="1" applyBorder="1" applyAlignment="1">
      <alignment horizontal="center" wrapText="1"/>
    </xf>
    <xf numFmtId="164" fontId="70" fillId="0" borderId="31" xfId="14" applyNumberFormat="1" applyFont="1" applyFill="1" applyBorder="1" applyAlignment="1">
      <alignment horizontal="center" wrapText="1"/>
    </xf>
    <xf numFmtId="0" fontId="80" fillId="0" borderId="0" xfId="9" applyFont="1" applyBorder="1"/>
    <xf numFmtId="164" fontId="70" fillId="0" borderId="0" xfId="14" applyNumberFormat="1" applyFont="1" applyFill="1" applyBorder="1" applyAlignment="1">
      <alignment horizontal="center" wrapText="1"/>
    </xf>
    <xf numFmtId="3" fontId="70" fillId="0" borderId="0" xfId="14" applyNumberFormat="1" applyFont="1" applyFill="1" applyBorder="1" applyAlignment="1">
      <alignment horizontal="right" wrapText="1"/>
    </xf>
    <xf numFmtId="164" fontId="69" fillId="0" borderId="0" xfId="14" applyNumberFormat="1" applyFont="1" applyFill="1" applyBorder="1" applyAlignment="1">
      <alignment horizontal="right" wrapText="1" indent="2"/>
    </xf>
    <xf numFmtId="164" fontId="70" fillId="0" borderId="0" xfId="14" applyNumberFormat="1" applyFont="1" applyFill="1" applyBorder="1" applyAlignment="1">
      <alignment horizontal="right" wrapText="1" indent="2"/>
    </xf>
    <xf numFmtId="3" fontId="69" fillId="0" borderId="0" xfId="14" applyNumberFormat="1" applyFont="1" applyFill="1" applyBorder="1" applyAlignment="1">
      <alignment horizontal="right" wrapText="1"/>
    </xf>
    <xf numFmtId="164" fontId="80" fillId="0" borderId="0" xfId="40" applyNumberFormat="1" applyFont="1" applyBorder="1"/>
    <xf numFmtId="0" fontId="69" fillId="0" borderId="0" xfId="14" applyFont="1" applyFill="1" applyBorder="1" applyAlignment="1">
      <alignment horizontal="left" wrapText="1"/>
    </xf>
    <xf numFmtId="0" fontId="70" fillId="0" borderId="0" xfId="14" applyFont="1" applyFill="1" applyBorder="1" applyAlignment="1">
      <alignment horizontal="right" wrapText="1"/>
    </xf>
    <xf numFmtId="164" fontId="70" fillId="0" borderId="22" xfId="14" applyNumberFormat="1" applyFont="1" applyFill="1" applyBorder="1" applyAlignment="1">
      <alignment horizontal="center" wrapText="1"/>
    </xf>
    <xf numFmtId="164" fontId="70" fillId="0" borderId="30" xfId="14" applyNumberFormat="1" applyFont="1" applyFill="1" applyBorder="1" applyAlignment="1">
      <alignment horizontal="center" wrapText="1"/>
    </xf>
    <xf numFmtId="3" fontId="70" fillId="0" borderId="22" xfId="14" applyNumberFormat="1" applyFont="1" applyFill="1" applyBorder="1" applyAlignment="1">
      <alignment horizontal="right" wrapText="1"/>
    </xf>
    <xf numFmtId="164" fontId="69" fillId="0" borderId="23" xfId="14" applyNumberFormat="1" applyFont="1" applyFill="1" applyBorder="1" applyAlignment="1">
      <alignment horizontal="right" wrapText="1" indent="2"/>
    </xf>
    <xf numFmtId="164" fontId="70" fillId="0" borderId="23" xfId="14" applyNumberFormat="1" applyFont="1" applyFill="1" applyBorder="1" applyAlignment="1">
      <alignment horizontal="right" wrapText="1" indent="2"/>
    </xf>
    <xf numFmtId="3" fontId="80" fillId="0" borderId="0" xfId="14" applyNumberFormat="1" applyFont="1"/>
    <xf numFmtId="0" fontId="69" fillId="0" borderId="0" xfId="11" applyFont="1" applyFill="1" applyBorder="1" applyAlignment="1">
      <alignment horizontal="center"/>
    </xf>
    <xf numFmtId="164" fontId="69" fillId="5" borderId="38" xfId="16" applyNumberFormat="1" applyFont="1" applyFill="1" applyBorder="1" applyAlignment="1">
      <alignment wrapText="1"/>
    </xf>
    <xf numFmtId="164" fontId="69" fillId="0" borderId="0" xfId="16" applyNumberFormat="1" applyFont="1" applyFill="1" applyBorder="1" applyAlignment="1">
      <alignment wrapText="1"/>
    </xf>
    <xf numFmtId="3" fontId="69" fillId="5" borderId="38" xfId="16" applyNumberFormat="1" applyFont="1" applyFill="1" applyBorder="1" applyAlignment="1">
      <alignment wrapText="1"/>
    </xf>
    <xf numFmtId="164" fontId="70" fillId="0" borderId="39" xfId="16" applyNumberFormat="1" applyFont="1" applyFill="1" applyBorder="1" applyAlignment="1">
      <alignment wrapText="1"/>
    </xf>
    <xf numFmtId="0" fontId="69" fillId="0" borderId="62" xfId="16" applyFont="1" applyFill="1" applyBorder="1" applyAlignment="1">
      <alignment horizontal="center"/>
    </xf>
    <xf numFmtId="0" fontId="69" fillId="0" borderId="62" xfId="11" applyFont="1" applyFill="1" applyBorder="1" applyAlignment="1">
      <alignment horizontal="center"/>
    </xf>
    <xf numFmtId="0" fontId="69" fillId="0" borderId="63" xfId="11" applyFont="1" applyFill="1" applyBorder="1" applyAlignment="1">
      <alignment horizontal="center"/>
    </xf>
    <xf numFmtId="0" fontId="69" fillId="0" borderId="64" xfId="11" applyFont="1" applyFill="1" applyBorder="1" applyAlignment="1">
      <alignment horizontal="center"/>
    </xf>
    <xf numFmtId="177" fontId="69" fillId="0" borderId="62" xfId="1" applyNumberFormat="1" applyFont="1" applyFill="1" applyBorder="1" applyAlignment="1">
      <alignment horizontal="center"/>
    </xf>
    <xf numFmtId="177" fontId="69" fillId="0" borderId="63" xfId="1" applyNumberFormat="1" applyFont="1" applyFill="1" applyBorder="1" applyAlignment="1">
      <alignment horizontal="center"/>
    </xf>
    <xf numFmtId="177" fontId="69" fillId="0" borderId="64" xfId="1" applyNumberFormat="1" applyFont="1" applyFill="1" applyBorder="1" applyAlignment="1">
      <alignment horizontal="center"/>
    </xf>
    <xf numFmtId="164" fontId="69" fillId="5" borderId="65" xfId="16" applyNumberFormat="1" applyFont="1" applyFill="1" applyBorder="1" applyAlignment="1">
      <alignment wrapText="1"/>
    </xf>
    <xf numFmtId="164" fontId="69" fillId="5" borderId="66" xfId="16" applyNumberFormat="1" applyFont="1" applyFill="1" applyBorder="1" applyAlignment="1">
      <alignment wrapText="1"/>
    </xf>
    <xf numFmtId="164" fontId="69" fillId="5" borderId="67" xfId="16" applyNumberFormat="1" applyFont="1" applyFill="1" applyBorder="1" applyAlignment="1">
      <alignment wrapText="1"/>
    </xf>
    <xf numFmtId="3" fontId="69" fillId="5" borderId="65" xfId="16" applyNumberFormat="1" applyFont="1" applyFill="1" applyBorder="1" applyAlignment="1">
      <alignment wrapText="1"/>
    </xf>
    <xf numFmtId="3" fontId="69" fillId="5" borderId="66" xfId="16" applyNumberFormat="1" applyFont="1" applyFill="1" applyBorder="1"/>
    <xf numFmtId="3" fontId="69" fillId="5" borderId="68" xfId="16" applyNumberFormat="1" applyFont="1" applyFill="1" applyBorder="1"/>
    <xf numFmtId="164" fontId="70" fillId="0" borderId="65" xfId="16" applyNumberFormat="1" applyFont="1" applyFill="1" applyBorder="1" applyAlignment="1">
      <alignment wrapText="1"/>
    </xf>
    <xf numFmtId="164" fontId="70" fillId="0" borderId="66" xfId="16" applyNumberFormat="1" applyFont="1" applyFill="1" applyBorder="1" applyAlignment="1">
      <alignment wrapText="1"/>
    </xf>
    <xf numFmtId="164" fontId="70" fillId="0" borderId="32" xfId="16" applyNumberFormat="1" applyFont="1" applyFill="1" applyBorder="1" applyAlignment="1">
      <alignment wrapText="1"/>
    </xf>
    <xf numFmtId="3" fontId="70" fillId="0" borderId="65" xfId="16" applyNumberFormat="1" applyFont="1" applyFill="1" applyBorder="1" applyAlignment="1">
      <alignment wrapText="1"/>
    </xf>
    <xf numFmtId="3" fontId="70" fillId="0" borderId="69" xfId="0" applyNumberFormat="1" applyFont="1" applyFill="1" applyBorder="1" applyAlignment="1">
      <alignment horizontal="right" wrapText="1"/>
    </xf>
    <xf numFmtId="3" fontId="70" fillId="0" borderId="70" xfId="0" applyNumberFormat="1" applyFont="1" applyFill="1" applyBorder="1" applyAlignment="1">
      <alignment horizontal="right" wrapText="1"/>
    </xf>
    <xf numFmtId="0" fontId="73" fillId="0" borderId="0" xfId="0" applyFont="1" applyBorder="1"/>
    <xf numFmtId="0" fontId="70" fillId="0" borderId="65" xfId="16" applyNumberFormat="1" applyFont="1" applyFill="1" applyBorder="1" applyAlignment="1">
      <alignment wrapText="1"/>
    </xf>
    <xf numFmtId="164" fontId="70" fillId="0" borderId="71" xfId="16" applyNumberFormat="1" applyFont="1" applyFill="1" applyBorder="1" applyAlignment="1">
      <alignment wrapText="1"/>
    </xf>
    <xf numFmtId="3" fontId="70" fillId="0" borderId="71" xfId="16" applyNumberFormat="1" applyFont="1" applyFill="1" applyBorder="1" applyAlignment="1">
      <alignment wrapText="1"/>
    </xf>
    <xf numFmtId="3" fontId="70" fillId="0" borderId="72" xfId="0" applyNumberFormat="1" applyFont="1" applyFill="1" applyBorder="1" applyAlignment="1">
      <alignment horizontal="right" wrapText="1"/>
    </xf>
    <xf numFmtId="3" fontId="70" fillId="0" borderId="73" xfId="0" applyNumberFormat="1" applyFont="1" applyFill="1" applyBorder="1" applyAlignment="1">
      <alignment horizontal="right" wrapText="1"/>
    </xf>
    <xf numFmtId="3" fontId="80" fillId="0" borderId="137" xfId="14" applyNumberFormat="1" applyFont="1" applyBorder="1"/>
    <xf numFmtId="3" fontId="80" fillId="0" borderId="138" xfId="14" applyNumberFormat="1" applyFont="1" applyBorder="1"/>
    <xf numFmtId="3" fontId="80" fillId="0" borderId="139" xfId="14" applyNumberFormat="1" applyFont="1" applyBorder="1"/>
    <xf numFmtId="164" fontId="70" fillId="0" borderId="37" xfId="40" applyNumberFormat="1" applyFont="1" applyBorder="1"/>
    <xf numFmtId="164" fontId="70" fillId="0" borderId="38" xfId="40" applyNumberFormat="1" applyFont="1" applyBorder="1"/>
    <xf numFmtId="164" fontId="70" fillId="0" borderId="66" xfId="40" applyNumberFormat="1" applyFont="1" applyFill="1" applyBorder="1" applyAlignment="1">
      <alignment wrapText="1"/>
    </xf>
    <xf numFmtId="164" fontId="70" fillId="0" borderId="39" xfId="40" applyNumberFormat="1" applyFont="1" applyFill="1" applyBorder="1" applyAlignment="1">
      <alignment wrapText="1"/>
    </xf>
    <xf numFmtId="0" fontId="70" fillId="0" borderId="74" xfId="16" applyFont="1" applyFill="1" applyBorder="1" applyAlignment="1">
      <alignment wrapText="1"/>
    </xf>
    <xf numFmtId="0" fontId="70" fillId="0" borderId="75" xfId="16" applyFont="1" applyFill="1" applyBorder="1" applyAlignment="1">
      <alignment wrapText="1"/>
    </xf>
    <xf numFmtId="164" fontId="70" fillId="0" borderId="76" xfId="16" applyNumberFormat="1" applyFont="1" applyFill="1" applyBorder="1" applyAlignment="1">
      <alignment wrapText="1"/>
    </xf>
    <xf numFmtId="164" fontId="70" fillId="0" borderId="37" xfId="40" applyNumberFormat="1" applyFont="1" applyBorder="1"/>
    <xf numFmtId="0" fontId="69" fillId="0" borderId="40" xfId="16" applyFont="1" applyFill="1" applyBorder="1" applyAlignment="1">
      <alignment wrapText="1"/>
    </xf>
    <xf numFmtId="0" fontId="70" fillId="0" borderId="40" xfId="16" applyFont="1" applyFill="1" applyBorder="1" applyAlignment="1">
      <alignment wrapText="1"/>
    </xf>
    <xf numFmtId="164" fontId="70" fillId="0" borderId="40" xfId="16" applyNumberFormat="1" applyFont="1" applyFill="1" applyBorder="1" applyAlignment="1">
      <alignment wrapText="1"/>
    </xf>
    <xf numFmtId="3" fontId="70" fillId="0" borderId="40" xfId="16" applyNumberFormat="1" applyFont="1" applyFill="1" applyBorder="1" applyAlignment="1">
      <alignment wrapText="1"/>
    </xf>
    <xf numFmtId="3" fontId="70" fillId="0" borderId="40" xfId="0" applyNumberFormat="1" applyFont="1" applyFill="1" applyBorder="1" applyAlignment="1">
      <alignment horizontal="right" wrapText="1"/>
    </xf>
    <xf numFmtId="0" fontId="80" fillId="0" borderId="0" xfId="19" applyFont="1" applyAlignment="1">
      <alignment vertical="top"/>
    </xf>
    <xf numFmtId="0" fontId="80" fillId="0" borderId="0" xfId="19" applyFont="1" applyFill="1" applyAlignment="1">
      <alignment vertical="top"/>
    </xf>
    <xf numFmtId="49" fontId="82" fillId="0" borderId="0" xfId="19" applyNumberFormat="1" applyFont="1" applyFill="1" applyAlignment="1">
      <alignment vertical="top" wrapText="1"/>
    </xf>
    <xf numFmtId="0" fontId="80" fillId="0" borderId="0" xfId="19" applyFont="1" applyAlignment="1"/>
    <xf numFmtId="49" fontId="83" fillId="0" borderId="167" xfId="19" applyNumberFormat="1" applyFont="1" applyBorder="1" applyAlignment="1">
      <alignment wrapText="1"/>
    </xf>
    <xf numFmtId="49" fontId="83" fillId="0" borderId="168" xfId="19" applyNumberFormat="1" applyFont="1" applyFill="1" applyBorder="1" applyAlignment="1">
      <alignment vertical="top" wrapText="1"/>
    </xf>
    <xf numFmtId="0" fontId="67" fillId="0" borderId="0" xfId="19" applyFont="1" applyAlignment="1">
      <alignment horizontal="center"/>
    </xf>
    <xf numFmtId="49" fontId="83" fillId="0" borderId="19" xfId="19" applyNumberFormat="1" applyFont="1" applyFill="1" applyBorder="1" applyAlignment="1">
      <alignment horizontal="right" wrapText="1"/>
    </xf>
    <xf numFmtId="49" fontId="83" fillId="0" borderId="20" xfId="19" applyNumberFormat="1" applyFont="1" applyFill="1" applyBorder="1" applyAlignment="1">
      <alignment horizontal="right" wrapText="1"/>
    </xf>
    <xf numFmtId="49" fontId="83" fillId="0" borderId="21" xfId="19" applyNumberFormat="1" applyFont="1" applyFill="1" applyBorder="1" applyAlignment="1">
      <alignment horizontal="right" wrapText="1"/>
    </xf>
    <xf numFmtId="49" fontId="83" fillId="0" borderId="28" xfId="19" applyNumberFormat="1" applyFont="1" applyFill="1" applyBorder="1" applyAlignment="1">
      <alignment horizontal="right" wrapText="1"/>
    </xf>
    <xf numFmtId="3" fontId="80" fillId="0" borderId="0" xfId="19" applyNumberFormat="1" applyFont="1" applyAlignment="1">
      <alignment vertical="top"/>
    </xf>
    <xf numFmtId="164" fontId="80" fillId="0" borderId="0" xfId="40" applyNumberFormat="1" applyFont="1" applyAlignment="1">
      <alignment vertical="top"/>
    </xf>
    <xf numFmtId="170" fontId="84" fillId="0" borderId="0" xfId="19" applyNumberFormat="1" applyFont="1" applyAlignment="1">
      <alignment horizontal="left" vertical="top" wrapText="1"/>
    </xf>
    <xf numFmtId="1" fontId="84" fillId="0" borderId="0" xfId="19" applyNumberFormat="1" applyFont="1" applyAlignment="1">
      <alignment horizontal="center" vertical="top" wrapText="1"/>
    </xf>
    <xf numFmtId="49" fontId="84" fillId="0" borderId="0" xfId="19" applyNumberFormat="1" applyFont="1" applyAlignment="1">
      <alignment horizontal="center" vertical="top" wrapText="1"/>
    </xf>
    <xf numFmtId="169" fontId="84" fillId="0" borderId="0" xfId="19" applyNumberFormat="1" applyFont="1" applyAlignment="1">
      <alignment horizontal="right" vertical="top" wrapText="1"/>
    </xf>
    <xf numFmtId="172" fontId="84" fillId="0" borderId="22" xfId="1" applyNumberFormat="1" applyFont="1" applyBorder="1" applyAlignment="1">
      <alignment vertical="top" wrapText="1"/>
    </xf>
    <xf numFmtId="172" fontId="84" fillId="0" borderId="24" xfId="1" applyNumberFormat="1" applyFont="1" applyBorder="1" applyAlignment="1">
      <alignment vertical="top" wrapText="1"/>
    </xf>
    <xf numFmtId="172" fontId="84" fillId="0" borderId="23" xfId="1" applyNumberFormat="1" applyFont="1" applyBorder="1" applyAlignment="1">
      <alignment vertical="top" wrapText="1"/>
    </xf>
    <xf numFmtId="3" fontId="84" fillId="0" borderId="24" xfId="19" applyNumberFormat="1" applyFont="1" applyBorder="1" applyAlignment="1">
      <alignment vertical="top" wrapText="1"/>
    </xf>
    <xf numFmtId="3" fontId="84" fillId="0" borderId="23" xfId="19" applyNumberFormat="1" applyFont="1" applyBorder="1" applyAlignment="1">
      <alignment vertical="top" wrapText="1"/>
    </xf>
    <xf numFmtId="172" fontId="80" fillId="0" borderId="30" xfId="1" applyNumberFormat="1" applyFont="1" applyBorder="1" applyAlignment="1">
      <alignment vertical="top"/>
    </xf>
    <xf numFmtId="172" fontId="80" fillId="0" borderId="22" xfId="1" applyNumberFormat="1" applyFont="1" applyBorder="1" applyAlignment="1">
      <alignment vertical="top"/>
    </xf>
    <xf numFmtId="172" fontId="80" fillId="0" borderId="24" xfId="1" applyNumberFormat="1" applyFont="1" applyBorder="1" applyAlignment="1">
      <alignment vertical="top"/>
    </xf>
    <xf numFmtId="172" fontId="80" fillId="0" borderId="23" xfId="1" applyNumberFormat="1" applyFont="1" applyBorder="1" applyAlignment="1">
      <alignment vertical="top"/>
    </xf>
    <xf numFmtId="3" fontId="80" fillId="0" borderId="24" xfId="19" applyNumberFormat="1" applyFont="1" applyBorder="1" applyAlignment="1">
      <alignment vertical="top"/>
    </xf>
    <xf numFmtId="3" fontId="80" fillId="0" borderId="23" xfId="19" applyNumberFormat="1" applyFont="1" applyBorder="1" applyAlignment="1">
      <alignment vertical="top"/>
    </xf>
    <xf numFmtId="3" fontId="84" fillId="0" borderId="169" xfId="19" applyNumberFormat="1" applyFont="1" applyFill="1" applyBorder="1" applyAlignment="1">
      <alignment horizontal="right" vertical="top"/>
    </xf>
    <xf numFmtId="3" fontId="84" fillId="0" borderId="170" xfId="19" applyNumberFormat="1" applyFont="1" applyFill="1" applyBorder="1" applyAlignment="1">
      <alignment horizontal="right" vertical="top"/>
    </xf>
    <xf numFmtId="0" fontId="80" fillId="0" borderId="0" xfId="14" applyFont="1" applyFill="1" applyBorder="1" applyAlignment="1">
      <alignment horizontal="left" vertical="top" wrapText="1"/>
    </xf>
    <xf numFmtId="0" fontId="80" fillId="0" borderId="0" xfId="14" applyFont="1" applyAlignment="1"/>
    <xf numFmtId="0" fontId="73" fillId="0" borderId="0" xfId="0" applyFont="1" applyAlignment="1">
      <alignment horizontal="left" vertical="top" wrapText="1"/>
    </xf>
    <xf numFmtId="0" fontId="69" fillId="0" borderId="2" xfId="16" applyFont="1" applyFill="1" applyBorder="1" applyAlignment="1">
      <alignment horizontal="left"/>
    </xf>
    <xf numFmtId="0" fontId="69" fillId="0" borderId="6" xfId="16" applyFont="1" applyFill="1" applyBorder="1" applyAlignment="1">
      <alignment horizontal="left"/>
    </xf>
    <xf numFmtId="0" fontId="67" fillId="0" borderId="0" xfId="0" applyFont="1" applyFill="1" applyBorder="1" applyAlignment="1">
      <alignment horizontal="left" wrapText="1"/>
    </xf>
    <xf numFmtId="49" fontId="80" fillId="0" borderId="0" xfId="0" applyNumberFormat="1" applyFont="1" applyFill="1" applyBorder="1" applyAlignment="1">
      <alignment horizontal="left" wrapText="1"/>
    </xf>
    <xf numFmtId="0" fontId="80" fillId="0" borderId="0" xfId="0" applyFont="1" applyFill="1" applyBorder="1" applyAlignment="1">
      <alignment wrapText="1"/>
    </xf>
    <xf numFmtId="49" fontId="80" fillId="0" borderId="0" xfId="0" applyNumberFormat="1" applyFont="1" applyFill="1" applyBorder="1" applyAlignment="1">
      <alignment horizontal="center" wrapText="1"/>
    </xf>
    <xf numFmtId="0" fontId="67" fillId="0" borderId="0" xfId="0" applyFont="1" applyBorder="1"/>
    <xf numFmtId="49" fontId="80" fillId="0" borderId="0" xfId="0" applyNumberFormat="1" applyFont="1" applyFill="1" applyBorder="1" applyAlignment="1">
      <alignment horizontal="left"/>
    </xf>
    <xf numFmtId="0" fontId="67" fillId="0" borderId="0" xfId="0" applyFont="1" applyFill="1" applyBorder="1" applyAlignment="1">
      <alignment wrapText="1"/>
    </xf>
    <xf numFmtId="0" fontId="73" fillId="0" borderId="0" xfId="0" applyFont="1" applyAlignment="1">
      <alignment horizontal="center"/>
    </xf>
    <xf numFmtId="49" fontId="67" fillId="0" borderId="0" xfId="0" applyNumberFormat="1" applyFont="1" applyFill="1" applyBorder="1" applyAlignment="1">
      <alignment horizontal="center" wrapText="1"/>
    </xf>
    <xf numFmtId="0" fontId="67" fillId="0" borderId="0" xfId="0" applyFont="1" applyFill="1" applyBorder="1" applyAlignment="1">
      <alignment horizontal="center" wrapText="1"/>
    </xf>
    <xf numFmtId="0" fontId="80" fillId="0" borderId="0" xfId="0" applyFont="1" applyFill="1" applyBorder="1" applyAlignment="1">
      <alignment horizontal="center" wrapText="1"/>
    </xf>
    <xf numFmtId="0" fontId="67" fillId="0" borderId="0" xfId="0" applyFont="1" applyFill="1" applyBorder="1" applyAlignment="1">
      <alignment horizontal="right" wrapText="1"/>
    </xf>
    <xf numFmtId="49" fontId="67" fillId="0" borderId="0" xfId="0" applyNumberFormat="1" applyFont="1" applyBorder="1" applyAlignment="1">
      <alignment horizontal="center"/>
    </xf>
    <xf numFmtId="49" fontId="67" fillId="0" borderId="0" xfId="0" applyNumberFormat="1" applyFont="1" applyBorder="1"/>
    <xf numFmtId="49" fontId="67" fillId="0" borderId="0" xfId="0" applyNumberFormat="1" applyFont="1" applyBorder="1" applyAlignment="1">
      <alignment horizontal="center" wrapText="1"/>
    </xf>
    <xf numFmtId="49" fontId="73" fillId="0" borderId="0" xfId="0" applyNumberFormat="1" applyFont="1" applyBorder="1" applyAlignment="1">
      <alignment horizontal="center"/>
    </xf>
    <xf numFmtId="0" fontId="73" fillId="0" borderId="0" xfId="0" applyFont="1" applyBorder="1" applyAlignment="1">
      <alignment horizontal="center"/>
    </xf>
    <xf numFmtId="0" fontId="73" fillId="0" borderId="0" xfId="0" applyFont="1" applyFill="1" applyAlignment="1">
      <alignment horizontal="center"/>
    </xf>
    <xf numFmtId="0" fontId="73" fillId="0" borderId="0" xfId="0" applyFont="1" applyAlignment="1">
      <alignment horizontal="left"/>
    </xf>
    <xf numFmtId="0" fontId="69" fillId="0" borderId="12" xfId="14" applyFont="1" applyFill="1" applyBorder="1" applyAlignment="1">
      <alignment horizontal="left" wrapText="1"/>
    </xf>
    <xf numFmtId="0" fontId="80" fillId="0" borderId="0" xfId="12" applyFont="1" applyFill="1" applyAlignment="1">
      <alignment vertical="top"/>
    </xf>
    <xf numFmtId="0" fontId="80" fillId="0" borderId="0" xfId="12" applyFont="1" applyFill="1" applyAlignment="1">
      <alignment horizontal="center" vertical="top"/>
    </xf>
    <xf numFmtId="49" fontId="84" fillId="0" borderId="0" xfId="12" applyNumberFormat="1" applyFont="1" applyFill="1" applyAlignment="1">
      <alignment horizontal="center" vertical="top" wrapText="1"/>
    </xf>
    <xf numFmtId="169" fontId="84" fillId="0" borderId="0" xfId="12" applyNumberFormat="1" applyFont="1" applyFill="1" applyAlignment="1">
      <alignment horizontal="right" vertical="top" wrapText="1"/>
    </xf>
    <xf numFmtId="0" fontId="67" fillId="0" borderId="0" xfId="12" applyFont="1" applyFill="1" applyAlignment="1">
      <alignment horizontal="center" vertical="top"/>
    </xf>
    <xf numFmtId="3" fontId="84" fillId="0" borderId="24" xfId="12" applyNumberFormat="1" applyFont="1" applyFill="1" applyBorder="1" applyAlignment="1">
      <alignment horizontal="right" vertical="top" wrapText="1"/>
    </xf>
    <xf numFmtId="3" fontId="84" fillId="0" borderId="23" xfId="12" applyNumberFormat="1" applyFont="1" applyFill="1" applyBorder="1" applyAlignment="1">
      <alignment horizontal="right" vertical="top" wrapText="1"/>
    </xf>
    <xf numFmtId="3" fontId="80" fillId="0" borderId="24" xfId="12" applyNumberFormat="1" applyFont="1" applyFill="1" applyBorder="1" applyAlignment="1">
      <alignment vertical="top"/>
    </xf>
    <xf numFmtId="3" fontId="80" fillId="0" borderId="23" xfId="12" applyNumberFormat="1" applyFont="1" applyFill="1" applyBorder="1" applyAlignment="1">
      <alignment vertical="top"/>
    </xf>
    <xf numFmtId="3" fontId="84" fillId="0" borderId="171" xfId="19" applyNumberFormat="1" applyFont="1" applyFill="1" applyBorder="1" applyAlignment="1">
      <alignment horizontal="right" vertical="top"/>
    </xf>
    <xf numFmtId="3" fontId="84" fillId="0" borderId="172" xfId="19" applyNumberFormat="1" applyFont="1" applyFill="1" applyBorder="1" applyAlignment="1">
      <alignment horizontal="right" vertical="top"/>
    </xf>
    <xf numFmtId="3" fontId="84" fillId="0" borderId="22" xfId="19" applyNumberFormat="1" applyFont="1" applyFill="1" applyBorder="1" applyAlignment="1">
      <alignment horizontal="right" vertical="top"/>
    </xf>
    <xf numFmtId="3" fontId="84" fillId="0" borderId="30" xfId="19" applyNumberFormat="1" applyFont="1" applyFill="1" applyBorder="1" applyAlignment="1">
      <alignment horizontal="right" vertical="top"/>
    </xf>
    <xf numFmtId="0" fontId="80" fillId="0" borderId="0" xfId="0" applyFont="1" applyFill="1" applyBorder="1" applyAlignment="1"/>
    <xf numFmtId="0" fontId="67" fillId="0" borderId="0" xfId="0" applyFont="1" applyAlignment="1">
      <alignment horizontal="left" vertical="top"/>
    </xf>
    <xf numFmtId="49" fontId="83" fillId="0" borderId="0" xfId="0" applyNumberFormat="1" applyFont="1" applyFill="1" applyBorder="1" applyAlignment="1">
      <alignment wrapText="1"/>
    </xf>
    <xf numFmtId="49" fontId="83" fillId="0" borderId="77" xfId="0" applyNumberFormat="1" applyFont="1" applyFill="1" applyBorder="1" applyAlignment="1">
      <alignment wrapText="1"/>
    </xf>
    <xf numFmtId="49" fontId="83" fillId="0" borderId="78" xfId="0" applyNumberFormat="1" applyFont="1" applyFill="1" applyBorder="1" applyAlignment="1">
      <alignment horizontal="center" wrapText="1"/>
    </xf>
    <xf numFmtId="49" fontId="83" fillId="0" borderId="78" xfId="0" applyNumberFormat="1" applyFont="1" applyFill="1" applyBorder="1" applyAlignment="1">
      <alignment wrapText="1"/>
    </xf>
    <xf numFmtId="49" fontId="83" fillId="0" borderId="79" xfId="0" applyNumberFormat="1" applyFont="1" applyFill="1" applyBorder="1" applyAlignment="1">
      <alignment horizontal="right" wrapText="1" indent="1"/>
    </xf>
    <xf numFmtId="49" fontId="83" fillId="0" borderId="80" xfId="0" applyNumberFormat="1" applyFont="1" applyFill="1" applyBorder="1" applyAlignment="1">
      <alignment horizontal="right" wrapText="1" indent="1"/>
    </xf>
    <xf numFmtId="49" fontId="83" fillId="0" borderId="81" xfId="0" applyNumberFormat="1" applyFont="1" applyFill="1" applyBorder="1" applyAlignment="1">
      <alignment horizontal="right" wrapText="1" indent="1"/>
    </xf>
    <xf numFmtId="49" fontId="83" fillId="0" borderId="82" xfId="0" applyNumberFormat="1" applyFont="1" applyFill="1" applyBorder="1" applyAlignment="1">
      <alignment horizontal="right" wrapText="1" indent="1"/>
    </xf>
    <xf numFmtId="49" fontId="83" fillId="7" borderId="83" xfId="0" applyNumberFormat="1" applyFont="1" applyFill="1" applyBorder="1" applyAlignment="1">
      <alignment vertical="top" wrapText="1"/>
    </xf>
    <xf numFmtId="172" fontId="83" fillId="7" borderId="84" xfId="1" applyNumberFormat="1" applyFont="1" applyFill="1" applyBorder="1" applyAlignment="1">
      <alignment vertical="top" wrapText="1"/>
    </xf>
    <xf numFmtId="37" fontId="83" fillId="7" borderId="78" xfId="1" applyNumberFormat="1" applyFont="1" applyFill="1" applyBorder="1" applyAlignment="1">
      <alignment vertical="top" wrapText="1"/>
    </xf>
    <xf numFmtId="172" fontId="83" fillId="7" borderId="78" xfId="1" applyNumberFormat="1" applyFont="1" applyFill="1" applyBorder="1" applyAlignment="1">
      <alignment vertical="top" wrapText="1"/>
    </xf>
    <xf numFmtId="172" fontId="83" fillId="7" borderId="85" xfId="1" applyNumberFormat="1" applyFont="1" applyFill="1" applyBorder="1" applyAlignment="1">
      <alignment vertical="top" wrapText="1"/>
    </xf>
    <xf numFmtId="172" fontId="67" fillId="7" borderId="84" xfId="1" applyNumberFormat="1" applyFont="1" applyFill="1" applyBorder="1" applyAlignment="1">
      <alignment horizontal="right" indent="1"/>
    </xf>
    <xf numFmtId="172" fontId="67" fillId="7" borderId="78" xfId="1" applyNumberFormat="1" applyFont="1" applyFill="1" applyBorder="1" applyAlignment="1">
      <alignment horizontal="right" indent="1"/>
    </xf>
    <xf numFmtId="3" fontId="67" fillId="7" borderId="86" xfId="0" applyNumberFormat="1" applyFont="1" applyFill="1" applyBorder="1" applyAlignment="1">
      <alignment horizontal="right" indent="1"/>
    </xf>
    <xf numFmtId="0" fontId="67" fillId="0" borderId="0" xfId="0" applyFont="1" applyFill="1" applyBorder="1" applyAlignment="1"/>
    <xf numFmtId="49" fontId="80" fillId="0" borderId="0" xfId="0" applyNumberFormat="1" applyFont="1" applyFill="1" applyBorder="1" applyAlignment="1">
      <alignment horizontal="center"/>
    </xf>
    <xf numFmtId="49" fontId="84" fillId="0" borderId="0" xfId="0" applyNumberFormat="1" applyFont="1" applyFill="1" applyBorder="1" applyAlignment="1">
      <alignment wrapText="1"/>
    </xf>
    <xf numFmtId="37" fontId="84" fillId="0" borderId="87" xfId="1" applyNumberFormat="1" applyFont="1" applyFill="1" applyBorder="1" applyAlignment="1">
      <alignment wrapText="1"/>
    </xf>
    <xf numFmtId="37" fontId="84" fillId="0" borderId="0" xfId="1" applyNumberFormat="1" applyFont="1" applyFill="1" applyBorder="1" applyAlignment="1">
      <alignment wrapText="1"/>
    </xf>
    <xf numFmtId="37" fontId="84" fillId="0" borderId="88" xfId="1" applyNumberFormat="1" applyFont="1" applyFill="1" applyBorder="1" applyAlignment="1">
      <alignment wrapText="1"/>
    </xf>
    <xf numFmtId="37" fontId="84" fillId="0" borderId="87" xfId="1" applyNumberFormat="1" applyFont="1" applyFill="1" applyBorder="1" applyAlignment="1"/>
    <xf numFmtId="37" fontId="84" fillId="0" borderId="0" xfId="1" applyNumberFormat="1" applyFont="1" applyFill="1" applyBorder="1" applyAlignment="1">
      <alignment horizontal="right" indent="1"/>
    </xf>
    <xf numFmtId="37" fontId="84" fillId="0" borderId="88" xfId="1" applyNumberFormat="1" applyFont="1" applyFill="1" applyBorder="1" applyAlignment="1">
      <alignment horizontal="right" indent="1"/>
    </xf>
    <xf numFmtId="172" fontId="84" fillId="0" borderId="0" xfId="1" applyNumberFormat="1" applyFont="1" applyFill="1" applyBorder="1" applyAlignment="1">
      <alignment horizontal="right" indent="1"/>
    </xf>
    <xf numFmtId="172" fontId="84" fillId="0" borderId="88" xfId="1" applyNumberFormat="1" applyFont="1" applyFill="1" applyBorder="1" applyAlignment="1">
      <alignment horizontal="right" indent="1"/>
    </xf>
    <xf numFmtId="3" fontId="84" fillId="0" borderId="89" xfId="0" applyNumberFormat="1" applyFont="1" applyFill="1" applyBorder="1" applyAlignment="1">
      <alignment horizontal="right" indent="1"/>
    </xf>
    <xf numFmtId="3" fontId="80" fillId="0" borderId="0" xfId="0" applyNumberFormat="1" applyFont="1" applyFill="1" applyBorder="1" applyAlignment="1"/>
    <xf numFmtId="49" fontId="80" fillId="0" borderId="0" xfId="0" quotePrefix="1" applyNumberFormat="1" applyFont="1" applyFill="1" applyBorder="1" applyAlignment="1">
      <alignment horizontal="center"/>
    </xf>
    <xf numFmtId="0" fontId="80" fillId="0" borderId="0" xfId="0" applyFont="1" applyFill="1" applyBorder="1" applyAlignment="1">
      <alignment horizontal="center"/>
    </xf>
    <xf numFmtId="3" fontId="84" fillId="0" borderId="0" xfId="0" applyNumberFormat="1" applyFont="1" applyFill="1" applyBorder="1" applyAlignment="1">
      <alignment horizontal="right" indent="1"/>
    </xf>
    <xf numFmtId="0" fontId="80" fillId="0" borderId="0" xfId="0" applyFont="1" applyFill="1" applyBorder="1" applyAlignment="1">
      <alignment horizontal="left" vertical="top" wrapText="1"/>
    </xf>
    <xf numFmtId="0" fontId="73" fillId="0" borderId="0" xfId="15" applyFont="1"/>
    <xf numFmtId="0" fontId="52" fillId="0" borderId="28" xfId="15" applyFont="1" applyBorder="1" applyAlignment="1">
      <alignment horizontal="center" wrapText="1"/>
    </xf>
    <xf numFmtId="0" fontId="73" fillId="0" borderId="0" xfId="15" applyFont="1" applyAlignment="1">
      <alignment horizontal="center" wrapText="1"/>
    </xf>
    <xf numFmtId="3" fontId="52" fillId="19" borderId="28" xfId="15" applyNumberFormat="1" applyFont="1" applyFill="1" applyBorder="1" applyAlignment="1">
      <alignment horizontal="right" vertical="top"/>
    </xf>
    <xf numFmtId="3" fontId="52" fillId="10" borderId="28" xfId="15" applyNumberFormat="1" applyFont="1" applyFill="1" applyBorder="1" applyAlignment="1">
      <alignment horizontal="right" vertical="top"/>
    </xf>
    <xf numFmtId="164" fontId="73" fillId="0" borderId="0" xfId="40" applyNumberFormat="1" applyFont="1"/>
    <xf numFmtId="0" fontId="52" fillId="0" borderId="28" xfId="15" applyFont="1" applyBorder="1"/>
    <xf numFmtId="0" fontId="52" fillId="0" borderId="28" xfId="15" applyFont="1" applyBorder="1" applyAlignment="1">
      <alignment horizontal="left" wrapText="1"/>
    </xf>
    <xf numFmtId="0" fontId="52" fillId="0" borderId="0" xfId="15" applyFont="1" applyAlignment="1">
      <alignment wrapText="1"/>
    </xf>
    <xf numFmtId="0" fontId="73" fillId="0" borderId="29" xfId="15" applyFont="1" applyBorder="1"/>
    <xf numFmtId="0" fontId="73" fillId="0" borderId="30" xfId="15" applyFont="1" applyBorder="1"/>
    <xf numFmtId="0" fontId="73" fillId="0" borderId="31" xfId="15" applyFont="1" applyBorder="1"/>
    <xf numFmtId="0" fontId="73" fillId="0" borderId="29" xfId="15" applyFont="1" applyFill="1" applyBorder="1" applyAlignment="1">
      <alignment vertical="top"/>
    </xf>
    <xf numFmtId="0" fontId="73" fillId="0" borderId="30" xfId="15" applyFont="1" applyFill="1" applyBorder="1" applyAlignment="1">
      <alignment vertical="top"/>
    </xf>
    <xf numFmtId="0" fontId="73" fillId="0" borderId="31" xfId="15" applyFont="1" applyFill="1" applyBorder="1" applyAlignment="1">
      <alignment vertical="top"/>
    </xf>
    <xf numFmtId="3" fontId="73" fillId="0" borderId="29" xfId="15" applyNumberFormat="1" applyFont="1" applyFill="1" applyBorder="1" applyAlignment="1">
      <alignment horizontal="right" vertical="top"/>
    </xf>
    <xf numFmtId="172" fontId="73" fillId="0" borderId="29" xfId="1" applyNumberFormat="1" applyFont="1" applyFill="1" applyBorder="1"/>
    <xf numFmtId="3" fontId="73" fillId="0" borderId="30" xfId="15" applyNumberFormat="1" applyFont="1" applyFill="1" applyBorder="1" applyAlignment="1">
      <alignment horizontal="right" vertical="top"/>
    </xf>
    <xf numFmtId="172" fontId="73" fillId="0" borderId="30" xfId="1" applyNumberFormat="1" applyFont="1" applyFill="1" applyBorder="1"/>
    <xf numFmtId="3" fontId="73" fillId="0" borderId="31" xfId="15" applyNumberFormat="1" applyFont="1" applyFill="1" applyBorder="1" applyAlignment="1">
      <alignment horizontal="right" vertical="top"/>
    </xf>
    <xf numFmtId="172" fontId="73" fillId="0" borderId="31" xfId="1" applyNumberFormat="1" applyFont="1" applyFill="1" applyBorder="1"/>
    <xf numFmtId="0" fontId="52" fillId="0" borderId="0" xfId="15" applyFont="1" applyAlignment="1">
      <alignment horizontal="center" wrapText="1"/>
    </xf>
    <xf numFmtId="3" fontId="52" fillId="0" borderId="28" xfId="15" applyNumberFormat="1" applyFont="1" applyFill="1" applyBorder="1" applyAlignment="1">
      <alignment horizontal="right" vertical="top"/>
    </xf>
    <xf numFmtId="0" fontId="73" fillId="0" borderId="29" xfId="15" applyFont="1" applyBorder="1" applyAlignment="1">
      <alignment horizontal="center"/>
    </xf>
    <xf numFmtId="3" fontId="73" fillId="0" borderId="29" xfId="15" applyNumberFormat="1" applyFont="1" applyBorder="1"/>
    <xf numFmtId="0" fontId="73" fillId="0" borderId="30" xfId="15" applyFont="1" applyBorder="1" applyAlignment="1">
      <alignment horizontal="center"/>
    </xf>
    <xf numFmtId="3" fontId="73" fillId="0" borderId="30" xfId="15" applyNumberFormat="1" applyFont="1" applyBorder="1"/>
    <xf numFmtId="0" fontId="73" fillId="0" borderId="31" xfId="15" applyFont="1" applyBorder="1" applyAlignment="1">
      <alignment horizontal="center"/>
    </xf>
    <xf numFmtId="3" fontId="73" fillId="0" borderId="31" xfId="15" applyNumberFormat="1" applyFont="1" applyBorder="1"/>
    <xf numFmtId="0" fontId="52" fillId="0" borderId="28" xfId="15" applyFont="1" applyBorder="1" applyAlignment="1">
      <alignment horizontal="center"/>
    </xf>
    <xf numFmtId="0" fontId="52" fillId="0" borderId="28" xfId="15" applyFont="1" applyFill="1" applyBorder="1" applyAlignment="1">
      <alignment horizontal="center" wrapText="1"/>
    </xf>
    <xf numFmtId="3" fontId="52" fillId="5" borderId="28" xfId="15" applyNumberFormat="1" applyFont="1" applyFill="1" applyBorder="1" applyAlignment="1">
      <alignment horizontal="right" vertical="top"/>
    </xf>
    <xf numFmtId="3" fontId="52" fillId="5" borderId="28" xfId="15" applyNumberFormat="1" applyFont="1" applyFill="1" applyBorder="1"/>
    <xf numFmtId="0" fontId="73" fillId="0" borderId="28" xfId="15" quotePrefix="1" applyFont="1" applyBorder="1" applyAlignment="1">
      <alignment horizontal="center"/>
    </xf>
    <xf numFmtId="0" fontId="73" fillId="0" borderId="0" xfId="15" applyFont="1" applyAlignment="1">
      <alignment horizontal="left" wrapText="1"/>
    </xf>
    <xf numFmtId="0" fontId="66" fillId="0" borderId="0" xfId="9" applyFont="1" applyBorder="1" applyAlignment="1">
      <alignment wrapText="1"/>
    </xf>
    <xf numFmtId="0" fontId="61" fillId="0" borderId="0" xfId="9" applyFont="1"/>
    <xf numFmtId="0" fontId="66" fillId="0" borderId="0" xfId="9" applyFont="1" applyBorder="1" applyAlignment="1">
      <alignment horizontal="left" wrapText="1"/>
    </xf>
    <xf numFmtId="0" fontId="66" fillId="0" borderId="12" xfId="9" applyFont="1" applyBorder="1" applyAlignment="1">
      <alignment horizontal="left" wrapText="1"/>
    </xf>
    <xf numFmtId="0" fontId="66" fillId="0" borderId="12" xfId="9" applyFont="1" applyBorder="1" applyAlignment="1">
      <alignment wrapText="1"/>
    </xf>
    <xf numFmtId="0" fontId="61" fillId="0" borderId="0" xfId="9" applyFont="1" applyAlignment="1">
      <alignment wrapText="1"/>
    </xf>
    <xf numFmtId="0" fontId="66" fillId="0" borderId="0" xfId="9" applyFont="1" applyBorder="1" applyAlignment="1">
      <alignment horizontal="center"/>
    </xf>
    <xf numFmtId="49" fontId="66" fillId="0" borderId="12" xfId="9" applyNumberFormat="1" applyFont="1" applyBorder="1" applyAlignment="1">
      <alignment horizontal="center"/>
    </xf>
    <xf numFmtId="0" fontId="66" fillId="0" borderId="12" xfId="9" applyFont="1" applyBorder="1" applyAlignment="1">
      <alignment horizontal="left" wrapText="1"/>
    </xf>
    <xf numFmtId="0" fontId="66" fillId="0" borderId="12" xfId="9" applyFont="1" applyBorder="1" applyAlignment="1">
      <alignment horizontal="center" wrapText="1"/>
    </xf>
    <xf numFmtId="0" fontId="66" fillId="0" borderId="14" xfId="9" applyFont="1" applyBorder="1" applyAlignment="1">
      <alignment horizontal="center" wrapText="1"/>
    </xf>
    <xf numFmtId="49" fontId="66" fillId="5" borderId="0" xfId="9" quotePrefix="1" applyNumberFormat="1" applyFont="1" applyFill="1" applyAlignment="1">
      <alignment horizontal="center"/>
    </xf>
    <xf numFmtId="0" fontId="66" fillId="5" borderId="0" xfId="9" applyFont="1" applyFill="1" applyAlignment="1">
      <alignment horizontal="left" wrapText="1"/>
    </xf>
    <xf numFmtId="3" fontId="66" fillId="5" borderId="0" xfId="9" applyNumberFormat="1" applyFont="1" applyFill="1" applyAlignment="1">
      <alignment horizontal="right" indent="1"/>
    </xf>
    <xf numFmtId="3" fontId="66" fillId="5" borderId="0" xfId="9" applyNumberFormat="1" applyFont="1" applyFill="1" applyAlignment="1">
      <alignment horizontal="right" indent="2"/>
    </xf>
    <xf numFmtId="9" fontId="66" fillId="5" borderId="0" xfId="9" applyNumberFormat="1" applyFont="1" applyFill="1" applyAlignment="1">
      <alignment horizontal="right" wrapText="1" indent="1"/>
    </xf>
    <xf numFmtId="49" fontId="61" fillId="0" borderId="0" xfId="9" applyNumberFormat="1" applyFont="1" applyAlignment="1">
      <alignment horizontal="center"/>
    </xf>
    <xf numFmtId="0" fontId="61" fillId="0" borderId="0" xfId="9" applyFont="1" applyAlignment="1">
      <alignment horizontal="left" wrapText="1"/>
    </xf>
    <xf numFmtId="0" fontId="34" fillId="0" borderId="0" xfId="33" applyFont="1" applyFill="1" applyBorder="1" applyAlignment="1">
      <alignment wrapText="1"/>
    </xf>
    <xf numFmtId="3" fontId="61" fillId="0" borderId="0" xfId="9" applyNumberFormat="1" applyFont="1" applyAlignment="1">
      <alignment horizontal="right" indent="1"/>
    </xf>
    <xf numFmtId="3" fontId="61" fillId="0" borderId="0" xfId="9" applyNumberFormat="1" applyFont="1" applyAlignment="1">
      <alignment horizontal="right" indent="2"/>
    </xf>
    <xf numFmtId="9" fontId="61" fillId="0" borderId="0" xfId="9" applyNumberFormat="1" applyFont="1" applyAlignment="1">
      <alignment horizontal="right" wrapText="1" indent="1"/>
    </xf>
    <xf numFmtId="49" fontId="24" fillId="0" borderId="0" xfId="9" applyNumberFormat="1" applyFont="1" applyAlignment="1">
      <alignment horizontal="center"/>
    </xf>
    <xf numFmtId="165" fontId="34" fillId="0" borderId="0" xfId="14" applyNumberFormat="1" applyFont="1" applyFill="1" applyBorder="1" applyAlignment="1">
      <alignment horizontal="left" wrapText="1"/>
    </xf>
    <xf numFmtId="49" fontId="61" fillId="0" borderId="12" xfId="9" applyNumberFormat="1" applyFont="1" applyBorder="1" applyAlignment="1">
      <alignment horizontal="center"/>
    </xf>
    <xf numFmtId="0" fontId="61" fillId="0" borderId="12" xfId="9" applyFont="1" applyBorder="1" applyAlignment="1">
      <alignment horizontal="left" wrapText="1"/>
    </xf>
    <xf numFmtId="3" fontId="61" fillId="0" borderId="12" xfId="9" applyNumberFormat="1" applyFont="1" applyBorder="1" applyAlignment="1">
      <alignment horizontal="right" indent="1"/>
    </xf>
    <xf numFmtId="3" fontId="61" fillId="0" borderId="12" xfId="9" applyNumberFormat="1" applyFont="1" applyBorder="1" applyAlignment="1">
      <alignment horizontal="right" indent="1"/>
    </xf>
    <xf numFmtId="3" fontId="61" fillId="0" borderId="12" xfId="9" applyNumberFormat="1" applyFont="1" applyBorder="1" applyAlignment="1">
      <alignment horizontal="right" indent="2"/>
    </xf>
    <xf numFmtId="9" fontId="61" fillId="0" borderId="12" xfId="9" applyNumberFormat="1" applyFont="1" applyBorder="1" applyAlignment="1">
      <alignment horizontal="right" wrapText="1" indent="1"/>
    </xf>
    <xf numFmtId="0" fontId="24" fillId="0" borderId="0" xfId="9" applyFont="1" applyAlignment="1">
      <alignment horizontal="right" vertical="top"/>
    </xf>
    <xf numFmtId="0" fontId="35" fillId="0" borderId="0" xfId="4" applyFont="1" applyAlignment="1" applyProtection="1"/>
    <xf numFmtId="0" fontId="24" fillId="0" borderId="0" xfId="9" applyFont="1" applyBorder="1"/>
    <xf numFmtId="0" fontId="66" fillId="0" borderId="0" xfId="9" applyFont="1" applyAlignment="1">
      <alignment horizontal="left" vertical="top" wrapText="1"/>
    </xf>
    <xf numFmtId="165" fontId="34" fillId="0" borderId="12" xfId="14" applyNumberFormat="1" applyFont="1" applyFill="1" applyBorder="1" applyAlignment="1">
      <alignment horizontal="left" wrapText="1"/>
    </xf>
    <xf numFmtId="0" fontId="52" fillId="0" borderId="28" xfId="15" applyFont="1" applyBorder="1" applyAlignment="1">
      <alignment horizontal="left" wrapText="1"/>
    </xf>
    <xf numFmtId="0" fontId="52" fillId="5" borderId="28" xfId="15" applyFont="1" applyFill="1" applyBorder="1" applyAlignment="1">
      <alignment horizontal="center" wrapText="1"/>
    </xf>
    <xf numFmtId="0" fontId="73" fillId="0" borderId="29" xfId="15" applyFont="1" applyFill="1" applyBorder="1" applyAlignment="1">
      <alignment vertical="top"/>
    </xf>
    <xf numFmtId="0" fontId="73" fillId="0" borderId="30" xfId="15" applyFont="1" applyFill="1" applyBorder="1" applyAlignment="1">
      <alignment vertical="top"/>
    </xf>
    <xf numFmtId="0" fontId="52" fillId="5" borderId="28" xfId="15" applyFont="1" applyFill="1" applyBorder="1" applyAlignment="1">
      <alignment horizontal="left" wrapText="1"/>
    </xf>
    <xf numFmtId="0" fontId="52" fillId="5" borderId="28" xfId="15" applyFont="1" applyFill="1" applyBorder="1" applyAlignment="1">
      <alignment horizontal="center"/>
    </xf>
    <xf numFmtId="49" fontId="83" fillId="7" borderId="90" xfId="0" applyNumberFormat="1" applyFont="1" applyFill="1" applyBorder="1" applyAlignment="1">
      <alignment vertical="top" wrapText="1"/>
    </xf>
    <xf numFmtId="49" fontId="83" fillId="0" borderId="91" xfId="0" applyNumberFormat="1" applyFont="1" applyFill="1" applyBorder="1" applyAlignment="1">
      <alignment horizontal="right" wrapText="1" indent="1"/>
    </xf>
    <xf numFmtId="49" fontId="83" fillId="0" borderId="92" xfId="0" applyNumberFormat="1" applyFont="1" applyFill="1" applyBorder="1" applyAlignment="1">
      <alignment horizontal="right" wrapText="1" indent="1"/>
    </xf>
    <xf numFmtId="0" fontId="67" fillId="0" borderId="34" xfId="0" applyFont="1" applyFill="1" applyBorder="1" applyAlignment="1"/>
    <xf numFmtId="0" fontId="67" fillId="0" borderId="33" xfId="0" applyFont="1" applyFill="1" applyBorder="1" applyAlignment="1"/>
    <xf numFmtId="0" fontId="80" fillId="0" borderId="34" xfId="0" applyFont="1" applyFill="1" applyBorder="1" applyAlignment="1"/>
    <xf numFmtId="0" fontId="80" fillId="0" borderId="33" xfId="0" applyFont="1" applyFill="1" applyBorder="1" applyAlignment="1"/>
    <xf numFmtId="49" fontId="83" fillId="0" borderId="0" xfId="19" applyNumberFormat="1" applyFont="1" applyBorder="1" applyAlignment="1">
      <alignment horizontal="left" wrapText="1"/>
    </xf>
    <xf numFmtId="49" fontId="84" fillId="0" borderId="0" xfId="19" applyNumberFormat="1" applyFont="1" applyFill="1" applyBorder="1" applyAlignment="1">
      <alignment vertical="top" wrapText="1"/>
    </xf>
    <xf numFmtId="49" fontId="83" fillId="0" borderId="173" xfId="19" applyNumberFormat="1" applyFont="1" applyBorder="1" applyAlignment="1">
      <alignment wrapText="1"/>
    </xf>
    <xf numFmtId="0" fontId="67" fillId="5" borderId="40" xfId="19" quotePrefix="1" applyFont="1" applyFill="1" applyBorder="1" applyAlignment="1">
      <alignment horizontal="center" vertical="top"/>
    </xf>
    <xf numFmtId="49" fontId="83" fillId="5" borderId="174" xfId="19" applyNumberFormat="1" applyFont="1" applyFill="1" applyBorder="1" applyAlignment="1">
      <alignment vertical="top" wrapText="1"/>
    </xf>
    <xf numFmtId="49" fontId="83" fillId="5" borderId="40" xfId="19" applyNumberFormat="1" applyFont="1" applyFill="1" applyBorder="1" applyAlignment="1">
      <alignment vertical="top" wrapText="1"/>
    </xf>
    <xf numFmtId="3" fontId="83" fillId="5" borderId="16" xfId="19" applyNumberFormat="1" applyFont="1" applyFill="1" applyBorder="1" applyAlignment="1">
      <alignment horizontal="right" vertical="top"/>
    </xf>
    <xf numFmtId="3" fontId="83" fillId="5" borderId="17" xfId="19" applyNumberFormat="1" applyFont="1" applyFill="1" applyBorder="1" applyAlignment="1">
      <alignment horizontal="right" vertical="top"/>
    </xf>
    <xf numFmtId="3" fontId="83" fillId="5" borderId="18" xfId="19" applyNumberFormat="1" applyFont="1" applyFill="1" applyBorder="1" applyAlignment="1">
      <alignment horizontal="right" vertical="top"/>
    </xf>
    <xf numFmtId="3" fontId="83" fillId="5" borderId="29" xfId="19" applyNumberFormat="1" applyFont="1" applyFill="1" applyBorder="1" applyAlignment="1">
      <alignment horizontal="right" vertical="top"/>
    </xf>
    <xf numFmtId="0" fontId="80" fillId="0" borderId="0" xfId="19" applyFont="1" applyFill="1" applyBorder="1" applyAlignment="1">
      <alignment horizontal="center" vertical="top"/>
    </xf>
    <xf numFmtId="49" fontId="84" fillId="0" borderId="175" xfId="19" applyNumberFormat="1" applyFont="1" applyFill="1" applyBorder="1" applyAlignment="1">
      <alignment vertical="top" wrapText="1"/>
    </xf>
    <xf numFmtId="3" fontId="84" fillId="0" borderId="22" xfId="19" applyNumberFormat="1" applyFont="1" applyFill="1" applyBorder="1" applyAlignment="1">
      <alignment horizontal="right" vertical="top"/>
    </xf>
    <xf numFmtId="3" fontId="84" fillId="0" borderId="24" xfId="19" applyNumberFormat="1" applyFont="1" applyFill="1" applyBorder="1" applyAlignment="1">
      <alignment horizontal="right" vertical="top"/>
    </xf>
    <xf numFmtId="3" fontId="84" fillId="0" borderId="30" xfId="19" applyNumberFormat="1" applyFont="1" applyFill="1" applyBorder="1" applyAlignment="1">
      <alignment horizontal="right" vertical="top"/>
    </xf>
    <xf numFmtId="3" fontId="80" fillId="0" borderId="0" xfId="19" applyNumberFormat="1" applyFont="1" applyBorder="1" applyAlignment="1">
      <alignment vertical="top"/>
    </xf>
    <xf numFmtId="0" fontId="80" fillId="0" borderId="0" xfId="19" applyFont="1" applyBorder="1" applyAlignment="1">
      <alignment vertical="top"/>
    </xf>
    <xf numFmtId="49" fontId="83" fillId="0" borderId="0" xfId="19" applyNumberFormat="1" applyFont="1" applyBorder="1" applyAlignment="1">
      <alignment wrapText="1"/>
    </xf>
    <xf numFmtId="0" fontId="80" fillId="0" borderId="0" xfId="19" applyFont="1" applyBorder="1" applyAlignment="1">
      <alignment horizontal="center" vertical="top"/>
    </xf>
    <xf numFmtId="3" fontId="84" fillId="0" borderId="23" xfId="19" applyNumberFormat="1" applyFont="1" applyFill="1" applyBorder="1" applyAlignment="1">
      <alignment horizontal="right" vertical="top"/>
    </xf>
    <xf numFmtId="49" fontId="83" fillId="5" borderId="93" xfId="19" applyNumberFormat="1" applyFont="1" applyFill="1" applyBorder="1" applyAlignment="1">
      <alignment vertical="top" wrapText="1"/>
    </xf>
    <xf numFmtId="0" fontId="69" fillId="0" borderId="4" xfId="14" applyFont="1" applyFill="1" applyBorder="1" applyAlignment="1">
      <alignment horizontal="left" wrapText="1"/>
    </xf>
    <xf numFmtId="0" fontId="80" fillId="0" borderId="0" xfId="14" applyFont="1" applyFill="1" applyBorder="1" applyAlignment="1">
      <alignment vertical="top" wrapText="1"/>
    </xf>
    <xf numFmtId="49" fontId="67" fillId="7" borderId="90" xfId="0" quotePrefix="1" applyNumberFormat="1" applyFont="1" applyFill="1" applyBorder="1" applyAlignment="1">
      <alignment horizontal="center"/>
    </xf>
    <xf numFmtId="49" fontId="83" fillId="0" borderId="16" xfId="19" applyNumberFormat="1" applyFont="1" applyFill="1" applyBorder="1" applyAlignment="1">
      <alignment horizontal="right" wrapText="1"/>
    </xf>
    <xf numFmtId="49" fontId="83" fillId="0" borderId="17" xfId="19" applyNumberFormat="1" applyFont="1" applyFill="1" applyBorder="1" applyAlignment="1">
      <alignment horizontal="right" wrapText="1"/>
    </xf>
    <xf numFmtId="49" fontId="83" fillId="0" borderId="18" xfId="19" applyNumberFormat="1" applyFont="1" applyFill="1" applyBorder="1" applyAlignment="1">
      <alignment horizontal="right" wrapText="1"/>
    </xf>
    <xf numFmtId="49" fontId="83" fillId="0" borderId="29" xfId="19" applyNumberFormat="1" applyFont="1" applyFill="1" applyBorder="1" applyAlignment="1">
      <alignment horizontal="right" wrapText="1"/>
    </xf>
    <xf numFmtId="3" fontId="84" fillId="0" borderId="0" xfId="19" applyNumberFormat="1" applyFont="1" applyFill="1" applyBorder="1" applyAlignment="1">
      <alignment horizontal="right" vertical="top"/>
    </xf>
    <xf numFmtId="3" fontId="84" fillId="0" borderId="176" xfId="19" applyNumberFormat="1" applyFont="1" applyFill="1" applyBorder="1" applyAlignment="1">
      <alignment horizontal="right" vertical="top"/>
    </xf>
    <xf numFmtId="37" fontId="67" fillId="5" borderId="34" xfId="0" applyNumberFormat="1" applyFont="1" applyFill="1" applyBorder="1" applyAlignment="1"/>
    <xf numFmtId="37" fontId="67" fillId="5" borderId="0" xfId="0" applyNumberFormat="1" applyFont="1" applyFill="1" applyBorder="1" applyAlignment="1"/>
    <xf numFmtId="37" fontId="67" fillId="5" borderId="33" xfId="0" applyNumberFormat="1" applyFont="1" applyFill="1" applyBorder="1" applyAlignment="1"/>
    <xf numFmtId="37" fontId="80" fillId="15" borderId="34" xfId="0" applyNumberFormat="1" applyFont="1" applyFill="1" applyBorder="1" applyAlignment="1"/>
    <xf numFmtId="37" fontId="80" fillId="15" borderId="0" xfId="0" applyNumberFormat="1" applyFont="1" applyFill="1" applyBorder="1" applyAlignment="1"/>
    <xf numFmtId="37" fontId="80" fillId="15" borderId="33" xfId="0" applyNumberFormat="1" applyFont="1" applyFill="1" applyBorder="1" applyAlignment="1"/>
    <xf numFmtId="172" fontId="80" fillId="15" borderId="33" xfId="0" applyNumberFormat="1" applyFont="1" applyFill="1" applyBorder="1" applyAlignment="1"/>
    <xf numFmtId="3" fontId="84" fillId="15" borderId="34" xfId="19" applyNumberFormat="1" applyFont="1" applyFill="1" applyBorder="1" applyAlignment="1">
      <alignment horizontal="right" vertical="top"/>
    </xf>
    <xf numFmtId="3" fontId="84" fillId="15" borderId="0" xfId="19" applyNumberFormat="1" applyFont="1" applyFill="1" applyBorder="1" applyAlignment="1">
      <alignment horizontal="right" vertical="top"/>
    </xf>
    <xf numFmtId="3" fontId="84" fillId="15" borderId="33" xfId="19" applyNumberFormat="1" applyFont="1" applyFill="1" applyBorder="1" applyAlignment="1">
      <alignment horizontal="right" vertical="top"/>
    </xf>
    <xf numFmtId="3" fontId="84" fillId="15" borderId="177" xfId="19" applyNumberFormat="1" applyFont="1" applyFill="1" applyBorder="1" applyAlignment="1">
      <alignment horizontal="right" vertical="top"/>
    </xf>
    <xf numFmtId="3" fontId="84" fillId="15" borderId="176" xfId="19" applyNumberFormat="1" applyFont="1" applyFill="1" applyBorder="1" applyAlignment="1">
      <alignment horizontal="right" vertical="top"/>
    </xf>
    <xf numFmtId="3" fontId="84" fillId="15" borderId="178" xfId="19" applyNumberFormat="1" applyFont="1" applyFill="1" applyBorder="1" applyAlignment="1">
      <alignment horizontal="right" vertical="top"/>
    </xf>
    <xf numFmtId="3" fontId="84" fillId="0" borderId="0" xfId="12" applyNumberFormat="1" applyFont="1" applyFill="1" applyBorder="1" applyAlignment="1">
      <alignment horizontal="right" vertical="top" wrapText="1"/>
    </xf>
    <xf numFmtId="3" fontId="80" fillId="0" borderId="0" xfId="12" applyNumberFormat="1" applyFont="1" applyFill="1" applyBorder="1" applyAlignment="1">
      <alignment vertical="top"/>
    </xf>
    <xf numFmtId="3" fontId="84" fillId="0" borderId="87" xfId="12" applyNumberFormat="1" applyFont="1" applyFill="1" applyBorder="1" applyAlignment="1">
      <alignment horizontal="right" vertical="top" wrapText="1"/>
    </xf>
    <xf numFmtId="3" fontId="84" fillId="0" borderId="88" xfId="19" applyNumberFormat="1" applyFont="1" applyFill="1" applyBorder="1" applyAlignment="1">
      <alignment horizontal="right" vertical="top"/>
    </xf>
    <xf numFmtId="3" fontId="80" fillId="0" borderId="87" xfId="12" applyNumberFormat="1" applyFont="1" applyFill="1" applyBorder="1" applyAlignment="1">
      <alignment vertical="top"/>
    </xf>
    <xf numFmtId="3" fontId="84" fillId="0" borderId="179" xfId="19" applyNumberFormat="1" applyFont="1" applyFill="1" applyBorder="1" applyAlignment="1">
      <alignment horizontal="right" vertical="top"/>
    </xf>
    <xf numFmtId="3" fontId="84" fillId="0" borderId="89" xfId="19" applyNumberFormat="1" applyFont="1" applyFill="1" applyBorder="1" applyAlignment="1">
      <alignment horizontal="right" vertical="top"/>
    </xf>
    <xf numFmtId="3" fontId="84" fillId="0" borderId="180" xfId="19" applyNumberFormat="1" applyFont="1" applyFill="1" applyBorder="1" applyAlignment="1">
      <alignment horizontal="right" vertical="top"/>
    </xf>
    <xf numFmtId="3" fontId="84" fillId="0" borderId="88" xfId="12" applyNumberFormat="1" applyFont="1" applyFill="1" applyBorder="1" applyAlignment="1">
      <alignment horizontal="right" vertical="top" wrapText="1"/>
    </xf>
    <xf numFmtId="3" fontId="80" fillId="0" borderId="88" xfId="12" applyNumberFormat="1" applyFont="1" applyFill="1" applyBorder="1" applyAlignment="1">
      <alignment vertical="top"/>
    </xf>
    <xf numFmtId="3" fontId="84" fillId="0" borderId="87" xfId="19" applyNumberFormat="1" applyFont="1" applyFill="1" applyBorder="1" applyAlignment="1">
      <alignment horizontal="right" vertical="top"/>
    </xf>
    <xf numFmtId="3" fontId="84" fillId="0" borderId="181" xfId="19" applyNumberFormat="1" applyFont="1" applyFill="1" applyBorder="1" applyAlignment="1">
      <alignment horizontal="right" vertical="top"/>
    </xf>
    <xf numFmtId="0" fontId="80" fillId="0" borderId="0" xfId="9" applyFont="1"/>
    <xf numFmtId="0" fontId="52" fillId="6" borderId="0" xfId="0" applyFont="1" applyFill="1" applyAlignment="1">
      <alignment horizontal="left"/>
    </xf>
    <xf numFmtId="0" fontId="52" fillId="6" borderId="0" xfId="0" applyFont="1" applyFill="1"/>
    <xf numFmtId="3" fontId="52" fillId="6" borderId="0" xfId="0" applyNumberFormat="1" applyFont="1" applyFill="1"/>
    <xf numFmtId="9" fontId="52" fillId="12" borderId="0" xfId="40" applyFont="1" applyFill="1"/>
    <xf numFmtId="0" fontId="52" fillId="0" borderId="34" xfId="0" applyFont="1" applyBorder="1"/>
    <xf numFmtId="0" fontId="52" fillId="0" borderId="0" xfId="0" applyFont="1" applyBorder="1"/>
    <xf numFmtId="0" fontId="52" fillId="0" borderId="33" xfId="0" applyFont="1" applyBorder="1"/>
    <xf numFmtId="3" fontId="52" fillId="6" borderId="34" xfId="0" applyNumberFormat="1" applyFont="1" applyFill="1" applyBorder="1"/>
    <xf numFmtId="3" fontId="52" fillId="6" borderId="0" xfId="0" applyNumberFormat="1" applyFont="1" applyFill="1" applyBorder="1"/>
    <xf numFmtId="3" fontId="52" fillId="6" borderId="33" xfId="0" applyNumberFormat="1" applyFont="1" applyFill="1" applyBorder="1"/>
    <xf numFmtId="3" fontId="73" fillId="0" borderId="34" xfId="0" applyNumberFormat="1" applyFont="1" applyBorder="1"/>
    <xf numFmtId="3" fontId="73" fillId="0" borderId="0" xfId="0" applyNumberFormat="1" applyFont="1" applyBorder="1"/>
    <xf numFmtId="3" fontId="73" fillId="0" borderId="33" xfId="0" applyNumberFormat="1" applyFont="1" applyBorder="1"/>
    <xf numFmtId="172" fontId="73" fillId="0" borderId="34" xfId="1" applyNumberFormat="1" applyFont="1" applyBorder="1"/>
    <xf numFmtId="172" fontId="73" fillId="0" borderId="0" xfId="1" applyNumberFormat="1" applyFont="1" applyBorder="1"/>
    <xf numFmtId="172" fontId="73" fillId="0" borderId="33" xfId="1" applyNumberFormat="1" applyFont="1" applyBorder="1"/>
    <xf numFmtId="0" fontId="52" fillId="0" borderId="34" xfId="0" applyFont="1" applyBorder="1" applyAlignment="1">
      <alignment horizontal="center"/>
    </xf>
    <xf numFmtId="0" fontId="52" fillId="0" borderId="33" xfId="0" applyFont="1" applyBorder="1" applyAlignment="1">
      <alignment horizontal="center"/>
    </xf>
    <xf numFmtId="9" fontId="52" fillId="6" borderId="34" xfId="40" applyFont="1" applyFill="1" applyBorder="1"/>
    <xf numFmtId="9" fontId="52" fillId="6" borderId="0" xfId="40" applyFont="1" applyFill="1" applyBorder="1"/>
    <xf numFmtId="9" fontId="52" fillId="6" borderId="33" xfId="40" applyFont="1" applyFill="1" applyBorder="1"/>
    <xf numFmtId="9" fontId="73" fillId="0" borderId="34" xfId="40" applyFont="1" applyBorder="1"/>
    <xf numFmtId="9" fontId="73" fillId="0" borderId="0" xfId="40" applyFont="1" applyBorder="1"/>
    <xf numFmtId="9" fontId="73" fillId="0" borderId="33" xfId="40" applyFont="1" applyBorder="1"/>
    <xf numFmtId="0" fontId="70" fillId="0" borderId="40" xfId="16" applyFont="1" applyBorder="1"/>
    <xf numFmtId="0" fontId="70" fillId="0" borderId="93" xfId="16" applyFont="1" applyBorder="1"/>
    <xf numFmtId="0" fontId="70" fillId="0" borderId="0" xfId="14" applyFont="1" applyFill="1" applyBorder="1" applyAlignment="1">
      <alignment horizontal="left" wrapText="1"/>
    </xf>
    <xf numFmtId="0" fontId="80" fillId="0" borderId="40" xfId="19" applyFont="1" applyBorder="1" applyAlignment="1">
      <alignment vertical="top"/>
    </xf>
    <xf numFmtId="170" fontId="84" fillId="0" borderId="40" xfId="19" applyNumberFormat="1" applyFont="1" applyBorder="1" applyAlignment="1">
      <alignment horizontal="left" vertical="top" wrapText="1"/>
    </xf>
    <xf numFmtId="172" fontId="84" fillId="0" borderId="16" xfId="1" applyNumberFormat="1" applyFont="1" applyBorder="1" applyAlignment="1">
      <alignment vertical="top" wrapText="1"/>
    </xf>
    <xf numFmtId="172" fontId="84" fillId="0" borderId="17" xfId="1" applyNumberFormat="1" applyFont="1" applyBorder="1" applyAlignment="1">
      <alignment vertical="top" wrapText="1"/>
    </xf>
    <xf numFmtId="172" fontId="84" fillId="0" borderId="18" xfId="1" applyNumberFormat="1" applyFont="1" applyBorder="1" applyAlignment="1">
      <alignment vertical="top" wrapText="1"/>
    </xf>
    <xf numFmtId="3" fontId="84" fillId="0" borderId="17" xfId="19" applyNumberFormat="1" applyFont="1" applyBorder="1" applyAlignment="1">
      <alignment vertical="top" wrapText="1"/>
    </xf>
    <xf numFmtId="3" fontId="84" fillId="0" borderId="18" xfId="19" applyNumberFormat="1" applyFont="1" applyBorder="1" applyAlignment="1">
      <alignment vertical="top" wrapText="1"/>
    </xf>
    <xf numFmtId="172" fontId="80" fillId="0" borderId="29" xfId="1" applyNumberFormat="1" applyFont="1" applyBorder="1" applyAlignment="1">
      <alignment vertical="top"/>
    </xf>
    <xf numFmtId="0" fontId="80" fillId="0" borderId="94" xfId="12" applyFont="1" applyFill="1" applyBorder="1" applyAlignment="1">
      <alignment horizontal="center" vertical="top"/>
    </xf>
    <xf numFmtId="49" fontId="84" fillId="0" borderId="94" xfId="12" applyNumberFormat="1" applyFont="1" applyFill="1" applyBorder="1" applyAlignment="1">
      <alignment horizontal="center" vertical="top" wrapText="1"/>
    </xf>
    <xf numFmtId="3" fontId="84" fillId="0" borderId="95" xfId="19" applyNumberFormat="1" applyFont="1" applyFill="1" applyBorder="1" applyAlignment="1">
      <alignment horizontal="right" vertical="top"/>
    </xf>
    <xf numFmtId="3" fontId="84" fillId="0" borderId="94" xfId="12" applyNumberFormat="1" applyFont="1" applyFill="1" applyBorder="1" applyAlignment="1">
      <alignment horizontal="right" vertical="top" wrapText="1"/>
    </xf>
    <xf numFmtId="3" fontId="84" fillId="0" borderId="96" xfId="19" applyNumberFormat="1" applyFont="1" applyFill="1" applyBorder="1" applyAlignment="1">
      <alignment horizontal="right" vertical="top"/>
    </xf>
    <xf numFmtId="3" fontId="84" fillId="0" borderId="95" xfId="12" applyNumberFormat="1" applyFont="1" applyFill="1" applyBorder="1" applyAlignment="1">
      <alignment horizontal="right" vertical="top" wrapText="1"/>
    </xf>
    <xf numFmtId="3" fontId="84" fillId="0" borderId="94" xfId="19" applyNumberFormat="1" applyFont="1" applyFill="1" applyBorder="1" applyAlignment="1">
      <alignment horizontal="right" vertical="top"/>
    </xf>
    <xf numFmtId="3" fontId="84" fillId="0" borderId="96" xfId="12" applyNumberFormat="1" applyFont="1" applyFill="1" applyBorder="1" applyAlignment="1">
      <alignment horizontal="right" vertical="top" wrapText="1"/>
    </xf>
    <xf numFmtId="3" fontId="84" fillId="0" borderId="97" xfId="19" applyNumberFormat="1" applyFont="1" applyFill="1" applyBorder="1" applyAlignment="1">
      <alignment horizontal="right" vertical="top"/>
    </xf>
    <xf numFmtId="0" fontId="80" fillId="0" borderId="0" xfId="12" applyFont="1" applyFill="1" applyBorder="1" applyAlignment="1">
      <alignment horizontal="center" vertical="top"/>
    </xf>
    <xf numFmtId="49" fontId="84" fillId="0" borderId="0" xfId="12" applyNumberFormat="1" applyFont="1" applyFill="1" applyBorder="1" applyAlignment="1">
      <alignment horizontal="center" vertical="top" wrapText="1"/>
    </xf>
    <xf numFmtId="3" fontId="84" fillId="0" borderId="29" xfId="19" applyNumberFormat="1" applyFont="1" applyFill="1" applyBorder="1" applyAlignment="1">
      <alignment horizontal="right" vertical="top"/>
    </xf>
    <xf numFmtId="3" fontId="84" fillId="15" borderId="45" xfId="19" applyNumberFormat="1" applyFont="1" applyFill="1" applyBorder="1" applyAlignment="1">
      <alignment horizontal="right" vertical="top"/>
    </xf>
    <xf numFmtId="3" fontId="84" fillId="15" borderId="40" xfId="19" applyNumberFormat="1" applyFont="1" applyFill="1" applyBorder="1" applyAlignment="1">
      <alignment horizontal="right" vertical="top"/>
    </xf>
    <xf numFmtId="3" fontId="84" fillId="15" borderId="93" xfId="19" applyNumberFormat="1" applyFont="1" applyFill="1" applyBorder="1" applyAlignment="1">
      <alignment horizontal="right" vertical="top"/>
    </xf>
    <xf numFmtId="3" fontId="84" fillId="15" borderId="34" xfId="19" applyNumberFormat="1" applyFont="1" applyFill="1" applyBorder="1" applyAlignment="1">
      <alignment horizontal="right" vertical="top"/>
    </xf>
    <xf numFmtId="0" fontId="52" fillId="5" borderId="28" xfId="15" applyFont="1" applyFill="1" applyBorder="1" applyAlignment="1">
      <alignment horizontal="left"/>
    </xf>
    <xf numFmtId="0" fontId="52" fillId="5" borderId="28" xfId="15" applyFont="1" applyFill="1" applyBorder="1" applyAlignment="1">
      <alignment horizontal="left" wrapText="1"/>
    </xf>
    <xf numFmtId="0" fontId="52" fillId="0" borderId="28" xfId="15" applyFont="1" applyFill="1" applyBorder="1" applyAlignment="1">
      <alignment vertical="top"/>
    </xf>
    <xf numFmtId="0" fontId="73" fillId="0" borderId="30" xfId="15" applyFont="1" applyBorder="1" applyAlignment="1">
      <alignment horizontal="center"/>
    </xf>
    <xf numFmtId="0" fontId="73" fillId="0" borderId="30" xfId="15" applyFont="1" applyFill="1" applyBorder="1" applyAlignment="1">
      <alignment vertical="top"/>
    </xf>
    <xf numFmtId="3" fontId="73" fillId="0" borderId="30" xfId="15" applyNumberFormat="1" applyFont="1" applyFill="1" applyBorder="1" applyAlignment="1">
      <alignment horizontal="right" vertical="top"/>
    </xf>
    <xf numFmtId="3" fontId="73" fillId="0" borderId="30" xfId="15" applyNumberFormat="1" applyFont="1" applyFill="1" applyBorder="1"/>
    <xf numFmtId="0" fontId="73" fillId="0" borderId="0" xfId="15" applyFont="1" applyBorder="1"/>
    <xf numFmtId="164" fontId="73" fillId="0" borderId="0" xfId="40" applyNumberFormat="1" applyFont="1" applyBorder="1"/>
    <xf numFmtId="0" fontId="52" fillId="0" borderId="28" xfId="15" applyFont="1" applyBorder="1" applyAlignment="1">
      <alignment horizontal="center"/>
    </xf>
    <xf numFmtId="0" fontId="52" fillId="0" borderId="28" xfId="15" applyFont="1" applyFill="1" applyBorder="1" applyAlignment="1">
      <alignment vertical="top" wrapText="1"/>
    </xf>
    <xf numFmtId="3" fontId="52" fillId="0" borderId="28" xfId="15" applyNumberFormat="1" applyFont="1" applyFill="1" applyBorder="1" applyAlignment="1">
      <alignment vertical="top"/>
    </xf>
    <xf numFmtId="164" fontId="52" fillId="0" borderId="0" xfId="40" applyNumberFormat="1" applyFont="1" applyBorder="1"/>
    <xf numFmtId="0" fontId="52" fillId="5" borderId="30" xfId="15" applyFont="1" applyFill="1" applyBorder="1" applyAlignment="1">
      <alignment horizontal="center"/>
    </xf>
    <xf numFmtId="0" fontId="52" fillId="5" borderId="30" xfId="15" applyFont="1" applyFill="1" applyBorder="1" applyAlignment="1">
      <alignment horizontal="left" wrapText="1"/>
    </xf>
    <xf numFmtId="172" fontId="52" fillId="5" borderId="30" xfId="1" applyNumberFormat="1" applyFont="1" applyFill="1" applyBorder="1" applyAlignment="1">
      <alignment horizontal="center" wrapText="1"/>
    </xf>
    <xf numFmtId="0" fontId="52" fillId="0" borderId="28" xfId="15" applyFont="1" applyFill="1" applyBorder="1" applyAlignment="1">
      <alignment horizontal="center" wrapText="1"/>
    </xf>
    <xf numFmtId="0" fontId="52" fillId="7" borderId="0" xfId="0" applyFont="1" applyFill="1" applyAlignment="1">
      <alignment horizontal="center"/>
    </xf>
    <xf numFmtId="0" fontId="52" fillId="7" borderId="0" xfId="0" applyFont="1" applyFill="1"/>
    <xf numFmtId="172" fontId="52" fillId="7" borderId="0" xfId="0" applyNumberFormat="1" applyFont="1" applyFill="1"/>
    <xf numFmtId="0" fontId="69" fillId="0" borderId="6" xfId="34" applyFont="1" applyFill="1" applyBorder="1" applyAlignment="1">
      <alignment horizontal="center"/>
    </xf>
    <xf numFmtId="0" fontId="69" fillId="0" borderId="98" xfId="34" applyFont="1" applyFill="1" applyBorder="1" applyAlignment="1">
      <alignment horizontal="left"/>
    </xf>
    <xf numFmtId="0" fontId="69" fillId="0" borderId="99" xfId="34" applyFont="1" applyFill="1" applyBorder="1" applyAlignment="1">
      <alignment horizontal="left"/>
    </xf>
    <xf numFmtId="0" fontId="69" fillId="0" borderId="50" xfId="34" applyFont="1" applyFill="1" applyBorder="1" applyAlignment="1">
      <alignment horizontal="center" wrapText="1"/>
    </xf>
    <xf numFmtId="0" fontId="69" fillId="0" borderId="51" xfId="34" applyFont="1" applyFill="1" applyBorder="1" applyAlignment="1">
      <alignment horizontal="center" wrapText="1"/>
    </xf>
    <xf numFmtId="0" fontId="69" fillId="0" borderId="52" xfId="34" applyFont="1" applyFill="1" applyBorder="1" applyAlignment="1">
      <alignment horizontal="center" wrapText="1"/>
    </xf>
    <xf numFmtId="0" fontId="70" fillId="0" borderId="0" xfId="16" applyFont="1" applyFill="1" applyBorder="1" applyAlignment="1">
      <alignment horizontal="center" vertical="center"/>
    </xf>
    <xf numFmtId="0" fontId="69" fillId="5" borderId="0" xfId="34" applyFont="1" applyFill="1" applyBorder="1" applyAlignment="1">
      <alignment horizontal="center"/>
    </xf>
    <xf numFmtId="0" fontId="69" fillId="5" borderId="0" xfId="34" applyFont="1" applyFill="1" applyBorder="1" applyAlignment="1">
      <alignment horizontal="left"/>
    </xf>
    <xf numFmtId="3" fontId="69" fillId="5" borderId="22" xfId="34" applyNumberFormat="1" applyFont="1" applyFill="1" applyBorder="1" applyAlignment="1">
      <alignment horizontal="center" wrapText="1"/>
    </xf>
    <xf numFmtId="0" fontId="70" fillId="0" borderId="1" xfId="34" applyFont="1" applyFill="1" applyBorder="1" applyAlignment="1">
      <alignment horizontal="center" wrapText="1"/>
    </xf>
    <xf numFmtId="0" fontId="70" fillId="0" borderId="11" xfId="34" applyFont="1" applyFill="1" applyBorder="1" applyAlignment="1">
      <alignment wrapText="1"/>
    </xf>
    <xf numFmtId="3" fontId="70" fillId="0" borderId="58" xfId="34" applyNumberFormat="1" applyFont="1" applyFill="1" applyBorder="1" applyAlignment="1">
      <alignment horizontal="right" wrapText="1"/>
    </xf>
    <xf numFmtId="3" fontId="70" fillId="0" borderId="60" xfId="34" applyNumberFormat="1" applyFont="1" applyFill="1" applyBorder="1" applyAlignment="1">
      <alignment horizontal="right" wrapText="1"/>
    </xf>
    <xf numFmtId="3" fontId="70" fillId="0" borderId="59" xfId="34" applyNumberFormat="1" applyFont="1" applyFill="1" applyBorder="1" applyAlignment="1">
      <alignment horizontal="right" wrapText="1"/>
    </xf>
    <xf numFmtId="3" fontId="70" fillId="0" borderId="0" xfId="16" applyNumberFormat="1" applyFont="1"/>
    <xf numFmtId="3" fontId="70" fillId="0" borderId="10" xfId="16" applyNumberFormat="1" applyFont="1" applyFill="1" applyBorder="1" applyAlignment="1">
      <alignment horizontal="right" vertical="center" wrapText="1"/>
    </xf>
    <xf numFmtId="3" fontId="70" fillId="0" borderId="1" xfId="16" applyNumberFormat="1" applyFont="1" applyFill="1" applyBorder="1" applyAlignment="1">
      <alignment horizontal="right" vertical="center" wrapText="1"/>
    </xf>
    <xf numFmtId="3" fontId="70" fillId="0" borderId="0" xfId="16" applyNumberFormat="1" applyFont="1" applyFill="1" applyAlignment="1">
      <alignment horizontal="right" vertical="center" wrapText="1"/>
    </xf>
    <xf numFmtId="3" fontId="70" fillId="0" borderId="1" xfId="16" applyNumberFormat="1" applyFont="1" applyBorder="1"/>
    <xf numFmtId="3" fontId="70" fillId="0" borderId="24" xfId="34" applyNumberFormat="1" applyFont="1" applyBorder="1"/>
    <xf numFmtId="3" fontId="70" fillId="0" borderId="55" xfId="34" applyNumberFormat="1" applyFont="1" applyFill="1" applyBorder="1" applyAlignment="1">
      <alignment horizontal="right" wrapText="1"/>
    </xf>
    <xf numFmtId="3" fontId="70" fillId="0" borderId="8" xfId="16" applyNumberFormat="1" applyFont="1" applyBorder="1"/>
    <xf numFmtId="3" fontId="70" fillId="0" borderId="22" xfId="34" applyNumberFormat="1" applyFont="1" applyBorder="1"/>
    <xf numFmtId="3" fontId="70" fillId="0" borderId="55" xfId="34" applyNumberFormat="1" applyFont="1" applyBorder="1"/>
    <xf numFmtId="3" fontId="70" fillId="0" borderId="0" xfId="16" applyNumberFormat="1" applyFont="1" applyFill="1" applyBorder="1" applyAlignment="1">
      <alignment horizontal="right" vertical="center" wrapText="1"/>
    </xf>
    <xf numFmtId="0" fontId="70" fillId="0" borderId="0" xfId="16" applyFont="1" applyAlignment="1"/>
    <xf numFmtId="0" fontId="0" fillId="0" borderId="0" xfId="0" applyFont="1"/>
    <xf numFmtId="0" fontId="69" fillId="6" borderId="0" xfId="14" applyFont="1" applyFill="1" applyBorder="1" applyAlignment="1">
      <alignment horizontal="left"/>
    </xf>
    <xf numFmtId="0" fontId="34" fillId="0" borderId="0" xfId="14" applyFont="1" applyFill="1" applyBorder="1" applyAlignment="1">
      <alignment horizontal="center" wrapText="1"/>
    </xf>
    <xf numFmtId="0" fontId="34" fillId="0" borderId="0" xfId="14" applyFont="1" applyFill="1" applyBorder="1" applyAlignment="1">
      <alignment wrapText="1"/>
    </xf>
    <xf numFmtId="165" fontId="34" fillId="0" borderId="0" xfId="14" applyNumberFormat="1" applyFont="1" applyFill="1" applyBorder="1" applyAlignment="1">
      <alignment horizontal="center" wrapText="1"/>
    </xf>
    <xf numFmtId="0" fontId="34" fillId="0" borderId="12" xfId="14" applyFont="1" applyFill="1" applyBorder="1" applyAlignment="1">
      <alignment horizontal="center" wrapText="1"/>
    </xf>
    <xf numFmtId="0" fontId="34" fillId="0" borderId="12" xfId="14" applyFont="1" applyFill="1" applyBorder="1" applyAlignment="1">
      <alignment wrapText="1"/>
    </xf>
    <xf numFmtId="165" fontId="34" fillId="0" borderId="12" xfId="14" applyNumberFormat="1" applyFont="1" applyFill="1" applyBorder="1" applyAlignment="1">
      <alignment horizontal="center" wrapText="1"/>
    </xf>
    <xf numFmtId="3" fontId="73" fillId="0" borderId="12" xfId="0" applyNumberFormat="1" applyFont="1" applyBorder="1"/>
    <xf numFmtId="37" fontId="73" fillId="0" borderId="12" xfId="1" applyNumberFormat="1" applyFont="1" applyBorder="1"/>
    <xf numFmtId="0" fontId="36" fillId="0" borderId="0" xfId="14" applyFont="1" applyBorder="1"/>
    <xf numFmtId="0" fontId="24" fillId="0" borderId="0" xfId="9" applyFont="1" applyAlignment="1">
      <alignment vertical="top" wrapText="1"/>
    </xf>
    <xf numFmtId="0" fontId="36" fillId="0" borderId="0" xfId="14" applyFont="1"/>
    <xf numFmtId="0" fontId="69" fillId="0" borderId="12" xfId="14" applyFont="1" applyFill="1" applyBorder="1" applyAlignment="1">
      <alignment horizontal="center"/>
    </xf>
    <xf numFmtId="0" fontId="69" fillId="0" borderId="12" xfId="14" applyFont="1" applyFill="1" applyBorder="1" applyAlignment="1">
      <alignment horizontal="center"/>
    </xf>
    <xf numFmtId="0" fontId="69" fillId="0" borderId="12" xfId="14" applyFont="1" applyFill="1" applyBorder="1" applyAlignment="1">
      <alignment horizontal="center" wrapText="1"/>
    </xf>
    <xf numFmtId="0" fontId="69" fillId="6" borderId="0" xfId="14" applyFont="1" applyFill="1" applyBorder="1" applyAlignment="1">
      <alignment horizontal="center"/>
    </xf>
    <xf numFmtId="0" fontId="70" fillId="0" borderId="0" xfId="14" applyFont="1" applyFill="1" applyBorder="1" applyAlignment="1">
      <alignment horizontal="center" wrapText="1"/>
    </xf>
    <xf numFmtId="0" fontId="70" fillId="0" borderId="12" xfId="14" applyFont="1" applyFill="1" applyBorder="1" applyAlignment="1">
      <alignment horizontal="center" wrapText="1"/>
    </xf>
    <xf numFmtId="0" fontId="69" fillId="0" borderId="36" xfId="14" applyFont="1" applyFill="1" applyBorder="1" applyAlignment="1">
      <alignment horizontal="center"/>
    </xf>
    <xf numFmtId="0" fontId="69" fillId="0" borderId="35" xfId="14" applyFont="1" applyFill="1" applyBorder="1" applyAlignment="1">
      <alignment horizontal="center"/>
    </xf>
    <xf numFmtId="3" fontId="73" fillId="0" borderId="36" xfId="0" applyNumberFormat="1" applyFont="1" applyBorder="1"/>
    <xf numFmtId="3" fontId="73" fillId="0" borderId="35" xfId="0" applyNumberFormat="1" applyFont="1" applyBorder="1"/>
    <xf numFmtId="37" fontId="73" fillId="0" borderId="34" xfId="1" applyNumberFormat="1" applyFont="1" applyBorder="1"/>
    <xf numFmtId="37" fontId="73" fillId="0" borderId="0" xfId="1" applyNumberFormat="1" applyFont="1" applyBorder="1"/>
    <xf numFmtId="37" fontId="73" fillId="0" borderId="33" xfId="1" applyNumberFormat="1" applyFont="1" applyBorder="1"/>
    <xf numFmtId="37" fontId="73" fillId="0" borderId="36" xfId="1" applyNumberFormat="1" applyFont="1" applyBorder="1"/>
    <xf numFmtId="37" fontId="73" fillId="0" borderId="35" xfId="1" applyNumberFormat="1" applyFont="1" applyBorder="1"/>
    <xf numFmtId="37" fontId="52" fillId="6" borderId="34" xfId="1" applyNumberFormat="1" applyFont="1" applyFill="1" applyBorder="1"/>
    <xf numFmtId="37" fontId="52" fillId="6" borderId="0" xfId="1" applyNumberFormat="1" applyFont="1" applyFill="1" applyBorder="1"/>
    <xf numFmtId="37" fontId="52" fillId="6" borderId="33" xfId="1" applyNumberFormat="1" applyFont="1" applyFill="1" applyBorder="1"/>
    <xf numFmtId="0" fontId="0" fillId="0" borderId="0" xfId="0" applyFont="1" applyAlignment="1">
      <alignment horizontal="left"/>
    </xf>
    <xf numFmtId="0" fontId="69" fillId="0" borderId="12" xfId="14" applyFont="1" applyFill="1" applyBorder="1" applyAlignment="1">
      <alignment horizontal="left"/>
    </xf>
    <xf numFmtId="165" fontId="70" fillId="0" borderId="0" xfId="14" applyNumberFormat="1" applyFont="1" applyFill="1" applyBorder="1" applyAlignment="1">
      <alignment horizontal="left" wrapText="1"/>
    </xf>
    <xf numFmtId="165" fontId="70" fillId="0" borderId="12" xfId="14" applyNumberFormat="1" applyFont="1" applyFill="1" applyBorder="1" applyAlignment="1">
      <alignment horizontal="left" wrapText="1"/>
    </xf>
    <xf numFmtId="0" fontId="36" fillId="0" borderId="0" xfId="14" applyFont="1" applyBorder="1" applyAlignment="1">
      <alignment horizontal="left"/>
    </xf>
    <xf numFmtId="0" fontId="24" fillId="0" borderId="0" xfId="9" applyFont="1" applyBorder="1" applyAlignment="1">
      <alignment horizontal="left"/>
    </xf>
    <xf numFmtId="0" fontId="36" fillId="0" borderId="0" xfId="14" applyFont="1" applyAlignment="1">
      <alignment horizontal="left"/>
    </xf>
    <xf numFmtId="7" fontId="73" fillId="0" borderId="0" xfId="0" applyNumberFormat="1" applyFont="1"/>
    <xf numFmtId="5" fontId="73" fillId="0" borderId="0" xfId="0" applyNumberFormat="1" applyFont="1"/>
    <xf numFmtId="0" fontId="69" fillId="5" borderId="10" xfId="28" applyFont="1" applyFill="1" applyBorder="1" applyAlignment="1">
      <alignment horizontal="center" vertical="center" wrapText="1"/>
    </xf>
    <xf numFmtId="0" fontId="69" fillId="5" borderId="100" xfId="28" applyFont="1" applyFill="1" applyBorder="1" applyAlignment="1">
      <alignment wrapText="1"/>
    </xf>
    <xf numFmtId="5" fontId="52" fillId="5" borderId="22" xfId="0" applyNumberFormat="1" applyFont="1" applyFill="1" applyBorder="1"/>
    <xf numFmtId="5" fontId="52" fillId="5" borderId="24" xfId="0" applyNumberFormat="1" applyFont="1" applyFill="1" applyBorder="1"/>
    <xf numFmtId="5" fontId="52" fillId="5" borderId="23" xfId="0" applyNumberFormat="1" applyFont="1" applyFill="1" applyBorder="1"/>
    <xf numFmtId="0" fontId="70" fillId="0" borderId="0" xfId="28" applyFont="1"/>
    <xf numFmtId="0" fontId="70" fillId="0" borderId="1" xfId="28" applyFont="1" applyFill="1" applyBorder="1" applyAlignment="1">
      <alignment wrapText="1"/>
    </xf>
    <xf numFmtId="166" fontId="70" fillId="0" borderId="1" xfId="28" applyNumberFormat="1" applyFont="1" applyFill="1" applyBorder="1" applyAlignment="1">
      <alignment horizontal="right" wrapText="1"/>
    </xf>
    <xf numFmtId="0" fontId="70" fillId="0" borderId="1" xfId="28" quotePrefix="1" applyFont="1" applyFill="1" applyBorder="1" applyAlignment="1">
      <alignment horizontal="center" wrapText="1"/>
    </xf>
    <xf numFmtId="0" fontId="70" fillId="0" borderId="11" xfId="28" applyFont="1" applyFill="1" applyBorder="1" applyAlignment="1">
      <alignment wrapText="1"/>
    </xf>
    <xf numFmtId="5" fontId="73" fillId="0" borderId="22" xfId="0" applyNumberFormat="1" applyFont="1" applyBorder="1"/>
    <xf numFmtId="5" fontId="73" fillId="0" borderId="24" xfId="0" applyNumberFormat="1" applyFont="1" applyBorder="1"/>
    <xf numFmtId="5" fontId="73" fillId="0" borderId="23" xfId="0" applyNumberFormat="1" applyFont="1" applyBorder="1"/>
    <xf numFmtId="0" fontId="70" fillId="0" borderId="1" xfId="28" applyFont="1" applyFill="1" applyBorder="1" applyAlignment="1">
      <alignment horizontal="center" wrapText="1"/>
    </xf>
    <xf numFmtId="0" fontId="70" fillId="0" borderId="0" xfId="16" applyFont="1" applyAlignment="1">
      <alignment horizontal="left"/>
    </xf>
    <xf numFmtId="0" fontId="69" fillId="0" borderId="2" xfId="28" applyFont="1" applyFill="1" applyBorder="1" applyAlignment="1">
      <alignment horizontal="center"/>
    </xf>
    <xf numFmtId="0" fontId="69" fillId="0" borderId="2" xfId="28" applyFont="1" applyFill="1" applyBorder="1" applyAlignment="1">
      <alignment horizontal="center" wrapText="1"/>
    </xf>
    <xf numFmtId="0" fontId="69" fillId="0" borderId="2" xfId="28" applyFont="1" applyFill="1" applyBorder="1" applyAlignment="1">
      <alignment horizontal="left"/>
    </xf>
    <xf numFmtId="0" fontId="69" fillId="5" borderId="1" xfId="32" quotePrefix="1" applyFont="1" applyFill="1" applyBorder="1" applyAlignment="1">
      <alignment horizontal="center" wrapText="1"/>
    </xf>
    <xf numFmtId="0" fontId="69" fillId="5" borderId="11" xfId="32" applyFont="1" applyFill="1" applyBorder="1" applyAlignment="1">
      <alignment wrapText="1"/>
    </xf>
    <xf numFmtId="5" fontId="69" fillId="5" borderId="101" xfId="32" applyNumberFormat="1" applyFont="1" applyFill="1" applyBorder="1" applyAlignment="1">
      <alignment wrapText="1"/>
    </xf>
    <xf numFmtId="5" fontId="69" fillId="5" borderId="65" xfId="32" applyNumberFormat="1" applyFont="1" applyFill="1" applyBorder="1" applyAlignment="1">
      <alignment wrapText="1"/>
    </xf>
    <xf numFmtId="5" fontId="69" fillId="5" borderId="70" xfId="32" applyNumberFormat="1" applyFont="1" applyFill="1" applyBorder="1" applyAlignment="1">
      <alignment wrapText="1"/>
    </xf>
    <xf numFmtId="5" fontId="69" fillId="5" borderId="102" xfId="32" applyNumberFormat="1" applyFont="1" applyFill="1" applyBorder="1" applyAlignment="1">
      <alignment wrapText="1"/>
    </xf>
    <xf numFmtId="0" fontId="70" fillId="0" borderId="1" xfId="32" applyFont="1" applyFill="1" applyBorder="1" applyAlignment="1">
      <alignment horizontal="center" wrapText="1"/>
    </xf>
    <xf numFmtId="0" fontId="70" fillId="0" borderId="11" xfId="32" applyFont="1" applyFill="1" applyBorder="1" applyAlignment="1">
      <alignment wrapText="1"/>
    </xf>
    <xf numFmtId="5" fontId="70" fillId="0" borderId="101" xfId="32" applyNumberFormat="1" applyFont="1" applyFill="1" applyBorder="1" applyAlignment="1">
      <alignment wrapText="1"/>
    </xf>
    <xf numFmtId="5" fontId="70" fillId="0" borderId="65" xfId="32" applyNumberFormat="1" applyFont="1" applyFill="1" applyBorder="1" applyAlignment="1">
      <alignment wrapText="1"/>
    </xf>
    <xf numFmtId="5" fontId="70" fillId="0" borderId="70" xfId="32" applyNumberFormat="1" applyFont="1" applyFill="1" applyBorder="1" applyAlignment="1">
      <alignment wrapText="1"/>
    </xf>
    <xf numFmtId="5" fontId="70" fillId="0" borderId="102" xfId="32" applyNumberFormat="1" applyFont="1" applyFill="1" applyBorder="1" applyAlignment="1">
      <alignment wrapText="1"/>
    </xf>
    <xf numFmtId="0" fontId="69" fillId="0" borderId="6" xfId="35" applyFont="1" applyFill="1" applyBorder="1" applyAlignment="1">
      <alignment horizontal="center" wrapText="1"/>
    </xf>
    <xf numFmtId="5" fontId="52" fillId="5" borderId="48" xfId="0" applyNumberFormat="1" applyFont="1" applyFill="1" applyBorder="1"/>
    <xf numFmtId="5" fontId="73" fillId="0" borderId="48" xfId="0" applyNumberFormat="1" applyFont="1" applyBorder="1"/>
    <xf numFmtId="0" fontId="70" fillId="0" borderId="8" xfId="28" applyFont="1" applyFill="1" applyBorder="1" applyAlignment="1">
      <alignment wrapText="1"/>
    </xf>
    <xf numFmtId="0" fontId="69" fillId="0" borderId="2" xfId="28" applyFont="1" applyFill="1" applyBorder="1" applyAlignment="1">
      <alignment horizontal="center"/>
    </xf>
    <xf numFmtId="7" fontId="52" fillId="5" borderId="3" xfId="0" applyNumberFormat="1" applyFont="1" applyFill="1" applyBorder="1"/>
    <xf numFmtId="166" fontId="70" fillId="0" borderId="103" xfId="27" applyNumberFormat="1" applyFont="1" applyFill="1" applyBorder="1" applyAlignment="1">
      <alignment horizontal="right" wrapText="1"/>
    </xf>
    <xf numFmtId="0" fontId="70" fillId="0" borderId="3" xfId="27" applyFont="1" applyBorder="1"/>
    <xf numFmtId="166" fontId="73" fillId="0" borderId="3" xfId="7" applyNumberFormat="1" applyFont="1" applyBorder="1"/>
    <xf numFmtId="0" fontId="69" fillId="0" borderId="2" xfId="32" applyFont="1" applyFill="1" applyBorder="1" applyAlignment="1">
      <alignment horizontal="left" wrapText="1"/>
    </xf>
    <xf numFmtId="0" fontId="69" fillId="0" borderId="6" xfId="32" applyFont="1" applyFill="1" applyBorder="1" applyAlignment="1">
      <alignment horizontal="left"/>
    </xf>
    <xf numFmtId="0" fontId="69" fillId="0" borderId="104" xfId="32" applyFont="1" applyFill="1" applyBorder="1" applyAlignment="1">
      <alignment horizontal="center"/>
    </xf>
    <xf numFmtId="0" fontId="69" fillId="0" borderId="62" xfId="32" applyFont="1" applyFill="1" applyBorder="1" applyAlignment="1">
      <alignment horizontal="center"/>
    </xf>
    <xf numFmtId="0" fontId="69" fillId="0" borderId="64" xfId="32" applyFont="1" applyFill="1" applyBorder="1" applyAlignment="1">
      <alignment horizontal="center"/>
    </xf>
    <xf numFmtId="0" fontId="69" fillId="0" borderId="105" xfId="32" applyFont="1" applyFill="1" applyBorder="1" applyAlignment="1">
      <alignment horizontal="center"/>
    </xf>
    <xf numFmtId="0" fontId="69" fillId="0" borderId="64" xfId="35" applyFont="1" applyFill="1" applyBorder="1" applyAlignment="1">
      <alignment horizontal="center" wrapText="1"/>
    </xf>
    <xf numFmtId="0" fontId="69" fillId="0" borderId="2" xfId="21" applyFont="1" applyFill="1" applyBorder="1" applyAlignment="1">
      <alignment horizontal="center"/>
    </xf>
    <xf numFmtId="166" fontId="69" fillId="5" borderId="3" xfId="32" applyNumberFormat="1" applyFont="1" applyFill="1" applyBorder="1" applyAlignment="1">
      <alignment horizontal="center"/>
    </xf>
    <xf numFmtId="166" fontId="34" fillId="0" borderId="103" xfId="27" applyNumberFormat="1" applyFont="1" applyFill="1" applyBorder="1" applyAlignment="1">
      <alignment horizontal="right" wrapText="1"/>
    </xf>
    <xf numFmtId="0" fontId="37" fillId="0" borderId="3" xfId="27" applyFont="1" applyBorder="1"/>
    <xf numFmtId="167" fontId="73" fillId="0" borderId="0" xfId="0" applyNumberFormat="1" applyFont="1"/>
    <xf numFmtId="0" fontId="73" fillId="0" borderId="0" xfId="0" applyFont="1" applyFill="1" applyAlignment="1">
      <alignment wrapText="1"/>
    </xf>
    <xf numFmtId="0" fontId="69" fillId="5" borderId="11" xfId="35" applyFont="1" applyFill="1" applyBorder="1" applyAlignment="1">
      <alignment wrapText="1"/>
    </xf>
    <xf numFmtId="167" fontId="69" fillId="5" borderId="101" xfId="35" applyNumberFormat="1" applyFont="1" applyFill="1" applyBorder="1" applyAlignment="1">
      <alignment wrapText="1"/>
    </xf>
    <xf numFmtId="167" fontId="69" fillId="5" borderId="65" xfId="35" applyNumberFormat="1" applyFont="1" applyFill="1" applyBorder="1" applyAlignment="1">
      <alignment wrapText="1"/>
    </xf>
    <xf numFmtId="167" fontId="69" fillId="5" borderId="70" xfId="35" applyNumberFormat="1" applyFont="1" applyFill="1" applyBorder="1" applyAlignment="1">
      <alignment wrapText="1"/>
    </xf>
    <xf numFmtId="167" fontId="69" fillId="5" borderId="102" xfId="35" applyNumberFormat="1" applyFont="1" applyFill="1" applyBorder="1" applyAlignment="1">
      <alignment wrapText="1"/>
    </xf>
    <xf numFmtId="167" fontId="52" fillId="5" borderId="38" xfId="0" applyNumberFormat="1" applyFont="1" applyFill="1" applyBorder="1"/>
    <xf numFmtId="167" fontId="52" fillId="5" borderId="39" xfId="0" applyNumberFormat="1" applyFont="1" applyFill="1" applyBorder="1"/>
    <xf numFmtId="0" fontId="70" fillId="0" borderId="11" xfId="35" applyFont="1" applyFill="1" applyBorder="1" applyAlignment="1">
      <alignment wrapText="1"/>
    </xf>
    <xf numFmtId="167" fontId="70" fillId="0" borderId="101" xfId="35" applyNumberFormat="1" applyFont="1" applyFill="1" applyBorder="1" applyAlignment="1">
      <alignment wrapText="1"/>
    </xf>
    <xf numFmtId="167" fontId="70" fillId="0" borderId="65" xfId="35" applyNumberFormat="1" applyFont="1" applyFill="1" applyBorder="1" applyAlignment="1">
      <alignment wrapText="1"/>
    </xf>
    <xf numFmtId="167" fontId="70" fillId="0" borderId="70" xfId="35" applyNumberFormat="1" applyFont="1" applyFill="1" applyBorder="1" applyAlignment="1">
      <alignment wrapText="1"/>
    </xf>
    <xf numFmtId="167" fontId="70" fillId="0" borderId="102" xfId="35" applyNumberFormat="1" applyFont="1" applyFill="1" applyBorder="1" applyAlignment="1">
      <alignment wrapText="1"/>
    </xf>
    <xf numFmtId="0" fontId="69" fillId="0" borderId="2" xfId="32" applyFont="1" applyFill="1" applyBorder="1" applyAlignment="1">
      <alignment horizontal="center" wrapText="1"/>
    </xf>
    <xf numFmtId="0" fontId="69" fillId="0" borderId="6" xfId="35" applyFont="1" applyFill="1" applyBorder="1" applyAlignment="1">
      <alignment horizontal="left" wrapText="1"/>
    </xf>
    <xf numFmtId="0" fontId="69" fillId="0" borderId="104" xfId="35" applyFont="1" applyFill="1" applyBorder="1" applyAlignment="1">
      <alignment horizontal="center" wrapText="1"/>
    </xf>
    <xf numFmtId="0" fontId="69" fillId="0" borderId="62" xfId="35" applyFont="1" applyFill="1" applyBorder="1" applyAlignment="1">
      <alignment horizontal="center" wrapText="1"/>
    </xf>
    <xf numFmtId="0" fontId="69" fillId="0" borderId="105" xfId="35" applyFont="1" applyFill="1" applyBorder="1" applyAlignment="1">
      <alignment horizontal="center" wrapText="1"/>
    </xf>
    <xf numFmtId="0" fontId="66" fillId="0" borderId="0" xfId="0" applyFont="1"/>
    <xf numFmtId="0" fontId="0" fillId="0" borderId="0" xfId="0" applyFont="1"/>
    <xf numFmtId="49" fontId="66" fillId="0" borderId="12" xfId="0" applyNumberFormat="1" applyFont="1" applyBorder="1" applyAlignment="1">
      <alignment horizontal="center"/>
    </xf>
    <xf numFmtId="0" fontId="52" fillId="0" borderId="19" xfId="0" applyFont="1" applyBorder="1" applyAlignment="1">
      <alignment wrapText="1"/>
    </xf>
    <xf numFmtId="0" fontId="52" fillId="0" borderId="20" xfId="0" applyFont="1" applyBorder="1" applyAlignment="1">
      <alignment wrapText="1"/>
    </xf>
    <xf numFmtId="0" fontId="52" fillId="0" borderId="21" xfId="0" applyFont="1" applyBorder="1" applyAlignment="1">
      <alignment wrapText="1"/>
    </xf>
    <xf numFmtId="0" fontId="52" fillId="0" borderId="19" xfId="0" applyFont="1" applyBorder="1" applyAlignment="1">
      <alignment horizontal="center" wrapText="1"/>
    </xf>
    <xf numFmtId="0" fontId="52" fillId="0" borderId="106" xfId="0" applyFont="1" applyBorder="1" applyAlignment="1">
      <alignment horizontal="center" wrapText="1"/>
    </xf>
    <xf numFmtId="0" fontId="52" fillId="0" borderId="20" xfId="0" applyFont="1" applyBorder="1" applyAlignment="1">
      <alignment horizontal="center" wrapText="1"/>
    </xf>
    <xf numFmtId="0" fontId="52" fillId="0" borderId="21" xfId="0" applyFont="1" applyBorder="1" applyAlignment="1">
      <alignment horizontal="center"/>
    </xf>
    <xf numFmtId="49" fontId="61" fillId="0" borderId="0" xfId="0" applyNumberFormat="1" applyFont="1" applyBorder="1" applyAlignment="1">
      <alignment horizontal="center"/>
    </xf>
    <xf numFmtId="0" fontId="61" fillId="0" borderId="0" xfId="0" applyFont="1" applyBorder="1"/>
    <xf numFmtId="49" fontId="61" fillId="0" borderId="12" xfId="0" applyNumberFormat="1" applyFont="1" applyBorder="1" applyAlignment="1">
      <alignment horizontal="center"/>
    </xf>
    <xf numFmtId="0" fontId="24" fillId="0" borderId="12" xfId="9" applyFont="1" applyBorder="1"/>
    <xf numFmtId="0" fontId="61" fillId="0" borderId="12" xfId="0" applyFont="1" applyBorder="1"/>
    <xf numFmtId="0" fontId="61" fillId="0" borderId="0" xfId="0" applyFont="1" applyAlignment="1">
      <alignment horizontal="left" vertical="top" wrapText="1"/>
    </xf>
    <xf numFmtId="0" fontId="24" fillId="0" borderId="0" xfId="0" applyFont="1" applyBorder="1" applyAlignment="1">
      <alignment vertical="top" wrapText="1"/>
    </xf>
    <xf numFmtId="0" fontId="35" fillId="0" borderId="0" xfId="4" applyFont="1" applyFill="1" applyBorder="1" applyAlignment="1" applyProtection="1">
      <alignment wrapText="1"/>
    </xf>
    <xf numFmtId="0" fontId="73" fillId="0" borderId="0" xfId="0" applyFont="1" applyAlignment="1">
      <alignment wrapText="1"/>
    </xf>
    <xf numFmtId="49" fontId="52" fillId="0" borderId="12" xfId="0" applyNumberFormat="1" applyFont="1" applyBorder="1" applyAlignment="1">
      <alignment horizontal="center"/>
    </xf>
    <xf numFmtId="0" fontId="52" fillId="0" borderId="12" xfId="0" applyFont="1" applyBorder="1" applyAlignment="1">
      <alignment horizontal="left" wrapText="1"/>
    </xf>
    <xf numFmtId="49" fontId="52" fillId="7" borderId="14" xfId="0" quotePrefix="1" applyNumberFormat="1" applyFont="1" applyFill="1" applyBorder="1" applyAlignment="1">
      <alignment horizontal="center"/>
    </xf>
    <xf numFmtId="0" fontId="52" fillId="7" borderId="14" xfId="0" applyFont="1" applyFill="1" applyBorder="1" applyAlignment="1">
      <alignment horizontal="left" wrapText="1"/>
    </xf>
    <xf numFmtId="0" fontId="73" fillId="0" borderId="22" xfId="0" applyFont="1" applyBorder="1"/>
    <xf numFmtId="0" fontId="73" fillId="0" borderId="24" xfId="0" applyFont="1" applyBorder="1"/>
    <xf numFmtId="0" fontId="73" fillId="0" borderId="30" xfId="0" applyFont="1" applyBorder="1" applyAlignment="1">
      <alignment horizontal="right"/>
    </xf>
    <xf numFmtId="9" fontId="73" fillId="0" borderId="22" xfId="40" applyFont="1" applyBorder="1" applyAlignment="1">
      <alignment horizontal="center"/>
    </xf>
    <xf numFmtId="9" fontId="73" fillId="0" borderId="55" xfId="40" applyFont="1" applyBorder="1" applyAlignment="1">
      <alignment horizontal="center"/>
    </xf>
    <xf numFmtId="9" fontId="73" fillId="0" borderId="24" xfId="40" applyFont="1" applyBorder="1" applyAlignment="1">
      <alignment horizontal="center"/>
    </xf>
    <xf numFmtId="9" fontId="73" fillId="0" borderId="23" xfId="40" applyFont="1" applyBorder="1" applyAlignment="1">
      <alignment horizontal="center"/>
    </xf>
    <xf numFmtId="0" fontId="73" fillId="0" borderId="30" xfId="1" applyNumberFormat="1" applyFont="1" applyBorder="1" applyAlignment="1">
      <alignment horizontal="right"/>
    </xf>
    <xf numFmtId="49" fontId="73" fillId="0" borderId="12" xfId="0" applyNumberFormat="1" applyFont="1" applyBorder="1" applyAlignment="1">
      <alignment horizontal="center"/>
    </xf>
    <xf numFmtId="0" fontId="80" fillId="0" borderId="12" xfId="9" applyFont="1" applyBorder="1"/>
    <xf numFmtId="0" fontId="73" fillId="0" borderId="12" xfId="0" applyFont="1" applyBorder="1"/>
    <xf numFmtId="0" fontId="73" fillId="0" borderId="0" xfId="0" applyFont="1" applyAlignment="1">
      <alignment horizontal="left" vertical="top"/>
    </xf>
    <xf numFmtId="0" fontId="73" fillId="0" borderId="0" xfId="0" applyFont="1" applyAlignment="1">
      <alignment vertical="top"/>
    </xf>
    <xf numFmtId="0" fontId="80" fillId="0" borderId="0" xfId="0" applyFont="1" applyBorder="1" applyAlignment="1">
      <alignment vertical="top" wrapText="1"/>
    </xf>
    <xf numFmtId="0" fontId="81" fillId="0" borderId="0" xfId="4" applyFont="1" applyFill="1" applyBorder="1" applyAlignment="1" applyProtection="1">
      <alignment wrapText="1"/>
    </xf>
    <xf numFmtId="9" fontId="52" fillId="5" borderId="22" xfId="40" applyFont="1" applyFill="1" applyBorder="1" applyAlignment="1">
      <alignment horizontal="center"/>
    </xf>
    <xf numFmtId="9" fontId="52" fillId="5" borderId="23" xfId="40" applyFont="1" applyFill="1" applyBorder="1" applyAlignment="1">
      <alignment horizontal="center"/>
    </xf>
    <xf numFmtId="3" fontId="52" fillId="5" borderId="19" xfId="0" applyNumberFormat="1" applyFont="1" applyFill="1" applyBorder="1"/>
    <xf numFmtId="3" fontId="52" fillId="5" borderId="20" xfId="0" applyNumberFormat="1" applyFont="1" applyFill="1" applyBorder="1"/>
    <xf numFmtId="3" fontId="52" fillId="5" borderId="21" xfId="0" applyNumberFormat="1" applyFont="1" applyFill="1" applyBorder="1"/>
    <xf numFmtId="0" fontId="52" fillId="5" borderId="19" xfId="0" applyFont="1" applyFill="1" applyBorder="1"/>
    <xf numFmtId="0" fontId="52" fillId="5" borderId="20" xfId="0" applyFont="1" applyFill="1" applyBorder="1"/>
    <xf numFmtId="0" fontId="52" fillId="5" borderId="21" xfId="0" applyFont="1" applyFill="1" applyBorder="1"/>
    <xf numFmtId="172" fontId="52" fillId="5" borderId="28" xfId="1" applyNumberFormat="1" applyFont="1" applyFill="1" applyBorder="1"/>
    <xf numFmtId="178" fontId="73" fillId="0" borderId="0" xfId="3" applyNumberFormat="1" applyFont="1"/>
    <xf numFmtId="178" fontId="52" fillId="0" borderId="0" xfId="3" applyNumberFormat="1" applyFont="1" applyAlignment="1">
      <alignment horizontal="center"/>
    </xf>
    <xf numFmtId="178" fontId="52" fillId="0" borderId="0" xfId="3" applyNumberFormat="1" applyFont="1"/>
    <xf numFmtId="49" fontId="66" fillId="12" borderId="14" xfId="0" quotePrefix="1" applyNumberFormat="1" applyFont="1" applyFill="1" applyBorder="1" applyAlignment="1">
      <alignment horizontal="center"/>
    </xf>
    <xf numFmtId="0" fontId="66" fillId="12" borderId="14" xfId="0" applyFont="1" applyFill="1" applyBorder="1" applyAlignment="1">
      <alignment horizontal="left" wrapText="1"/>
    </xf>
    <xf numFmtId="178" fontId="52" fillId="0" borderId="0" xfId="3" applyNumberFormat="1" applyFont="1" applyFill="1"/>
    <xf numFmtId="9" fontId="52" fillId="20" borderId="0" xfId="40" applyFont="1" applyFill="1"/>
    <xf numFmtId="178" fontId="52" fillId="0" borderId="34" xfId="3" applyNumberFormat="1" applyFont="1" applyBorder="1"/>
    <xf numFmtId="178" fontId="52" fillId="0" borderId="0" xfId="3" applyNumberFormat="1" applyFont="1" applyBorder="1" applyAlignment="1">
      <alignment wrapText="1"/>
    </xf>
    <xf numFmtId="178" fontId="52" fillId="0" borderId="0" xfId="3" applyNumberFormat="1" applyFont="1" applyBorder="1"/>
    <xf numFmtId="178" fontId="52" fillId="0" borderId="33" xfId="3" applyNumberFormat="1" applyFont="1" applyBorder="1"/>
    <xf numFmtId="178" fontId="52" fillId="12" borderId="13" xfId="3" applyNumberFormat="1" applyFont="1" applyFill="1" applyBorder="1"/>
    <xf numFmtId="178" fontId="52" fillId="12" borderId="14" xfId="3" applyNumberFormat="1" applyFont="1" applyFill="1" applyBorder="1"/>
    <xf numFmtId="178" fontId="52" fillId="12" borderId="15" xfId="3" applyNumberFormat="1" applyFont="1" applyFill="1" applyBorder="1"/>
    <xf numFmtId="178" fontId="73" fillId="0" borderId="34" xfId="3" applyNumberFormat="1" applyFont="1" applyBorder="1"/>
    <xf numFmtId="178" fontId="73" fillId="0" borderId="0" xfId="3" applyNumberFormat="1" applyFont="1" applyBorder="1"/>
    <xf numFmtId="178" fontId="73" fillId="0" borderId="33" xfId="3" applyNumberFormat="1" applyFont="1" applyBorder="1"/>
    <xf numFmtId="178" fontId="73" fillId="0" borderId="36" xfId="3" applyNumberFormat="1" applyFont="1" applyBorder="1"/>
    <xf numFmtId="178" fontId="73" fillId="0" borderId="12" xfId="3" applyNumberFormat="1" applyFont="1" applyBorder="1"/>
    <xf numFmtId="178" fontId="73" fillId="0" borderId="35" xfId="3" applyNumberFormat="1" applyFont="1" applyBorder="1"/>
    <xf numFmtId="9" fontId="52" fillId="0" borderId="34" xfId="40" applyFont="1" applyBorder="1"/>
    <xf numFmtId="9" fontId="52" fillId="0" borderId="0" xfId="40" applyFont="1" applyBorder="1"/>
    <xf numFmtId="9" fontId="52" fillId="0" borderId="33" xfId="40" applyFont="1" applyBorder="1" applyAlignment="1">
      <alignment wrapText="1"/>
    </xf>
    <xf numFmtId="9" fontId="52" fillId="12" borderId="13" xfId="40" applyFont="1" applyFill="1" applyBorder="1"/>
    <xf numFmtId="9" fontId="52" fillId="12" borderId="14" xfId="40" applyFont="1" applyFill="1" applyBorder="1"/>
    <xf numFmtId="9" fontId="52" fillId="12" borderId="15" xfId="40" applyFont="1" applyFill="1" applyBorder="1"/>
    <xf numFmtId="9" fontId="73" fillId="0" borderId="36" xfId="40" applyFont="1" applyBorder="1"/>
    <xf numFmtId="9" fontId="73" fillId="0" borderId="12" xfId="40" applyFont="1" applyBorder="1"/>
    <xf numFmtId="9" fontId="73" fillId="0" borderId="35" xfId="40" applyFont="1" applyBorder="1"/>
    <xf numFmtId="9" fontId="52" fillId="0" borderId="0" xfId="40" applyFont="1" applyBorder="1" applyAlignment="1">
      <alignment wrapText="1"/>
    </xf>
    <xf numFmtId="9" fontId="52" fillId="0" borderId="33" xfId="40" applyFont="1" applyBorder="1"/>
    <xf numFmtId="0" fontId="73" fillId="0" borderId="0" xfId="0" applyFont="1" applyFill="1" applyBorder="1"/>
    <xf numFmtId="0" fontId="70" fillId="0" borderId="1" xfId="38" applyFont="1" applyFill="1" applyBorder="1" applyAlignment="1">
      <alignment wrapText="1"/>
    </xf>
    <xf numFmtId="0" fontId="34" fillId="0" borderId="4" xfId="39" applyFont="1" applyFill="1" applyBorder="1" applyAlignment="1">
      <alignment horizontal="center"/>
    </xf>
    <xf numFmtId="178" fontId="70" fillId="0" borderId="38" xfId="3" applyNumberFormat="1" applyFont="1" applyFill="1" applyBorder="1" applyAlignment="1">
      <alignment wrapText="1"/>
    </xf>
    <xf numFmtId="178" fontId="70" fillId="0" borderId="39" xfId="3" applyNumberFormat="1" applyFont="1" applyFill="1" applyBorder="1" applyAlignment="1">
      <alignment wrapText="1"/>
    </xf>
    <xf numFmtId="166" fontId="34" fillId="0" borderId="1" xfId="39" applyNumberFormat="1" applyFont="1" applyFill="1" applyBorder="1" applyAlignment="1">
      <alignment horizontal="right" wrapText="1"/>
    </xf>
    <xf numFmtId="166" fontId="0" fillId="0" borderId="0" xfId="0" applyNumberFormat="1" applyFont="1"/>
    <xf numFmtId="0" fontId="69" fillId="0" borderId="104" xfId="22" applyFont="1" applyFill="1" applyBorder="1" applyAlignment="1">
      <alignment horizontal="center"/>
    </xf>
    <xf numFmtId="0" fontId="69" fillId="0" borderId="62" xfId="22" applyFont="1" applyFill="1" applyBorder="1" applyAlignment="1">
      <alignment horizontal="center"/>
    </xf>
    <xf numFmtId="0" fontId="69" fillId="0" borderId="62" xfId="22" applyFont="1" applyFill="1" applyBorder="1" applyAlignment="1">
      <alignment horizontal="center" wrapText="1"/>
    </xf>
    <xf numFmtId="0" fontId="69" fillId="0" borderId="64" xfId="22" applyFont="1" applyFill="1" applyBorder="1" applyAlignment="1">
      <alignment horizontal="center"/>
    </xf>
    <xf numFmtId="167" fontId="52" fillId="5" borderId="37" xfId="0" applyNumberFormat="1" applyFont="1" applyFill="1" applyBorder="1"/>
    <xf numFmtId="166" fontId="34" fillId="0" borderId="101" xfId="29" applyNumberFormat="1" applyFont="1" applyFill="1" applyBorder="1" applyAlignment="1">
      <alignment horizontal="right" wrapText="1"/>
    </xf>
    <xf numFmtId="166" fontId="34" fillId="0" borderId="65" xfId="29" applyNumberFormat="1" applyFont="1" applyFill="1" applyBorder="1" applyAlignment="1">
      <alignment horizontal="right" wrapText="1"/>
    </xf>
    <xf numFmtId="166" fontId="34" fillId="0" borderId="70" xfId="29" applyNumberFormat="1" applyFont="1" applyFill="1" applyBorder="1" applyAlignment="1">
      <alignment horizontal="right" wrapText="1"/>
    </xf>
    <xf numFmtId="0" fontId="37" fillId="0" borderId="37" xfId="29" applyFont="1" applyBorder="1"/>
    <xf numFmtId="0" fontId="37" fillId="0" borderId="38" xfId="29" applyFont="1" applyBorder="1"/>
    <xf numFmtId="0" fontId="37" fillId="0" borderId="39" xfId="29" applyFont="1" applyBorder="1"/>
    <xf numFmtId="0" fontId="34" fillId="0" borderId="4" xfId="31" applyFont="1" applyFill="1" applyBorder="1" applyAlignment="1">
      <alignment horizontal="center"/>
    </xf>
    <xf numFmtId="0" fontId="70" fillId="0" borderId="100" xfId="26" applyFont="1" applyFill="1" applyBorder="1" applyAlignment="1">
      <alignment wrapText="1"/>
    </xf>
    <xf numFmtId="167" fontId="70" fillId="0" borderId="107" xfId="26" applyNumberFormat="1" applyFont="1" applyFill="1" applyBorder="1" applyAlignment="1">
      <alignment wrapText="1"/>
    </xf>
    <xf numFmtId="167" fontId="70" fillId="0" borderId="108" xfId="26" applyNumberFormat="1" applyFont="1" applyFill="1" applyBorder="1" applyAlignment="1">
      <alignment wrapText="1"/>
    </xf>
    <xf numFmtId="167" fontId="70" fillId="0" borderId="109" xfId="26" applyNumberFormat="1" applyFont="1" applyFill="1" applyBorder="1" applyAlignment="1">
      <alignment wrapText="1"/>
    </xf>
    <xf numFmtId="167" fontId="70" fillId="0" borderId="110" xfId="26" applyNumberFormat="1" applyFont="1" applyFill="1" applyBorder="1" applyAlignment="1">
      <alignment wrapText="1"/>
    </xf>
    <xf numFmtId="0" fontId="70" fillId="0" borderId="11" xfId="26" applyFont="1" applyFill="1" applyBorder="1" applyAlignment="1">
      <alignment wrapText="1"/>
    </xf>
    <xf numFmtId="167" fontId="70" fillId="0" borderId="101" xfId="26" applyNumberFormat="1" applyFont="1" applyFill="1" applyBorder="1" applyAlignment="1">
      <alignment wrapText="1"/>
    </xf>
    <xf numFmtId="167" fontId="70" fillId="0" borderId="65" xfId="26" applyNumberFormat="1" applyFont="1" applyFill="1" applyBorder="1" applyAlignment="1">
      <alignment wrapText="1"/>
    </xf>
    <xf numFmtId="167" fontId="70" fillId="0" borderId="70" xfId="26" applyNumberFormat="1" applyFont="1" applyFill="1" applyBorder="1" applyAlignment="1">
      <alignment wrapText="1"/>
    </xf>
    <xf numFmtId="167" fontId="70" fillId="0" borderId="102" xfId="26" applyNumberFormat="1" applyFont="1" applyFill="1" applyBorder="1" applyAlignment="1">
      <alignment wrapText="1"/>
    </xf>
    <xf numFmtId="0" fontId="37" fillId="0" borderId="9" xfId="31" applyFont="1" applyBorder="1"/>
    <xf numFmtId="0" fontId="37" fillId="0" borderId="0" xfId="31" applyFont="1" applyBorder="1"/>
    <xf numFmtId="0" fontId="37" fillId="0" borderId="43" xfId="31" applyFont="1" applyBorder="1"/>
    <xf numFmtId="166" fontId="34" fillId="0" borderId="111" xfId="31" applyNumberFormat="1" applyFont="1" applyFill="1" applyBorder="1" applyAlignment="1">
      <alignment horizontal="right" wrapText="1"/>
    </xf>
    <xf numFmtId="166" fontId="34" fillId="0" borderId="1" xfId="31" applyNumberFormat="1" applyFont="1" applyFill="1" applyBorder="1" applyAlignment="1">
      <alignment horizontal="right" wrapText="1"/>
    </xf>
    <xf numFmtId="166" fontId="34" fillId="0" borderId="112" xfId="31" applyNumberFormat="1" applyFont="1" applyFill="1" applyBorder="1" applyAlignment="1">
      <alignment horizontal="right" wrapText="1"/>
    </xf>
    <xf numFmtId="0" fontId="69" fillId="0" borderId="2" xfId="26" applyFont="1" applyFill="1" applyBorder="1" applyAlignment="1">
      <alignment horizontal="center"/>
    </xf>
    <xf numFmtId="0" fontId="70" fillId="0" borderId="10" xfId="32" applyFont="1" applyFill="1" applyBorder="1" applyAlignment="1">
      <alignment horizontal="center" wrapText="1"/>
    </xf>
    <xf numFmtId="166" fontId="34" fillId="0" borderId="113" xfId="31" applyNumberFormat="1" applyFont="1" applyFill="1" applyBorder="1" applyAlignment="1">
      <alignment horizontal="right" wrapText="1"/>
    </xf>
    <xf numFmtId="166" fontId="34" fillId="0" borderId="10" xfId="31" applyNumberFormat="1" applyFont="1" applyFill="1" applyBorder="1" applyAlignment="1">
      <alignment horizontal="right" wrapText="1"/>
    </xf>
    <xf numFmtId="166" fontId="34" fillId="0" borderId="114" xfId="31" applyNumberFormat="1" applyFont="1" applyFill="1" applyBorder="1" applyAlignment="1">
      <alignment horizontal="right" wrapText="1"/>
    </xf>
    <xf numFmtId="0" fontId="69" fillId="0" borderId="2" xfId="32" applyFont="1" applyFill="1" applyBorder="1" applyAlignment="1">
      <alignment horizontal="left" wrapText="1"/>
    </xf>
    <xf numFmtId="0" fontId="69" fillId="0" borderId="2" xfId="26" applyFont="1" applyFill="1" applyBorder="1" applyAlignment="1">
      <alignment horizontal="left"/>
    </xf>
    <xf numFmtId="0" fontId="69" fillId="0" borderId="2" xfId="35" applyFont="1" applyFill="1" applyBorder="1" applyAlignment="1">
      <alignment horizontal="center" wrapText="1"/>
    </xf>
    <xf numFmtId="0" fontId="69" fillId="5" borderId="115" xfId="32" quotePrefix="1" applyFont="1" applyFill="1" applyBorder="1" applyAlignment="1">
      <alignment horizontal="center" wrapText="1"/>
    </xf>
    <xf numFmtId="0" fontId="69" fillId="5" borderId="2" xfId="26" applyFont="1" applyFill="1" applyBorder="1" applyAlignment="1">
      <alignment wrapText="1"/>
    </xf>
    <xf numFmtId="167" fontId="69" fillId="5" borderId="2" xfId="26" applyNumberFormat="1" applyFont="1" applyFill="1" applyBorder="1" applyAlignment="1">
      <alignment wrapText="1"/>
    </xf>
    <xf numFmtId="167" fontId="52" fillId="5" borderId="2" xfId="0" applyNumberFormat="1" applyFont="1" applyFill="1" applyBorder="1"/>
    <xf numFmtId="0" fontId="70" fillId="0" borderId="1" xfId="30" applyFont="1" applyFill="1" applyBorder="1" applyAlignment="1">
      <alignment wrapText="1"/>
    </xf>
    <xf numFmtId="0" fontId="70" fillId="0" borderId="0" xfId="30" applyFont="1" applyFill="1" applyBorder="1" applyAlignment="1">
      <alignment wrapText="1"/>
    </xf>
    <xf numFmtId="167" fontId="70" fillId="0" borderId="0" xfId="30" applyNumberFormat="1" applyFont="1" applyFill="1" applyBorder="1" applyAlignment="1">
      <alignment horizontal="right" wrapText="1"/>
    </xf>
    <xf numFmtId="0" fontId="69" fillId="21" borderId="0" xfId="30" applyFont="1" applyFill="1" applyBorder="1" applyAlignment="1">
      <alignment horizontal="left"/>
    </xf>
    <xf numFmtId="167" fontId="69" fillId="5" borderId="1" xfId="30" applyNumberFormat="1" applyFont="1" applyFill="1" applyBorder="1" applyAlignment="1">
      <alignment wrapText="1"/>
    </xf>
    <xf numFmtId="167" fontId="70" fillId="0" borderId="1" xfId="30" applyNumberFormat="1" applyFont="1" applyFill="1" applyBorder="1" applyAlignment="1">
      <alignment wrapText="1"/>
    </xf>
    <xf numFmtId="167" fontId="70" fillId="0" borderId="1" xfId="30" applyNumberFormat="1" applyFont="1" applyFill="1" applyBorder="1" applyAlignment="1">
      <alignment horizontal="right" wrapText="1"/>
    </xf>
    <xf numFmtId="166" fontId="34" fillId="0" borderId="1" xfId="32" applyNumberFormat="1" applyFont="1" applyFill="1" applyBorder="1" applyAlignment="1">
      <alignment horizontal="right" wrapText="1"/>
    </xf>
    <xf numFmtId="166" fontId="61" fillId="0" borderId="0" xfId="0" applyNumberFormat="1" applyFont="1"/>
    <xf numFmtId="0" fontId="69" fillId="0" borderId="2" xfId="30" applyFont="1" applyFill="1" applyBorder="1" applyAlignment="1">
      <alignment horizontal="center"/>
    </xf>
    <xf numFmtId="0" fontId="69" fillId="0" borderId="2" xfId="30" applyFont="1" applyFill="1" applyBorder="1" applyAlignment="1">
      <alignment horizontal="center" wrapText="1"/>
    </xf>
    <xf numFmtId="0" fontId="69" fillId="0" borderId="2" xfId="23" applyFont="1" applyFill="1" applyBorder="1" applyAlignment="1">
      <alignment horizontal="center"/>
    </xf>
    <xf numFmtId="0" fontId="69" fillId="21" borderId="0" xfId="24" applyFont="1" applyFill="1" applyBorder="1" applyAlignment="1">
      <alignment horizontal="center"/>
    </xf>
    <xf numFmtId="0" fontId="69" fillId="21" borderId="0" xfId="24" applyFont="1" applyFill="1" applyBorder="1" applyAlignment="1">
      <alignment horizontal="left"/>
    </xf>
    <xf numFmtId="0" fontId="70" fillId="0" borderId="1" xfId="24" applyFont="1" applyFill="1" applyBorder="1" applyAlignment="1">
      <alignment horizontal="center" wrapText="1"/>
    </xf>
    <xf numFmtId="0" fontId="69" fillId="0" borderId="2" xfId="24" applyFont="1" applyFill="1" applyBorder="1" applyAlignment="1">
      <alignment horizontal="center" wrapText="1"/>
    </xf>
    <xf numFmtId="0" fontId="69" fillId="0" borderId="6" xfId="24" applyFont="1" applyFill="1" applyBorder="1" applyAlignment="1">
      <alignment horizontal="left"/>
    </xf>
    <xf numFmtId="0" fontId="70" fillId="0" borderId="11" xfId="24" applyFont="1" applyFill="1" applyBorder="1" applyAlignment="1">
      <alignment wrapText="1"/>
    </xf>
    <xf numFmtId="0" fontId="69" fillId="0" borderId="2" xfId="24" applyFont="1" applyFill="1" applyBorder="1" applyAlignment="1">
      <alignment horizontal="center"/>
    </xf>
    <xf numFmtId="167" fontId="52" fillId="5" borderId="3" xfId="0" applyNumberFormat="1" applyFont="1" applyFill="1" applyBorder="1"/>
    <xf numFmtId="166" fontId="34" fillId="0" borderId="103" xfId="35" applyNumberFormat="1" applyFont="1" applyFill="1" applyBorder="1" applyAlignment="1">
      <alignment horizontal="right" wrapText="1"/>
    </xf>
    <xf numFmtId="0" fontId="34" fillId="0" borderId="103" xfId="35" applyFont="1" applyFill="1" applyBorder="1" applyAlignment="1">
      <alignment horizontal="right" wrapText="1"/>
    </xf>
    <xf numFmtId="0" fontId="70" fillId="0" borderId="0" xfId="37" applyFont="1" applyFill="1" applyBorder="1" applyAlignment="1">
      <alignment horizontal="center"/>
    </xf>
    <xf numFmtId="0" fontId="70" fillId="0" borderId="4" xfId="37" applyFont="1" applyFill="1" applyBorder="1" applyAlignment="1">
      <alignment horizontal="center"/>
    </xf>
    <xf numFmtId="0" fontId="69" fillId="0" borderId="116" xfId="24" applyFont="1" applyFill="1" applyBorder="1" applyAlignment="1">
      <alignment horizontal="center" wrapText="1"/>
    </xf>
    <xf numFmtId="0" fontId="69" fillId="0" borderId="117" xfId="36" applyFont="1" applyFill="1" applyBorder="1" applyAlignment="1">
      <alignment horizontal="left"/>
    </xf>
    <xf numFmtId="0" fontId="69" fillId="0" borderId="118" xfId="36" applyFont="1" applyFill="1" applyBorder="1" applyAlignment="1">
      <alignment horizontal="center" wrapText="1"/>
    </xf>
    <xf numFmtId="0" fontId="69" fillId="0" borderId="119" xfId="36" applyFont="1" applyFill="1" applyBorder="1" applyAlignment="1">
      <alignment horizontal="center" wrapText="1"/>
    </xf>
    <xf numFmtId="0" fontId="69" fillId="0" borderId="67" xfId="36" applyFont="1" applyFill="1" applyBorder="1" applyAlignment="1">
      <alignment horizontal="center" wrapText="1"/>
    </xf>
    <xf numFmtId="178" fontId="70" fillId="0" borderId="37" xfId="3" applyNumberFormat="1" applyFont="1" applyFill="1" applyBorder="1" applyAlignment="1">
      <alignment wrapText="1"/>
    </xf>
    <xf numFmtId="0" fontId="69" fillId="21" borderId="98" xfId="24" applyFont="1" applyFill="1" applyBorder="1" applyAlignment="1">
      <alignment horizontal="center"/>
    </xf>
    <xf numFmtId="0" fontId="69" fillId="5" borderId="120" xfId="36" applyFont="1" applyFill="1" applyBorder="1" applyAlignment="1">
      <alignment wrapText="1"/>
    </xf>
    <xf numFmtId="178" fontId="69" fillId="5" borderId="104" xfId="3" applyNumberFormat="1" applyFont="1" applyFill="1" applyBorder="1" applyAlignment="1">
      <alignment horizontal="right" wrapText="1"/>
    </xf>
    <xf numFmtId="178" fontId="69" fillId="5" borderId="62" xfId="3" applyNumberFormat="1" applyFont="1" applyFill="1" applyBorder="1" applyAlignment="1">
      <alignment horizontal="right" wrapText="1"/>
    </xf>
    <xf numFmtId="178" fontId="69" fillId="5" borderId="64" xfId="3" applyNumberFormat="1" applyFont="1" applyFill="1" applyBorder="1" applyAlignment="1">
      <alignment horizontal="right" wrapText="1"/>
    </xf>
    <xf numFmtId="0" fontId="69" fillId="0" borderId="121" xfId="36" applyFont="1" applyFill="1" applyBorder="1" applyAlignment="1">
      <alignment horizontal="center" wrapText="1"/>
    </xf>
    <xf numFmtId="178" fontId="69" fillId="5" borderId="63" xfId="3" applyNumberFormat="1" applyFont="1" applyFill="1" applyBorder="1" applyAlignment="1">
      <alignment horizontal="right" wrapText="1"/>
    </xf>
    <xf numFmtId="167" fontId="70" fillId="0" borderId="38" xfId="37" applyNumberFormat="1" applyFont="1" applyBorder="1"/>
    <xf numFmtId="167" fontId="73" fillId="0" borderId="37" xfId="0" applyNumberFormat="1" applyFont="1" applyBorder="1"/>
    <xf numFmtId="167" fontId="73" fillId="0" borderId="38" xfId="0" applyNumberFormat="1" applyFont="1" applyBorder="1"/>
    <xf numFmtId="167" fontId="73" fillId="0" borderId="39" xfId="0" applyNumberFormat="1" applyFont="1" applyBorder="1"/>
    <xf numFmtId="167" fontId="70" fillId="0" borderId="37" xfId="37" applyNumberFormat="1" applyFont="1" applyBorder="1"/>
    <xf numFmtId="167" fontId="70" fillId="0" borderId="39" xfId="37" applyNumberFormat="1" applyFont="1" applyBorder="1"/>
    <xf numFmtId="178" fontId="70" fillId="0" borderId="66" xfId="3" applyNumberFormat="1" applyFont="1" applyFill="1" applyBorder="1" applyAlignment="1">
      <alignment wrapText="1"/>
    </xf>
    <xf numFmtId="167" fontId="70" fillId="0" borderId="66" xfId="37" applyNumberFormat="1" applyFont="1" applyBorder="1"/>
    <xf numFmtId="167" fontId="73" fillId="0" borderId="66" xfId="0" applyNumberFormat="1" applyFont="1" applyBorder="1"/>
    <xf numFmtId="0" fontId="70" fillId="0" borderId="122" xfId="24" applyFont="1" applyFill="1" applyBorder="1" applyAlignment="1">
      <alignment horizontal="center" wrapText="1"/>
    </xf>
    <xf numFmtId="167" fontId="70" fillId="0" borderId="47" xfId="36" applyNumberFormat="1" applyFont="1" applyFill="1" applyBorder="1" applyAlignment="1">
      <alignment wrapText="1"/>
    </xf>
    <xf numFmtId="167" fontId="70" fillId="0" borderId="37" xfId="37" applyNumberFormat="1" applyFont="1" applyFill="1" applyBorder="1" applyAlignment="1">
      <alignment horizontal="right" wrapText="1"/>
    </xf>
    <xf numFmtId="167" fontId="70" fillId="0" borderId="38" xfId="37" applyNumberFormat="1" applyFont="1" applyFill="1" applyBorder="1" applyAlignment="1">
      <alignment horizontal="right" wrapText="1"/>
    </xf>
    <xf numFmtId="167" fontId="70" fillId="0" borderId="66" xfId="37" applyNumberFormat="1" applyFont="1" applyFill="1" applyBorder="1" applyAlignment="1">
      <alignment horizontal="right" wrapText="1"/>
    </xf>
    <xf numFmtId="167" fontId="70" fillId="0" borderId="39" xfId="37" applyNumberFormat="1" applyFont="1" applyFill="1" applyBorder="1" applyAlignment="1">
      <alignment horizontal="right" wrapText="1"/>
    </xf>
    <xf numFmtId="167" fontId="73" fillId="0" borderId="123" xfId="0" applyNumberFormat="1" applyFont="1" applyBorder="1"/>
    <xf numFmtId="167" fontId="73" fillId="0" borderId="0" xfId="0" applyNumberFormat="1" applyFont="1" applyBorder="1"/>
    <xf numFmtId="166" fontId="0" fillId="0" borderId="0" xfId="0" applyNumberFormat="1" applyFont="1"/>
    <xf numFmtId="0" fontId="69" fillId="0" borderId="116" xfId="25" applyFont="1" applyFill="1" applyBorder="1" applyAlignment="1">
      <alignment horizontal="left"/>
    </xf>
    <xf numFmtId="0" fontId="69" fillId="0" borderId="116" xfId="25" applyFont="1" applyFill="1" applyBorder="1" applyAlignment="1">
      <alignment horizontal="center"/>
    </xf>
    <xf numFmtId="0" fontId="69" fillId="21" borderId="3" xfId="24" applyFont="1" applyFill="1" applyBorder="1" applyAlignment="1">
      <alignment horizontal="center"/>
    </xf>
    <xf numFmtId="0" fontId="69" fillId="21" borderId="3" xfId="25" applyFont="1" applyFill="1" applyBorder="1" applyAlignment="1">
      <alignment horizontal="left"/>
    </xf>
    <xf numFmtId="171" fontId="69" fillId="21" borderId="3" xfId="25" applyNumberFormat="1" applyFont="1" applyFill="1" applyBorder="1" applyAlignment="1"/>
    <xf numFmtId="0" fontId="70" fillId="0" borderId="3" xfId="24" applyFont="1" applyFill="1" applyBorder="1" applyAlignment="1">
      <alignment horizontal="center" wrapText="1"/>
    </xf>
    <xf numFmtId="0" fontId="70" fillId="0" borderId="3" xfId="25" applyFont="1" applyFill="1" applyBorder="1" applyAlignment="1">
      <alignment wrapText="1"/>
    </xf>
    <xf numFmtId="166" fontId="34" fillId="0" borderId="3" xfId="36" applyNumberFormat="1" applyFont="1" applyFill="1" applyBorder="1" applyAlignment="1">
      <alignment horizontal="right" wrapText="1"/>
    </xf>
    <xf numFmtId="0" fontId="70" fillId="0" borderId="124" xfId="24" applyFont="1" applyFill="1" applyBorder="1" applyAlignment="1">
      <alignment horizontal="center" wrapText="1"/>
    </xf>
    <xf numFmtId="0" fontId="70" fillId="0" borderId="124" xfId="25" applyFont="1" applyFill="1" applyBorder="1" applyAlignment="1">
      <alignment wrapText="1"/>
    </xf>
    <xf numFmtId="166" fontId="34" fillId="0" borderId="124" xfId="36" applyNumberFormat="1" applyFont="1" applyFill="1" applyBorder="1" applyAlignment="1">
      <alignment horizontal="right" wrapText="1"/>
    </xf>
    <xf numFmtId="0" fontId="69" fillId="5" borderId="74" xfId="37" applyFont="1" applyFill="1" applyBorder="1" applyAlignment="1">
      <alignment horizontal="left" wrapText="1"/>
    </xf>
    <xf numFmtId="0" fontId="69" fillId="5" borderId="75" xfId="37" applyFont="1" applyFill="1" applyBorder="1" applyAlignment="1">
      <alignment wrapText="1"/>
    </xf>
    <xf numFmtId="178" fontId="69" fillId="5" borderId="125" xfId="3" applyNumberFormat="1" applyFont="1" applyFill="1" applyBorder="1" applyAlignment="1">
      <alignment wrapText="1"/>
    </xf>
    <xf numFmtId="178" fontId="69" fillId="5" borderId="71" xfId="3" applyNumberFormat="1" applyFont="1" applyFill="1" applyBorder="1" applyAlignment="1">
      <alignment wrapText="1"/>
    </xf>
    <xf numFmtId="178" fontId="69" fillId="5" borderId="73" xfId="3" applyNumberFormat="1" applyFont="1" applyFill="1" applyBorder="1" applyAlignment="1">
      <alignment wrapText="1"/>
    </xf>
    <xf numFmtId="167" fontId="70" fillId="0" borderId="0" xfId="37" applyNumberFormat="1" applyFont="1" applyFill="1" applyBorder="1" applyAlignment="1">
      <alignment wrapText="1"/>
    </xf>
    <xf numFmtId="0" fontId="70" fillId="0" borderId="0" xfId="37" applyFont="1" applyFill="1" applyBorder="1" applyAlignment="1">
      <alignment wrapText="1"/>
    </xf>
    <xf numFmtId="0" fontId="70" fillId="0" borderId="4" xfId="38" applyFont="1" applyFill="1" applyBorder="1" applyAlignment="1">
      <alignment horizontal="center"/>
    </xf>
    <xf numFmtId="166" fontId="73" fillId="0" borderId="0" xfId="0" applyNumberFormat="1" applyFont="1"/>
    <xf numFmtId="0" fontId="69" fillId="0" borderId="2" xfId="37" applyFont="1" applyFill="1" applyBorder="1" applyAlignment="1">
      <alignment horizontal="left"/>
    </xf>
    <xf numFmtId="0" fontId="69" fillId="0" borderId="6" xfId="37" applyFont="1" applyFill="1" applyBorder="1" applyAlignment="1">
      <alignment horizontal="left"/>
    </xf>
    <xf numFmtId="178" fontId="52" fillId="5" borderId="38" xfId="3" applyNumberFormat="1" applyFont="1" applyFill="1" applyBorder="1"/>
    <xf numFmtId="178" fontId="52" fillId="5" borderId="39" xfId="3" applyNumberFormat="1" applyFont="1" applyFill="1" applyBorder="1"/>
    <xf numFmtId="0" fontId="69" fillId="0" borderId="104" xfId="37" applyFont="1" applyFill="1" applyBorder="1" applyAlignment="1">
      <alignment horizontal="center" wrapText="1"/>
    </xf>
    <xf numFmtId="0" fontId="69" fillId="0" borderId="62" xfId="37" applyFont="1" applyFill="1" applyBorder="1" applyAlignment="1">
      <alignment horizontal="center" wrapText="1"/>
    </xf>
    <xf numFmtId="0" fontId="69" fillId="0" borderId="64" xfId="37" applyFont="1" applyFill="1" applyBorder="1" applyAlignment="1">
      <alignment horizontal="center" wrapText="1"/>
    </xf>
    <xf numFmtId="0" fontId="69" fillId="0" borderId="104" xfId="37" applyFont="1" applyFill="1" applyBorder="1" applyAlignment="1">
      <alignment horizontal="center" wrapText="1"/>
    </xf>
    <xf numFmtId="0" fontId="69" fillId="0" borderId="62" xfId="37" applyFont="1" applyFill="1" applyBorder="1" applyAlignment="1">
      <alignment horizontal="center" wrapText="1"/>
    </xf>
    <xf numFmtId="0" fontId="69" fillId="0" borderId="64" xfId="37" applyFont="1" applyFill="1" applyBorder="1" applyAlignment="1">
      <alignment horizontal="center" wrapText="1"/>
    </xf>
    <xf numFmtId="178" fontId="52" fillId="5" borderId="37" xfId="3" applyNumberFormat="1" applyFont="1" applyFill="1" applyBorder="1"/>
    <xf numFmtId="0" fontId="70" fillId="0" borderId="37" xfId="38" applyFont="1" applyBorder="1"/>
    <xf numFmtId="0" fontId="70" fillId="0" borderId="38" xfId="38" applyFont="1" applyBorder="1"/>
    <xf numFmtId="0" fontId="70" fillId="0" borderId="39" xfId="38" applyFont="1" applyBorder="1"/>
    <xf numFmtId="166" fontId="70" fillId="0" borderId="125" xfId="38" applyNumberFormat="1" applyFont="1" applyFill="1" applyBorder="1" applyAlignment="1">
      <alignment horizontal="right" wrapText="1"/>
    </xf>
    <xf numFmtId="166" fontId="70" fillId="0" borderId="71" xfId="38" applyNumberFormat="1" applyFont="1" applyFill="1" applyBorder="1" applyAlignment="1">
      <alignment horizontal="right" wrapText="1"/>
    </xf>
    <xf numFmtId="166" fontId="70" fillId="0" borderId="73" xfId="38" applyNumberFormat="1" applyFont="1" applyFill="1" applyBorder="1" applyAlignment="1">
      <alignment horizontal="right" wrapText="1"/>
    </xf>
    <xf numFmtId="166" fontId="70" fillId="0" borderId="37" xfId="38" applyNumberFormat="1" applyFont="1" applyFill="1" applyBorder="1" applyAlignment="1">
      <alignment horizontal="right" wrapText="1"/>
    </xf>
    <xf numFmtId="166" fontId="70" fillId="0" borderId="38" xfId="38" applyNumberFormat="1" applyFont="1" applyFill="1" applyBorder="1" applyAlignment="1">
      <alignment horizontal="right" wrapText="1"/>
    </xf>
    <xf numFmtId="166" fontId="70" fillId="0" borderId="39" xfId="38" applyNumberFormat="1" applyFont="1" applyFill="1" applyBorder="1" applyAlignment="1">
      <alignment horizontal="right" wrapText="1"/>
    </xf>
    <xf numFmtId="166" fontId="70" fillId="0" borderId="107" xfId="38" applyNumberFormat="1" applyFont="1" applyFill="1" applyBorder="1" applyAlignment="1">
      <alignment horizontal="right" wrapText="1"/>
    </xf>
    <xf numFmtId="166" fontId="70" fillId="0" borderId="108" xfId="38" applyNumberFormat="1" applyFont="1" applyFill="1" applyBorder="1" applyAlignment="1">
      <alignment horizontal="right" wrapText="1"/>
    </xf>
    <xf numFmtId="166" fontId="70" fillId="0" borderId="109" xfId="38" applyNumberFormat="1" applyFont="1" applyFill="1" applyBorder="1" applyAlignment="1">
      <alignment horizontal="right" wrapText="1"/>
    </xf>
    <xf numFmtId="1" fontId="0" fillId="0" borderId="0" xfId="0" applyNumberFormat="1" applyFont="1"/>
    <xf numFmtId="1" fontId="69" fillId="0" borderId="14" xfId="14" applyNumberFormat="1" applyFont="1" applyFill="1" applyBorder="1" applyAlignment="1">
      <alignment horizontal="center"/>
    </xf>
    <xf numFmtId="1" fontId="52" fillId="0" borderId="14" xfId="0" applyNumberFormat="1" applyFont="1" applyBorder="1" applyAlignment="1">
      <alignment horizontal="center"/>
    </xf>
    <xf numFmtId="1" fontId="73" fillId="0" borderId="0" xfId="0" applyNumberFormat="1" applyFont="1"/>
    <xf numFmtId="1" fontId="73" fillId="0" borderId="12" xfId="0" applyNumberFormat="1" applyFont="1" applyBorder="1"/>
    <xf numFmtId="0" fontId="34" fillId="0" borderId="0" xfId="14" applyFont="1" applyFill="1" applyBorder="1" applyAlignment="1">
      <alignment horizontal="left" wrapText="1"/>
    </xf>
    <xf numFmtId="0" fontId="24" fillId="0" borderId="0" xfId="14" applyFont="1"/>
    <xf numFmtId="0" fontId="24" fillId="0" borderId="0" xfId="14" applyFont="1" applyAlignment="1">
      <alignment horizontal="right" vertical="top"/>
    </xf>
    <xf numFmtId="0" fontId="24" fillId="0" borderId="0" xfId="14" applyFont="1" applyBorder="1"/>
    <xf numFmtId="0" fontId="80" fillId="0" borderId="0" xfId="14" applyFont="1" applyBorder="1"/>
    <xf numFmtId="0" fontId="69" fillId="0" borderId="14" xfId="14" applyFont="1" applyFill="1" applyBorder="1" applyAlignment="1">
      <alignment horizontal="center"/>
    </xf>
    <xf numFmtId="0" fontId="52" fillId="0" borderId="14" xfId="0" applyFont="1" applyBorder="1"/>
    <xf numFmtId="0" fontId="69" fillId="5" borderId="0" xfId="14" applyFont="1" applyFill="1" applyBorder="1" applyAlignment="1">
      <alignment horizontal="center"/>
    </xf>
    <xf numFmtId="0" fontId="69" fillId="5" borderId="0" xfId="14" applyFont="1" applyFill="1" applyBorder="1" applyAlignment="1">
      <alignment horizontal="left"/>
    </xf>
    <xf numFmtId="0" fontId="73" fillId="0" borderId="0" xfId="0" applyFont="1" applyAlignment="1">
      <alignment horizontal="right"/>
    </xf>
    <xf numFmtId="0" fontId="73" fillId="0" borderId="12" xfId="0" applyFont="1" applyBorder="1"/>
    <xf numFmtId="0" fontId="69" fillId="5" borderId="14" xfId="14" applyFont="1" applyFill="1" applyBorder="1" applyAlignment="1">
      <alignment horizontal="center"/>
    </xf>
    <xf numFmtId="0" fontId="69" fillId="5" borderId="14" xfId="14" applyFont="1" applyFill="1" applyBorder="1" applyAlignment="1">
      <alignment horizontal="left"/>
    </xf>
    <xf numFmtId="0" fontId="52" fillId="5" borderId="14" xfId="0" applyFont="1" applyFill="1" applyBorder="1"/>
    <xf numFmtId="0" fontId="38" fillId="0" borderId="12" xfId="33" applyFont="1" applyFill="1" applyBorder="1" applyAlignment="1">
      <alignment horizontal="center"/>
    </xf>
    <xf numFmtId="0" fontId="38" fillId="0" borderId="12" xfId="33" quotePrefix="1" applyFont="1" applyFill="1" applyBorder="1" applyAlignment="1">
      <alignment horizontal="center"/>
    </xf>
    <xf numFmtId="0" fontId="40" fillId="0" borderId="0" xfId="14" applyFont="1"/>
    <xf numFmtId="0" fontId="38" fillId="0" borderId="12" xfId="33" applyFont="1" applyFill="1" applyBorder="1" applyAlignment="1">
      <alignment horizontal="left"/>
    </xf>
    <xf numFmtId="0" fontId="23" fillId="0" borderId="12" xfId="14" applyFont="1" applyBorder="1" applyAlignment="1">
      <alignment horizontal="center"/>
    </xf>
    <xf numFmtId="0" fontId="24" fillId="0" borderId="12" xfId="14" applyFont="1" applyBorder="1" applyAlignment="1"/>
    <xf numFmtId="0" fontId="23" fillId="0" borderId="0" xfId="14" applyFont="1" applyBorder="1" applyAlignment="1"/>
    <xf numFmtId="0" fontId="24" fillId="0" borderId="0" xfId="14" applyFont="1" applyBorder="1" applyAlignment="1"/>
    <xf numFmtId="0" fontId="69" fillId="0" borderId="0" xfId="33" applyFont="1" applyFill="1" applyBorder="1" applyAlignment="1">
      <alignment horizontal="left"/>
    </xf>
    <xf numFmtId="0" fontId="69" fillId="0" borderId="0" xfId="33" applyFont="1" applyFill="1" applyBorder="1" applyAlignment="1">
      <alignment horizontal="center"/>
    </xf>
    <xf numFmtId="9" fontId="69" fillId="0" borderId="0" xfId="33" applyNumberFormat="1" applyFont="1" applyFill="1" applyBorder="1" applyAlignment="1">
      <alignment horizontal="right" wrapText="1"/>
    </xf>
    <xf numFmtId="0" fontId="70" fillId="0" borderId="0" xfId="33" applyFont="1" applyFill="1" applyBorder="1" applyAlignment="1">
      <alignment horizontal="center" wrapText="1"/>
    </xf>
    <xf numFmtId="0" fontId="70" fillId="0" borderId="0" xfId="33" applyFont="1" applyFill="1" applyBorder="1" applyAlignment="1">
      <alignment wrapText="1"/>
    </xf>
    <xf numFmtId="9" fontId="70" fillId="0" borderId="0" xfId="33" applyNumberFormat="1" applyFont="1" applyFill="1" applyBorder="1" applyAlignment="1">
      <alignment horizontal="right" wrapText="1"/>
    </xf>
    <xf numFmtId="0" fontId="70" fillId="0" borderId="0" xfId="33" applyFont="1" applyFill="1" applyBorder="1" applyAlignment="1">
      <alignment vertical="top" wrapText="1"/>
    </xf>
    <xf numFmtId="0" fontId="70" fillId="0" borderId="12" xfId="33" quotePrefix="1" applyFont="1" applyFill="1" applyBorder="1" applyAlignment="1">
      <alignment horizontal="center" wrapText="1"/>
    </xf>
    <xf numFmtId="0" fontId="70" fillId="0" borderId="12" xfId="33" applyFont="1" applyFill="1" applyBorder="1" applyAlignment="1">
      <alignment wrapText="1"/>
    </xf>
    <xf numFmtId="9" fontId="70" fillId="0" borderId="12" xfId="33" applyNumberFormat="1" applyFont="1" applyFill="1" applyBorder="1" applyAlignment="1">
      <alignment horizontal="right" wrapText="1"/>
    </xf>
    <xf numFmtId="0" fontId="73" fillId="0" borderId="25" xfId="0" applyFont="1" applyBorder="1"/>
    <xf numFmtId="0" fontId="73" fillId="0" borderId="27" xfId="0" applyFont="1" applyBorder="1"/>
    <xf numFmtId="0" fontId="73" fillId="0" borderId="26" xfId="0" applyFont="1" applyBorder="1"/>
    <xf numFmtId="0" fontId="73" fillId="0" borderId="31" xfId="0" applyFont="1" applyBorder="1" applyAlignment="1">
      <alignment horizontal="right"/>
    </xf>
    <xf numFmtId="9" fontId="73" fillId="0" borderId="25" xfId="40" applyFont="1" applyBorder="1" applyAlignment="1">
      <alignment horizontal="center"/>
    </xf>
    <xf numFmtId="9" fontId="73" fillId="0" borderId="61" xfId="40" applyFont="1" applyBorder="1" applyAlignment="1">
      <alignment horizontal="center"/>
    </xf>
    <xf numFmtId="9" fontId="73" fillId="0" borderId="27" xfId="40" applyFont="1" applyBorder="1" applyAlignment="1">
      <alignment horizontal="center"/>
    </xf>
    <xf numFmtId="9" fontId="73" fillId="0" borderId="26" xfId="40" applyFont="1" applyBorder="1" applyAlignment="1">
      <alignment horizontal="center"/>
    </xf>
    <xf numFmtId="0" fontId="73" fillId="0" borderId="0" xfId="9" applyFont="1"/>
    <xf numFmtId="0" fontId="73" fillId="0" borderId="0" xfId="9" applyFont="1" applyAlignment="1">
      <alignment horizontal="right" wrapText="1"/>
    </xf>
    <xf numFmtId="0" fontId="52" fillId="0" borderId="12" xfId="9" applyFont="1" applyBorder="1" applyAlignment="1"/>
    <xf numFmtId="0" fontId="52" fillId="0" borderId="0" xfId="9" applyFont="1" applyAlignment="1">
      <alignment horizontal="center"/>
    </xf>
    <xf numFmtId="0" fontId="52" fillId="0" borderId="0" xfId="9" applyFont="1" applyAlignment="1">
      <alignment horizontal="right"/>
    </xf>
    <xf numFmtId="0" fontId="73" fillId="0" borderId="12" xfId="9" applyFont="1" applyBorder="1" applyAlignment="1"/>
    <xf numFmtId="0" fontId="73" fillId="0" borderId="12" xfId="9" applyFont="1" applyBorder="1" applyAlignment="1">
      <alignment horizontal="right"/>
    </xf>
    <xf numFmtId="0" fontId="52" fillId="0" borderId="0" xfId="9" applyFont="1" applyAlignment="1"/>
    <xf numFmtId="0" fontId="52" fillId="0" borderId="0" xfId="9" applyFont="1" applyAlignment="1">
      <alignment horizontal="right" wrapText="1"/>
    </xf>
    <xf numFmtId="49" fontId="52" fillId="0" borderId="12" xfId="9" applyNumberFormat="1" applyFont="1" applyBorder="1" applyAlignment="1">
      <alignment horizontal="center"/>
    </xf>
    <xf numFmtId="0" fontId="52" fillId="0" borderId="12" xfId="9" applyFont="1" applyBorder="1" applyAlignment="1">
      <alignment horizontal="right" wrapText="1"/>
    </xf>
    <xf numFmtId="0" fontId="52" fillId="0" borderId="12" xfId="9" applyFont="1" applyBorder="1"/>
    <xf numFmtId="49" fontId="73" fillId="0" borderId="0" xfId="9" quotePrefix="1" applyNumberFormat="1" applyFont="1" applyAlignment="1">
      <alignment horizontal="center"/>
    </xf>
    <xf numFmtId="49" fontId="73" fillId="0" borderId="0" xfId="9" applyNumberFormat="1" applyFont="1" applyAlignment="1">
      <alignment horizontal="center"/>
    </xf>
    <xf numFmtId="0" fontId="73" fillId="0" borderId="0" xfId="9" applyNumberFormat="1" applyFont="1" applyAlignment="1">
      <alignment horizontal="right"/>
    </xf>
    <xf numFmtId="49" fontId="73" fillId="0" borderId="0" xfId="9" quotePrefix="1" applyNumberFormat="1" applyFont="1" applyAlignment="1">
      <alignment horizontal="right"/>
    </xf>
    <xf numFmtId="49" fontId="73" fillId="0" borderId="0" xfId="9" applyNumberFormat="1" applyFont="1" applyAlignment="1">
      <alignment horizontal="right"/>
    </xf>
    <xf numFmtId="0" fontId="73" fillId="0" borderId="0" xfId="9" quotePrefix="1" applyNumberFormat="1" applyFont="1" applyAlignment="1">
      <alignment horizontal="center"/>
    </xf>
    <xf numFmtId="0" fontId="73" fillId="0" borderId="0" xfId="9" quotePrefix="1" applyNumberFormat="1" applyFont="1" applyAlignment="1">
      <alignment horizontal="right"/>
    </xf>
    <xf numFmtId="49" fontId="73" fillId="0" borderId="12" xfId="9" applyNumberFormat="1" applyFont="1" applyBorder="1" applyAlignment="1">
      <alignment horizontal="center"/>
    </xf>
    <xf numFmtId="0" fontId="73" fillId="0" borderId="12" xfId="9" applyNumberFormat="1" applyFont="1" applyBorder="1" applyAlignment="1">
      <alignment horizontal="right"/>
    </xf>
    <xf numFmtId="0" fontId="73" fillId="0" borderId="12" xfId="9" applyFont="1" applyBorder="1" applyAlignment="1">
      <alignment horizontal="right" wrapText="1"/>
    </xf>
    <xf numFmtId="49" fontId="73" fillId="0" borderId="12" xfId="9" applyNumberFormat="1" applyFont="1" applyBorder="1" applyAlignment="1">
      <alignment horizontal="right"/>
    </xf>
    <xf numFmtId="0" fontId="80" fillId="0" borderId="0" xfId="9" applyFont="1" applyAlignment="1">
      <alignment horizontal="right" vertical="top"/>
    </xf>
    <xf numFmtId="0" fontId="81" fillId="0" borderId="0" xfId="4" applyFont="1" applyAlignment="1" applyProtection="1">
      <alignment horizontal="right"/>
    </xf>
    <xf numFmtId="0" fontId="69" fillId="0" borderId="116" xfId="38" applyFont="1" applyFill="1" applyBorder="1" applyAlignment="1">
      <alignment horizontal="left"/>
    </xf>
    <xf numFmtId="0" fontId="69" fillId="0" borderId="118" xfId="38" applyFont="1" applyFill="1" applyBorder="1" applyAlignment="1">
      <alignment horizontal="center" wrapText="1"/>
    </xf>
    <xf numFmtId="0" fontId="69" fillId="0" borderId="119" xfId="38" applyFont="1" applyFill="1" applyBorder="1" applyAlignment="1">
      <alignment horizontal="center" wrapText="1"/>
    </xf>
    <xf numFmtId="0" fontId="69" fillId="0" borderId="67" xfId="38" applyFont="1" applyFill="1" applyBorder="1" applyAlignment="1">
      <alignment horizontal="center" wrapText="1"/>
    </xf>
    <xf numFmtId="0" fontId="69" fillId="0" borderId="118" xfId="20" applyFont="1" applyFill="1" applyBorder="1" applyAlignment="1">
      <alignment horizontal="center" wrapText="1"/>
    </xf>
    <xf numFmtId="0" fontId="69" fillId="0" borderId="119" xfId="20" applyFont="1" applyFill="1" applyBorder="1" applyAlignment="1">
      <alignment horizontal="center" wrapText="1"/>
    </xf>
    <xf numFmtId="167" fontId="70" fillId="0" borderId="3" xfId="38" applyNumberFormat="1" applyFont="1" applyFill="1" applyBorder="1" applyAlignment="1">
      <alignment wrapText="1"/>
    </xf>
    <xf numFmtId="0" fontId="69" fillId="21" borderId="2" xfId="38" applyFont="1" applyFill="1" applyBorder="1" applyAlignment="1">
      <alignment horizontal="left"/>
    </xf>
    <xf numFmtId="178" fontId="69" fillId="5" borderId="104" xfId="3" applyNumberFormat="1" applyFont="1" applyFill="1" applyBorder="1" applyAlignment="1">
      <alignment wrapText="1"/>
    </xf>
    <xf numFmtId="178" fontId="69" fillId="5" borderId="62" xfId="3" applyNumberFormat="1" applyFont="1" applyFill="1" applyBorder="1" applyAlignment="1">
      <alignment wrapText="1"/>
    </xf>
    <xf numFmtId="178" fontId="69" fillId="5" borderId="64" xfId="3" applyNumberFormat="1" applyFont="1" applyFill="1" applyBorder="1" applyAlignment="1">
      <alignment wrapText="1"/>
    </xf>
    <xf numFmtId="178" fontId="69" fillId="21" borderId="64" xfId="3" applyNumberFormat="1" applyFont="1" applyFill="1" applyBorder="1" applyAlignment="1">
      <alignment horizontal="center"/>
    </xf>
    <xf numFmtId="178" fontId="69" fillId="21" borderId="104" xfId="3" applyNumberFormat="1" applyFont="1" applyFill="1" applyBorder="1" applyAlignment="1">
      <alignment horizontal="center"/>
    </xf>
    <xf numFmtId="178" fontId="69" fillId="21" borderId="62" xfId="3" applyNumberFormat="1" applyFont="1" applyFill="1" applyBorder="1" applyAlignment="1">
      <alignment horizontal="center"/>
    </xf>
    <xf numFmtId="0" fontId="69" fillId="0" borderId="121" xfId="20" applyFont="1" applyFill="1" applyBorder="1" applyAlignment="1">
      <alignment horizontal="center" wrapText="1"/>
    </xf>
    <xf numFmtId="178" fontId="69" fillId="21" borderId="63" xfId="3" applyNumberFormat="1" applyFont="1" applyFill="1" applyBorder="1" applyAlignment="1">
      <alignment horizontal="center"/>
    </xf>
    <xf numFmtId="0" fontId="69" fillId="0" borderId="118" xfId="20" applyFont="1" applyFill="1" applyBorder="1" applyAlignment="1">
      <alignment horizontal="center" wrapText="1"/>
    </xf>
    <xf numFmtId="0" fontId="69" fillId="0" borderId="119" xfId="20" applyFont="1" applyFill="1" applyBorder="1" applyAlignment="1">
      <alignment horizontal="center" wrapText="1"/>
    </xf>
    <xf numFmtId="0" fontId="69" fillId="0" borderId="67" xfId="20" applyFont="1" applyFill="1" applyBorder="1" applyAlignment="1">
      <alignment horizontal="center" wrapText="1"/>
    </xf>
    <xf numFmtId="0" fontId="37" fillId="0" borderId="37" xfId="39" applyFont="1" applyBorder="1"/>
    <xf numFmtId="0" fontId="37" fillId="0" borderId="38" xfId="39" applyFont="1" applyBorder="1"/>
    <xf numFmtId="0" fontId="37" fillId="0" borderId="39" xfId="39" applyFont="1" applyBorder="1"/>
    <xf numFmtId="166" fontId="34" fillId="0" borderId="122" xfId="39" applyNumberFormat="1" applyFont="1" applyFill="1" applyBorder="1" applyAlignment="1">
      <alignment horizontal="right" wrapText="1"/>
    </xf>
    <xf numFmtId="166" fontId="34" fillId="0" borderId="47" xfId="39" applyNumberFormat="1" applyFont="1" applyFill="1" applyBorder="1" applyAlignment="1">
      <alignment horizontal="right" wrapText="1"/>
    </xf>
    <xf numFmtId="166" fontId="34" fillId="0" borderId="37" xfId="39" applyNumberFormat="1" applyFont="1" applyFill="1" applyBorder="1" applyAlignment="1">
      <alignment horizontal="right" wrapText="1"/>
    </xf>
    <xf numFmtId="166" fontId="34" fillId="0" borderId="38" xfId="39" applyNumberFormat="1" applyFont="1" applyFill="1" applyBorder="1" applyAlignment="1">
      <alignment horizontal="right" wrapText="1"/>
    </xf>
    <xf numFmtId="166" fontId="34" fillId="0" borderId="39" xfId="39" applyNumberFormat="1" applyFont="1" applyFill="1" applyBorder="1" applyAlignment="1">
      <alignment horizontal="right" wrapText="1"/>
    </xf>
    <xf numFmtId="178" fontId="70" fillId="0" borderId="3" xfId="3" applyNumberFormat="1" applyFont="1" applyFill="1" applyBorder="1" applyAlignment="1">
      <alignment wrapText="1"/>
    </xf>
    <xf numFmtId="0" fontId="70" fillId="0" borderId="0" xfId="38" applyFont="1" applyFill="1" applyBorder="1" applyAlignment="1">
      <alignment wrapText="1"/>
    </xf>
    <xf numFmtId="0" fontId="69" fillId="0" borderId="117" xfId="38" applyFont="1" applyFill="1" applyBorder="1" applyAlignment="1">
      <alignment horizontal="left"/>
    </xf>
    <xf numFmtId="0" fontId="69" fillId="21" borderId="6" xfId="38" applyFont="1" applyFill="1" applyBorder="1" applyAlignment="1">
      <alignment horizontal="left"/>
    </xf>
    <xf numFmtId="0" fontId="69" fillId="0" borderId="6" xfId="37" applyFont="1" applyFill="1" applyBorder="1" applyAlignment="1">
      <alignment horizontal="left"/>
    </xf>
    <xf numFmtId="0" fontId="69" fillId="5" borderId="76" xfId="37" applyFont="1" applyFill="1" applyBorder="1" applyAlignment="1">
      <alignment wrapText="1"/>
    </xf>
    <xf numFmtId="0" fontId="69" fillId="5" borderId="98" xfId="36" applyFont="1" applyFill="1" applyBorder="1" applyAlignment="1">
      <alignment wrapText="1"/>
    </xf>
    <xf numFmtId="167" fontId="70" fillId="0" borderId="1" xfId="30" applyNumberFormat="1" applyFont="1" applyFill="1" applyBorder="1" applyAlignment="1">
      <alignment wrapText="1"/>
    </xf>
    <xf numFmtId="0" fontId="69" fillId="0" borderId="2" xfId="30" applyFont="1" applyFill="1" applyBorder="1" applyAlignment="1">
      <alignment horizontal="left"/>
    </xf>
    <xf numFmtId="0" fontId="70" fillId="0" borderId="126" xfId="26" applyFont="1" applyFill="1" applyBorder="1" applyAlignment="1">
      <alignment wrapText="1"/>
    </xf>
    <xf numFmtId="0" fontId="70" fillId="0" borderId="32" xfId="26" applyFont="1" applyFill="1" applyBorder="1" applyAlignment="1">
      <alignment wrapText="1"/>
    </xf>
    <xf numFmtId="0" fontId="69" fillId="0" borderId="2" xfId="28" applyFont="1" applyFill="1" applyBorder="1" applyAlignment="1">
      <alignment horizontal="left"/>
    </xf>
    <xf numFmtId="0" fontId="69" fillId="5" borderId="0" xfId="28" applyFont="1" applyFill="1" applyBorder="1" applyAlignment="1">
      <alignment wrapText="1"/>
    </xf>
    <xf numFmtId="0" fontId="70" fillId="0" borderId="0" xfId="28" applyFont="1" applyFill="1" applyBorder="1" applyAlignment="1">
      <alignment wrapText="1"/>
    </xf>
    <xf numFmtId="0" fontId="69" fillId="0" borderId="6" xfId="32" applyFont="1" applyFill="1" applyBorder="1" applyAlignment="1">
      <alignment horizontal="left"/>
    </xf>
    <xf numFmtId="0" fontId="69" fillId="5" borderId="32" xfId="32" applyFont="1" applyFill="1" applyBorder="1" applyAlignment="1">
      <alignment wrapText="1"/>
    </xf>
    <xf numFmtId="0" fontId="70" fillId="0" borderId="32" xfId="32" applyFont="1" applyFill="1" applyBorder="1" applyAlignment="1">
      <alignment wrapText="1"/>
    </xf>
    <xf numFmtId="0" fontId="69" fillId="0" borderId="6" xfId="35" applyFont="1" applyFill="1" applyBorder="1" applyAlignment="1">
      <alignment horizontal="left" wrapText="1"/>
    </xf>
    <xf numFmtId="0" fontId="69" fillId="5" borderId="32" xfId="35" applyFont="1" applyFill="1" applyBorder="1" applyAlignment="1">
      <alignment wrapText="1"/>
    </xf>
    <xf numFmtId="0" fontId="70" fillId="0" borderId="32" xfId="35" applyFont="1" applyFill="1" applyBorder="1" applyAlignment="1">
      <alignment wrapText="1"/>
    </xf>
    <xf numFmtId="172" fontId="52" fillId="5" borderId="0" xfId="1" applyNumberFormat="1" applyFont="1" applyFill="1"/>
    <xf numFmtId="0" fontId="26" fillId="0" borderId="0" xfId="0" applyFont="1" applyAlignment="1">
      <alignment horizontal="left" vertical="top"/>
    </xf>
    <xf numFmtId="0" fontId="87" fillId="26" borderId="206" xfId="0" applyFont="1" applyFill="1" applyBorder="1" applyAlignment="1">
      <alignment horizontal="left" vertical="center" wrapText="1"/>
    </xf>
    <xf numFmtId="0" fontId="87" fillId="26" borderId="146" xfId="0" applyFont="1" applyFill="1" applyBorder="1" applyAlignment="1">
      <alignment horizontal="left" vertical="center" wrapText="1"/>
    </xf>
    <xf numFmtId="0" fontId="55" fillId="17" borderId="143" xfId="0" applyFont="1" applyFill="1" applyBorder="1" applyAlignment="1">
      <alignment horizontal="center" vertical="center" wrapText="1"/>
    </xf>
    <xf numFmtId="0" fontId="55" fillId="17" borderId="166" xfId="0" applyFont="1" applyFill="1" applyBorder="1" applyAlignment="1">
      <alignment horizontal="center" vertical="center" wrapText="1"/>
    </xf>
    <xf numFmtId="0" fontId="55" fillId="17" borderId="22" xfId="0" applyFont="1" applyFill="1" applyBorder="1" applyAlignment="1">
      <alignment horizontal="center" vertical="center" wrapText="1"/>
    </xf>
    <xf numFmtId="0" fontId="55" fillId="17" borderId="23" xfId="0" applyFont="1" applyFill="1" applyBorder="1" applyAlignment="1">
      <alignment horizontal="center" vertical="center" wrapText="1"/>
    </xf>
    <xf numFmtId="0" fontId="55" fillId="17" borderId="143" xfId="0" applyFont="1" applyFill="1" applyBorder="1" applyAlignment="1">
      <alignment horizontal="center" vertical="center"/>
    </xf>
    <xf numFmtId="0" fontId="55" fillId="17" borderId="166" xfId="0" applyFont="1" applyFill="1" applyBorder="1" applyAlignment="1">
      <alignment horizontal="center" vertical="center"/>
    </xf>
    <xf numFmtId="0" fontId="55" fillId="17" borderId="22" xfId="0" applyFont="1" applyFill="1" applyBorder="1" applyAlignment="1">
      <alignment horizontal="center" vertical="center"/>
    </xf>
    <xf numFmtId="0" fontId="55" fillId="17" borderId="23" xfId="0" applyFont="1" applyFill="1" applyBorder="1" applyAlignment="1">
      <alignment horizontal="center" vertical="center"/>
    </xf>
    <xf numFmtId="9" fontId="55" fillId="14" borderId="19" xfId="40" applyFont="1" applyFill="1" applyBorder="1" applyAlignment="1">
      <alignment horizontal="center" vertical="center"/>
    </xf>
    <xf numFmtId="9" fontId="55" fillId="14" borderId="212" xfId="40" applyFont="1" applyFill="1" applyBorder="1" applyAlignment="1">
      <alignment horizontal="center" vertical="center"/>
    </xf>
    <xf numFmtId="9" fontId="55" fillId="14" borderId="20" xfId="40" applyFont="1" applyFill="1" applyBorder="1" applyAlignment="1">
      <alignment horizontal="center" vertical="center"/>
    </xf>
    <xf numFmtId="9" fontId="55" fillId="14" borderId="213" xfId="40" applyFont="1" applyFill="1" applyBorder="1" applyAlignment="1">
      <alignment horizontal="center" vertical="center"/>
    </xf>
    <xf numFmtId="0" fontId="57" fillId="0" borderId="0" xfId="0" applyFont="1" applyBorder="1" applyAlignment="1">
      <alignment horizontal="left" vertical="top" wrapText="1"/>
    </xf>
    <xf numFmtId="0" fontId="57" fillId="0" borderId="0" xfId="0" applyFont="1" applyAlignment="1">
      <alignment horizontal="left" vertical="top" wrapText="1"/>
    </xf>
    <xf numFmtId="0" fontId="87" fillId="24" borderId="214" xfId="0" applyFont="1" applyFill="1" applyBorder="1" applyAlignment="1">
      <alignment horizontal="left" vertical="center" wrapText="1"/>
    </xf>
    <xf numFmtId="0" fontId="87" fillId="24" borderId="215" xfId="0" applyFont="1" applyFill="1" applyBorder="1" applyAlignment="1">
      <alignment horizontal="left" vertical="center" wrapText="1"/>
    </xf>
    <xf numFmtId="0" fontId="87" fillId="24" borderId="216" xfId="0" applyFont="1" applyFill="1" applyBorder="1" applyAlignment="1">
      <alignment horizontal="left" vertical="center" wrapText="1"/>
    </xf>
    <xf numFmtId="0" fontId="87" fillId="24" borderId="217" xfId="0" applyFont="1" applyFill="1" applyBorder="1" applyAlignment="1">
      <alignment horizontal="left" vertical="center" wrapText="1"/>
    </xf>
    <xf numFmtId="0" fontId="87" fillId="24" borderId="218" xfId="0" applyFont="1" applyFill="1" applyBorder="1" applyAlignment="1">
      <alignment horizontal="left" vertical="center" wrapText="1"/>
    </xf>
    <xf numFmtId="0" fontId="87" fillId="24" borderId="219" xfId="0" applyFont="1" applyFill="1" applyBorder="1" applyAlignment="1">
      <alignment horizontal="left" vertical="center" wrapText="1"/>
    </xf>
    <xf numFmtId="0" fontId="57" fillId="0" borderId="0" xfId="0" applyFont="1" applyFill="1" applyBorder="1" applyAlignment="1">
      <alignment horizontal="left" vertical="top" wrapText="1"/>
    </xf>
    <xf numFmtId="0" fontId="87" fillId="26" borderId="45" xfId="0" applyFont="1" applyFill="1" applyBorder="1" applyAlignment="1">
      <alignment horizontal="left" vertical="center" wrapText="1"/>
    </xf>
    <xf numFmtId="0" fontId="87" fillId="26" borderId="34" xfId="0" applyFont="1" applyFill="1" applyBorder="1" applyAlignment="1">
      <alignment horizontal="left" vertical="center" wrapText="1"/>
    </xf>
    <xf numFmtId="0" fontId="55" fillId="17" borderId="29" xfId="0" applyFont="1" applyFill="1" applyBorder="1" applyAlignment="1">
      <alignment horizontal="center" vertical="center" wrapText="1"/>
    </xf>
    <xf numFmtId="0" fontId="55" fillId="17" borderId="160" xfId="0" applyFont="1" applyFill="1" applyBorder="1" applyAlignment="1">
      <alignment horizontal="center" vertical="center" wrapText="1"/>
    </xf>
    <xf numFmtId="0" fontId="55" fillId="0" borderId="0" xfId="0" applyFont="1" applyFill="1" applyBorder="1" applyAlignment="1">
      <alignment horizontal="center" vertical="center"/>
    </xf>
    <xf numFmtId="0" fontId="90" fillId="14" borderId="21" xfId="0" applyFont="1" applyFill="1" applyBorder="1" applyAlignment="1">
      <alignment horizontal="center" vertical="center" wrapText="1"/>
    </xf>
    <xf numFmtId="0" fontId="90" fillId="14" borderId="211" xfId="0" applyFont="1" applyFill="1" applyBorder="1" applyAlignment="1">
      <alignment horizontal="center" vertical="center" wrapText="1"/>
    </xf>
    <xf numFmtId="0" fontId="87" fillId="24" borderId="13" xfId="0" applyFont="1" applyFill="1" applyBorder="1" applyAlignment="1">
      <alignment horizontal="left" vertical="center" wrapText="1"/>
    </xf>
    <xf numFmtId="0" fontId="87" fillId="24" borderId="14" xfId="0" applyFont="1" applyFill="1" applyBorder="1" applyAlignment="1">
      <alignment horizontal="left" vertical="center" wrapText="1"/>
    </xf>
    <xf numFmtId="0" fontId="65" fillId="16" borderId="0" xfId="0" applyFont="1" applyFill="1" applyBorder="1" applyAlignment="1">
      <alignment horizontal="center" vertical="center" wrapText="1"/>
    </xf>
    <xf numFmtId="0" fontId="62" fillId="5" borderId="29" xfId="0" applyFont="1" applyFill="1" applyBorder="1" applyAlignment="1">
      <alignment horizontal="center" vertical="center"/>
    </xf>
    <xf numFmtId="0" fontId="62" fillId="5" borderId="31" xfId="0" applyFont="1" applyFill="1" applyBorder="1" applyAlignment="1">
      <alignment horizontal="center" vertical="center"/>
    </xf>
    <xf numFmtId="0" fontId="57" fillId="0" borderId="0" xfId="0" applyFont="1" applyFill="1" applyAlignment="1">
      <alignment horizontal="left" vertical="top" wrapText="1"/>
    </xf>
    <xf numFmtId="0" fontId="55" fillId="0" borderId="0" xfId="0" applyFont="1" applyAlignment="1">
      <alignment horizontal="center"/>
    </xf>
    <xf numFmtId="0" fontId="54" fillId="8" borderId="0" xfId="0" applyFont="1" applyFill="1" applyAlignment="1">
      <alignment horizontal="left" wrapText="1"/>
    </xf>
    <xf numFmtId="0" fontId="88" fillId="0" borderId="34" xfId="0" applyFont="1" applyBorder="1" applyAlignment="1">
      <alignment horizontal="left"/>
    </xf>
    <xf numFmtId="0" fontId="88" fillId="0" borderId="0" xfId="0" applyFont="1" applyBorder="1" applyAlignment="1">
      <alignment horizontal="left"/>
    </xf>
    <xf numFmtId="0" fontId="88" fillId="0" borderId="36" xfId="0" applyFont="1" applyBorder="1" applyAlignment="1">
      <alignment horizontal="left"/>
    </xf>
    <xf numFmtId="0" fontId="88" fillId="0" borderId="12" xfId="0" applyFont="1" applyBorder="1" applyAlignment="1">
      <alignment horizontal="left"/>
    </xf>
    <xf numFmtId="0" fontId="55" fillId="9" borderId="34" xfId="0" applyFont="1" applyFill="1" applyBorder="1" applyAlignment="1">
      <alignment horizontal="left"/>
    </xf>
    <xf numFmtId="0" fontId="55" fillId="9" borderId="0" xfId="0" applyFont="1" applyFill="1" applyBorder="1" applyAlignment="1">
      <alignment horizontal="left"/>
    </xf>
    <xf numFmtId="0" fontId="65" fillId="0" borderId="12" xfId="0" applyFont="1" applyBorder="1" applyAlignment="1">
      <alignment horizontal="center"/>
    </xf>
    <xf numFmtId="0" fontId="62" fillId="13" borderId="13" xfId="0" applyFont="1" applyFill="1" applyBorder="1" applyAlignment="1" applyProtection="1">
      <alignment horizontal="center"/>
      <protection locked="0"/>
    </xf>
    <xf numFmtId="0" fontId="62" fillId="13" borderId="14" xfId="0" applyFont="1" applyFill="1" applyBorder="1" applyAlignment="1" applyProtection="1">
      <alignment horizontal="center"/>
      <protection locked="0"/>
    </xf>
    <xf numFmtId="0" fontId="62" fillId="13" borderId="15" xfId="0" applyFont="1" applyFill="1" applyBorder="1" applyAlignment="1" applyProtection="1">
      <alignment horizontal="center"/>
      <protection locked="0"/>
    </xf>
    <xf numFmtId="0" fontId="55" fillId="0" borderId="0" xfId="0" applyFont="1" applyAlignment="1">
      <alignment horizontal="right"/>
    </xf>
    <xf numFmtId="0" fontId="54" fillId="13" borderId="0" xfId="0" applyFont="1" applyFill="1" applyAlignment="1">
      <alignment horizontal="left"/>
    </xf>
    <xf numFmtId="0" fontId="62" fillId="0" borderId="0" xfId="0" applyFont="1" applyAlignment="1">
      <alignment horizontal="right"/>
    </xf>
    <xf numFmtId="0" fontId="54" fillId="10" borderId="146" xfId="0" quotePrefix="1" applyFont="1" applyFill="1" applyBorder="1" applyAlignment="1">
      <alignment horizontal="left" indent="1"/>
    </xf>
    <xf numFmtId="0" fontId="54" fillId="10" borderId="0" xfId="0" quotePrefix="1" applyFont="1" applyFill="1" applyBorder="1" applyAlignment="1">
      <alignment horizontal="left" indent="1"/>
    </xf>
    <xf numFmtId="0" fontId="54" fillId="0" borderId="146" xfId="0" quotePrefix="1" applyFont="1" applyBorder="1" applyAlignment="1">
      <alignment horizontal="left" indent="1"/>
    </xf>
    <xf numFmtId="0" fontId="54" fillId="0" borderId="0" xfId="0" quotePrefix="1" applyFont="1" applyBorder="1" applyAlignment="1">
      <alignment horizontal="left" indent="1"/>
    </xf>
    <xf numFmtId="0" fontId="54" fillId="10" borderId="45" xfId="0" applyFont="1" applyFill="1" applyBorder="1" applyAlignment="1">
      <alignment horizontal="left"/>
    </xf>
    <xf numFmtId="0" fontId="54" fillId="10" borderId="40" xfId="0" applyFont="1" applyFill="1" applyBorder="1" applyAlignment="1">
      <alignment horizontal="left"/>
    </xf>
    <xf numFmtId="0" fontId="54" fillId="10" borderId="147" xfId="0" quotePrefix="1" applyFont="1" applyFill="1" applyBorder="1" applyAlignment="1">
      <alignment horizontal="left" indent="1"/>
    </xf>
    <xf numFmtId="0" fontId="54" fillId="10" borderId="150" xfId="0" quotePrefix="1" applyFont="1" applyFill="1" applyBorder="1" applyAlignment="1">
      <alignment horizontal="left" indent="1"/>
    </xf>
    <xf numFmtId="9" fontId="55" fillId="14" borderId="184" xfId="40" applyFont="1" applyFill="1" applyBorder="1" applyAlignment="1">
      <alignment horizontal="center"/>
    </xf>
    <xf numFmtId="9" fontId="55" fillId="14" borderId="185" xfId="40" applyFont="1" applyFill="1" applyBorder="1" applyAlignment="1">
      <alignment horizontal="center"/>
    </xf>
    <xf numFmtId="9" fontId="55" fillId="14" borderId="186" xfId="40" applyFont="1" applyFill="1" applyBorder="1" applyAlignment="1">
      <alignment horizontal="center"/>
    </xf>
    <xf numFmtId="0" fontId="65" fillId="16" borderId="40" xfId="0" applyFont="1" applyFill="1" applyBorder="1" applyAlignment="1">
      <alignment horizontal="center" vertical="center" wrapText="1"/>
    </xf>
    <xf numFmtId="0" fontId="65" fillId="16" borderId="128" xfId="0" applyFont="1" applyFill="1" applyBorder="1" applyAlignment="1">
      <alignment horizontal="center" vertical="center" wrapText="1"/>
    </xf>
    <xf numFmtId="0" fontId="65" fillId="16" borderId="129" xfId="0" applyFont="1" applyFill="1" applyBorder="1" applyAlignment="1">
      <alignment horizontal="center" vertical="center" wrapText="1"/>
    </xf>
    <xf numFmtId="9" fontId="89" fillId="0" borderId="0" xfId="40" applyFont="1" applyAlignment="1">
      <alignment horizontal="center" vertical="center"/>
    </xf>
    <xf numFmtId="172" fontId="89" fillId="0" borderId="0" xfId="1" applyNumberFormat="1" applyFont="1" applyAlignment="1">
      <alignment horizontal="center" vertical="center"/>
    </xf>
    <xf numFmtId="0" fontId="55" fillId="18" borderId="13" xfId="0" applyFont="1" applyFill="1" applyBorder="1" applyAlignment="1">
      <alignment horizontal="center"/>
    </xf>
    <xf numFmtId="0" fontId="55" fillId="18" borderId="14" xfId="0" applyFont="1" applyFill="1" applyBorder="1" applyAlignment="1">
      <alignment horizontal="center"/>
    </xf>
    <xf numFmtId="0" fontId="55" fillId="18" borderId="15" xfId="0" applyFont="1" applyFill="1" applyBorder="1" applyAlignment="1">
      <alignment horizontal="center"/>
    </xf>
    <xf numFmtId="0" fontId="86" fillId="25" borderId="45" xfId="0" applyFont="1" applyFill="1" applyBorder="1" applyAlignment="1">
      <alignment horizontal="left" vertical="center"/>
    </xf>
    <xf numFmtId="0" fontId="86" fillId="25" borderId="40" xfId="0" applyFont="1" applyFill="1" applyBorder="1" applyAlignment="1">
      <alignment horizontal="left" vertical="center"/>
    </xf>
    <xf numFmtId="0" fontId="86" fillId="25" borderId="34" xfId="0" applyFont="1" applyFill="1" applyBorder="1" applyAlignment="1">
      <alignment horizontal="left" vertical="center"/>
    </xf>
    <xf numFmtId="0" fontId="86" fillId="25" borderId="0" xfId="0" applyFont="1" applyFill="1" applyBorder="1" applyAlignment="1">
      <alignment horizontal="left" vertical="center"/>
    </xf>
    <xf numFmtId="0" fontId="86" fillId="25" borderId="36" xfId="0" applyFont="1" applyFill="1" applyBorder="1" applyAlignment="1">
      <alignment horizontal="left" vertical="center"/>
    </xf>
    <xf numFmtId="0" fontId="86" fillId="25" borderId="12" xfId="0" applyFont="1" applyFill="1" applyBorder="1" applyAlignment="1">
      <alignment horizontal="left" vertical="center"/>
    </xf>
    <xf numFmtId="0" fontId="55" fillId="5" borderId="45" xfId="0" applyFont="1" applyFill="1" applyBorder="1" applyAlignment="1">
      <alignment horizontal="center" wrapText="1"/>
    </xf>
    <xf numFmtId="0" fontId="55" fillId="5" borderId="93" xfId="0" applyFont="1" applyFill="1" applyBorder="1" applyAlignment="1">
      <alignment horizontal="center" wrapText="1"/>
    </xf>
    <xf numFmtId="0" fontId="55" fillId="5" borderId="36" xfId="0" applyFont="1" applyFill="1" applyBorder="1" applyAlignment="1">
      <alignment horizontal="center" wrapText="1"/>
    </xf>
    <xf numFmtId="0" fontId="55" fillId="5" borderId="35" xfId="0" applyFont="1" applyFill="1" applyBorder="1" applyAlignment="1">
      <alignment horizontal="center" wrapText="1"/>
    </xf>
    <xf numFmtId="172" fontId="89" fillId="0" borderId="0" xfId="1" applyNumberFormat="1" applyFont="1" applyFill="1" applyAlignment="1">
      <alignment horizontal="center" vertical="center"/>
    </xf>
    <xf numFmtId="0" fontId="65" fillId="16" borderId="127" xfId="0" applyFont="1" applyFill="1" applyBorder="1" applyAlignment="1">
      <alignment horizontal="center" vertical="center" wrapText="1"/>
    </xf>
    <xf numFmtId="0" fontId="55" fillId="9" borderId="196" xfId="0" applyFont="1" applyFill="1" applyBorder="1" applyAlignment="1">
      <alignment horizontal="center" vertical="center" wrapText="1"/>
    </xf>
    <xf numFmtId="0" fontId="55" fillId="9" borderId="197" xfId="0" applyFont="1" applyFill="1" applyBorder="1" applyAlignment="1">
      <alignment horizontal="center" vertical="center" wrapText="1"/>
    </xf>
    <xf numFmtId="0" fontId="55" fillId="9" borderId="34" xfId="0" applyFont="1" applyFill="1" applyBorder="1" applyAlignment="1"/>
    <xf numFmtId="0" fontId="55" fillId="9" borderId="0" xfId="0" applyFont="1" applyFill="1" applyBorder="1" applyAlignment="1"/>
    <xf numFmtId="0" fontId="55" fillId="18" borderId="28" xfId="0" applyFont="1" applyFill="1" applyBorder="1" applyAlignment="1">
      <alignment horizontal="center" wrapText="1"/>
    </xf>
    <xf numFmtId="0" fontId="55" fillId="22" borderId="16" xfId="0" applyFont="1" applyFill="1" applyBorder="1" applyAlignment="1">
      <alignment horizontal="center" vertical="center"/>
    </xf>
    <xf numFmtId="0" fontId="55" fillId="22" borderId="154" xfId="0" applyFont="1" applyFill="1" applyBorder="1" applyAlignment="1">
      <alignment horizontal="center" vertical="center"/>
    </xf>
    <xf numFmtId="0" fontId="55" fillId="14" borderId="205" xfId="0" applyFont="1" applyFill="1" applyBorder="1" applyAlignment="1">
      <alignment horizontal="center" wrapText="1"/>
    </xf>
    <xf numFmtId="0" fontId="86" fillId="23" borderId="45" xfId="0" applyFont="1" applyFill="1" applyBorder="1" applyAlignment="1">
      <alignment horizontal="left" vertical="center" wrapText="1"/>
    </xf>
    <xf numFmtId="0" fontId="86" fillId="23" borderId="40" xfId="0" applyFont="1" applyFill="1" applyBorder="1" applyAlignment="1">
      <alignment horizontal="left" vertical="center" wrapText="1"/>
    </xf>
    <xf numFmtId="0" fontId="86" fillId="23" borderId="198" xfId="0" applyFont="1" applyFill="1" applyBorder="1" applyAlignment="1">
      <alignment horizontal="left" vertical="center" wrapText="1"/>
    </xf>
    <xf numFmtId="0" fontId="86" fillId="23" borderId="36" xfId="0" applyFont="1" applyFill="1" applyBorder="1" applyAlignment="1">
      <alignment horizontal="left" vertical="center" wrapText="1"/>
    </xf>
    <xf numFmtId="0" fontId="86" fillId="23" borderId="12" xfId="0" applyFont="1" applyFill="1" applyBorder="1" applyAlignment="1">
      <alignment horizontal="left" vertical="center" wrapText="1"/>
    </xf>
    <xf numFmtId="0" fontId="86" fillId="23" borderId="199" xfId="0" applyFont="1" applyFill="1" applyBorder="1" applyAlignment="1">
      <alignment horizontal="left" vertical="center" wrapText="1"/>
    </xf>
    <xf numFmtId="0" fontId="55" fillId="9" borderId="200" xfId="0" applyFont="1" applyFill="1" applyBorder="1" applyAlignment="1">
      <alignment horizontal="center" vertical="center" wrapText="1"/>
    </xf>
    <xf numFmtId="0" fontId="55" fillId="9" borderId="201" xfId="0" applyFont="1" applyFill="1" applyBorder="1" applyAlignment="1">
      <alignment horizontal="center" vertical="center" wrapText="1"/>
    </xf>
    <xf numFmtId="0" fontId="55" fillId="9" borderId="194" xfId="0" applyFont="1" applyFill="1" applyBorder="1" applyAlignment="1">
      <alignment horizontal="center" vertical="center" wrapText="1"/>
    </xf>
    <xf numFmtId="0" fontId="55" fillId="9" borderId="195" xfId="0" applyFont="1" applyFill="1" applyBorder="1" applyAlignment="1">
      <alignment horizontal="center" vertical="center" wrapText="1"/>
    </xf>
    <xf numFmtId="0" fontId="55" fillId="14" borderId="184" xfId="0" applyFont="1" applyFill="1" applyBorder="1" applyAlignment="1">
      <alignment horizontal="center"/>
    </xf>
    <xf numFmtId="0" fontId="55" fillId="14" borderId="185" xfId="0" applyFont="1" applyFill="1" applyBorder="1" applyAlignment="1">
      <alignment horizontal="center"/>
    </xf>
    <xf numFmtId="0" fontId="55" fillId="14" borderId="186" xfId="0" applyFont="1" applyFill="1" applyBorder="1" applyAlignment="1">
      <alignment horizontal="center"/>
    </xf>
    <xf numFmtId="0" fontId="54" fillId="0" borderId="146" xfId="0" applyFont="1" applyFill="1" applyBorder="1" applyAlignment="1">
      <alignment horizontal="left"/>
    </xf>
    <xf numFmtId="0" fontId="54" fillId="0" borderId="0" xfId="0" applyFont="1" applyFill="1" applyBorder="1" applyAlignment="1">
      <alignment horizontal="left"/>
    </xf>
    <xf numFmtId="9" fontId="55" fillId="14" borderId="209" xfId="0" applyNumberFormat="1" applyFont="1" applyFill="1" applyBorder="1" applyAlignment="1">
      <alignment horizontal="center"/>
    </xf>
    <xf numFmtId="9" fontId="55" fillId="14" borderId="189" xfId="0" applyNumberFormat="1" applyFont="1" applyFill="1" applyBorder="1" applyAlignment="1">
      <alignment horizontal="center"/>
    </xf>
    <xf numFmtId="9" fontId="55" fillId="14" borderId="210" xfId="0" applyNumberFormat="1" applyFont="1" applyFill="1" applyBorder="1" applyAlignment="1">
      <alignment horizontal="center"/>
    </xf>
    <xf numFmtId="0" fontId="87" fillId="24" borderId="206" xfId="0" applyFont="1" applyFill="1" applyBorder="1" applyAlignment="1">
      <alignment horizontal="left" vertical="center"/>
    </xf>
    <xf numFmtId="0" fontId="87" fillId="24" borderId="193" xfId="0" applyFont="1" applyFill="1" applyBorder="1" applyAlignment="1">
      <alignment horizontal="left" vertical="center"/>
    </xf>
    <xf numFmtId="0" fontId="87" fillId="24" borderId="207" xfId="0" applyFont="1" applyFill="1" applyBorder="1" applyAlignment="1">
      <alignment horizontal="left" vertical="center"/>
    </xf>
    <xf numFmtId="0" fontId="87" fillId="24" borderId="12" xfId="0" applyFont="1" applyFill="1" applyBorder="1" applyAlignment="1">
      <alignment horizontal="left" vertical="center"/>
    </xf>
    <xf numFmtId="0" fontId="55" fillId="14" borderId="208" xfId="0" applyFont="1" applyFill="1" applyBorder="1" applyAlignment="1">
      <alignment horizontal="center"/>
    </xf>
    <xf numFmtId="0" fontId="78" fillId="0" borderId="0" xfId="0" applyFont="1" applyAlignment="1">
      <alignment horizontal="center" vertical="center" wrapText="1"/>
    </xf>
    <xf numFmtId="0" fontId="55" fillId="9" borderId="45" xfId="0" applyFont="1" applyFill="1" applyBorder="1" applyAlignment="1"/>
    <xf numFmtId="0" fontId="55" fillId="9" borderId="40" xfId="0" applyFont="1" applyFill="1" applyBorder="1" applyAlignment="1"/>
    <xf numFmtId="0" fontId="74" fillId="0" borderId="36" xfId="0" applyFont="1" applyBorder="1" applyAlignment="1"/>
    <xf numFmtId="0" fontId="74" fillId="0" borderId="12" xfId="0" applyFont="1" applyBorder="1" applyAlignment="1"/>
    <xf numFmtId="0" fontId="86" fillId="23" borderId="45" xfId="0" applyFont="1" applyFill="1" applyBorder="1" applyAlignment="1">
      <alignment horizontal="left" wrapText="1"/>
    </xf>
    <xf numFmtId="0" fontId="86" fillId="23" borderId="40" xfId="0" applyFont="1" applyFill="1" applyBorder="1" applyAlignment="1">
      <alignment horizontal="left" wrapText="1"/>
    </xf>
    <xf numFmtId="0" fontId="86" fillId="23" borderId="187" xfId="0" applyFont="1" applyFill="1" applyBorder="1" applyAlignment="1">
      <alignment horizontal="left" wrapText="1"/>
    </xf>
    <xf numFmtId="0" fontId="86" fillId="23" borderId="150" xfId="0" applyFont="1" applyFill="1" applyBorder="1" applyAlignment="1">
      <alignment horizontal="left" wrapText="1"/>
    </xf>
    <xf numFmtId="0" fontId="74" fillId="15" borderId="34" xfId="0" applyFont="1" applyFill="1" applyBorder="1" applyAlignment="1"/>
    <xf numFmtId="0" fontId="74" fillId="15" borderId="0" xfId="0" applyFont="1" applyFill="1" applyBorder="1" applyAlignment="1"/>
    <xf numFmtId="0" fontId="54" fillId="0" borderId="0" xfId="0" applyFont="1" applyBorder="1" applyAlignment="1">
      <alignment horizontal="center"/>
    </xf>
    <xf numFmtId="0" fontId="54" fillId="0" borderId="0" xfId="0" applyFont="1" applyAlignment="1">
      <alignment horizontal="left" wrapText="1"/>
    </xf>
    <xf numFmtId="0" fontId="54" fillId="0" borderId="0" xfId="0" applyFont="1" applyFill="1" applyBorder="1" applyAlignment="1">
      <alignment horizontal="left" vertical="top" wrapText="1"/>
    </xf>
    <xf numFmtId="0" fontId="54" fillId="0" borderId="0" xfId="0" applyFont="1" applyAlignment="1">
      <alignment horizontal="left" vertical="top" wrapText="1"/>
    </xf>
    <xf numFmtId="0" fontId="54" fillId="9" borderId="13" xfId="0" applyFont="1" applyFill="1" applyBorder="1" applyAlignment="1">
      <alignment horizontal="left"/>
    </xf>
    <xf numFmtId="0" fontId="54" fillId="9" borderId="14" xfId="0" applyFont="1" applyFill="1" applyBorder="1" applyAlignment="1">
      <alignment horizontal="left"/>
    </xf>
    <xf numFmtId="0" fontId="54" fillId="9" borderId="182" xfId="0" applyFont="1" applyFill="1" applyBorder="1" applyAlignment="1">
      <alignment horizontal="left"/>
    </xf>
    <xf numFmtId="0" fontId="54" fillId="8" borderId="34" xfId="0" applyFont="1" applyFill="1" applyBorder="1" applyAlignment="1">
      <alignment horizontal="left" indent="1"/>
    </xf>
    <xf numFmtId="0" fontId="54" fillId="8" borderId="0" xfId="0" applyFont="1" applyFill="1" applyBorder="1" applyAlignment="1">
      <alignment horizontal="left" indent="1"/>
    </xf>
    <xf numFmtId="0" fontId="55" fillId="9" borderId="192" xfId="0" applyFont="1" applyFill="1" applyBorder="1" applyAlignment="1"/>
    <xf numFmtId="0" fontId="55" fillId="9" borderId="193" xfId="0" applyFont="1" applyFill="1" applyBorder="1" applyAlignment="1"/>
    <xf numFmtId="0" fontId="54" fillId="0" borderId="0" xfId="0" applyFont="1" applyAlignment="1">
      <alignment horizontal="center"/>
    </xf>
    <xf numFmtId="0" fontId="55" fillId="9" borderId="202" xfId="0" applyFont="1" applyFill="1" applyBorder="1" applyAlignment="1">
      <alignment horizontal="center" wrapText="1"/>
    </xf>
    <xf numFmtId="0" fontId="55" fillId="9" borderId="203" xfId="0" applyFont="1" applyFill="1" applyBorder="1" applyAlignment="1">
      <alignment horizontal="center" wrapText="1"/>
    </xf>
    <xf numFmtId="0" fontId="57" fillId="0" borderId="40" xfId="0" applyFont="1" applyFill="1" applyBorder="1" applyAlignment="1">
      <alignment horizontal="left" vertical="top" wrapText="1"/>
    </xf>
    <xf numFmtId="0" fontId="54" fillId="0" borderId="0" xfId="0" applyNumberFormat="1" applyFont="1" applyFill="1" applyBorder="1" applyAlignment="1">
      <alignment horizontal="left" vertical="top" wrapText="1"/>
    </xf>
    <xf numFmtId="0" fontId="55" fillId="22" borderId="17" xfId="0" applyFont="1" applyFill="1" applyBorder="1" applyAlignment="1">
      <alignment horizontal="center" vertical="center"/>
    </xf>
    <xf numFmtId="0" fontId="55" fillId="22" borderId="155" xfId="0" applyFont="1" applyFill="1" applyBorder="1" applyAlignment="1">
      <alignment horizontal="center" vertical="center"/>
    </xf>
    <xf numFmtId="0" fontId="85" fillId="14" borderId="182" xfId="0" applyFont="1" applyFill="1" applyBorder="1" applyAlignment="1">
      <alignment horizontal="center" wrapText="1"/>
    </xf>
    <xf numFmtId="0" fontId="85" fillId="14" borderId="183" xfId="0" applyFont="1" applyFill="1" applyBorder="1" applyAlignment="1">
      <alignment horizontal="center" wrapText="1"/>
    </xf>
    <xf numFmtId="0" fontId="55" fillId="22" borderId="17" xfId="0" applyFont="1" applyFill="1" applyBorder="1" applyAlignment="1">
      <alignment horizontal="center" vertical="center" wrapText="1"/>
    </xf>
    <xf numFmtId="0" fontId="55" fillId="22" borderId="155" xfId="0" applyFont="1" applyFill="1" applyBorder="1" applyAlignment="1">
      <alignment horizontal="center" vertical="center" wrapText="1"/>
    </xf>
    <xf numFmtId="0" fontId="55" fillId="22" borderId="18" xfId="0" applyFont="1" applyFill="1" applyBorder="1" applyAlignment="1">
      <alignment horizontal="center" vertical="center"/>
    </xf>
    <xf numFmtId="0" fontId="55" fillId="22" borderId="157" xfId="0" applyFont="1" applyFill="1" applyBorder="1" applyAlignment="1">
      <alignment horizontal="center" vertical="center"/>
    </xf>
    <xf numFmtId="0" fontId="55" fillId="14" borderId="204" xfId="0" applyFont="1" applyFill="1" applyBorder="1" applyAlignment="1">
      <alignment horizontal="center" wrapText="1"/>
    </xf>
    <xf numFmtId="0" fontId="55" fillId="14" borderId="31" xfId="0" applyFont="1" applyFill="1" applyBorder="1" applyAlignment="1">
      <alignment horizontal="center" wrapText="1"/>
    </xf>
    <xf numFmtId="0" fontId="54" fillId="23" borderId="190" xfId="0" applyFont="1" applyFill="1" applyBorder="1" applyAlignment="1">
      <alignment horizontal="center"/>
    </xf>
    <xf numFmtId="0" fontId="54" fillId="23" borderId="191" xfId="0" applyFont="1" applyFill="1" applyBorder="1" applyAlignment="1">
      <alignment horizontal="center"/>
    </xf>
    <xf numFmtId="0" fontId="87" fillId="24" borderId="188" xfId="0" applyFont="1" applyFill="1" applyBorder="1" applyAlignment="1">
      <alignment horizontal="left" vertical="center"/>
    </xf>
    <xf numFmtId="0" fontId="87" fillId="24" borderId="189" xfId="0" applyFont="1" applyFill="1" applyBorder="1" applyAlignment="1">
      <alignment horizontal="left" vertical="center"/>
    </xf>
    <xf numFmtId="0" fontId="54" fillId="0" borderId="147" xfId="0" applyFont="1" applyFill="1" applyBorder="1" applyAlignment="1">
      <alignment horizontal="left"/>
    </xf>
    <xf numFmtId="0" fontId="54" fillId="0" borderId="150" xfId="0" applyFont="1" applyFill="1" applyBorder="1" applyAlignment="1">
      <alignment horizontal="left"/>
    </xf>
    <xf numFmtId="49" fontId="67" fillId="0" borderId="0" xfId="0" applyNumberFormat="1" applyFont="1" applyFill="1" applyBorder="1" applyAlignment="1">
      <alignment horizontal="left" wrapText="1"/>
    </xf>
    <xf numFmtId="0" fontId="52" fillId="0" borderId="34" xfId="0" applyFont="1" applyBorder="1" applyAlignment="1">
      <alignment horizontal="center"/>
    </xf>
    <xf numFmtId="0" fontId="52" fillId="0" borderId="0" xfId="0" applyFont="1" applyBorder="1" applyAlignment="1">
      <alignment horizontal="center"/>
    </xf>
    <xf numFmtId="0" fontId="52" fillId="0" borderId="33" xfId="0" applyFont="1" applyBorder="1" applyAlignment="1">
      <alignment horizontal="center"/>
    </xf>
    <xf numFmtId="9" fontId="52" fillId="0" borderId="34" xfId="40" applyFont="1" applyBorder="1" applyAlignment="1">
      <alignment horizontal="center"/>
    </xf>
    <xf numFmtId="9" fontId="52" fillId="0" borderId="0" xfId="40" applyFont="1" applyBorder="1" applyAlignment="1">
      <alignment horizontal="center"/>
    </xf>
    <xf numFmtId="9" fontId="52" fillId="0" borderId="33" xfId="40" applyFont="1" applyBorder="1" applyAlignment="1">
      <alignment horizontal="center"/>
    </xf>
    <xf numFmtId="0" fontId="69" fillId="0" borderId="4" xfId="16" applyFont="1" applyBorder="1" applyAlignment="1">
      <alignment horizontal="center"/>
    </xf>
    <xf numFmtId="0" fontId="52" fillId="0" borderId="0" xfId="0" applyFont="1" applyAlignment="1">
      <alignment horizontal="center"/>
    </xf>
    <xf numFmtId="0" fontId="52" fillId="0" borderId="12" xfId="0" applyFont="1" applyBorder="1" applyAlignment="1">
      <alignment horizontal="center"/>
    </xf>
    <xf numFmtId="0" fontId="67" fillId="0" borderId="12" xfId="14" applyFont="1" applyBorder="1" applyAlignment="1">
      <alignment horizontal="center"/>
    </xf>
    <xf numFmtId="0" fontId="67" fillId="0" borderId="0" xfId="14" applyFont="1" applyBorder="1" applyAlignment="1">
      <alignment horizontal="center"/>
    </xf>
    <xf numFmtId="0" fontId="80" fillId="0" borderId="0" xfId="14" applyFont="1" applyFill="1" applyBorder="1" applyAlignment="1">
      <alignment horizontal="left" vertical="top" wrapText="1"/>
    </xf>
    <xf numFmtId="49" fontId="83" fillId="0" borderId="13" xfId="19" applyNumberFormat="1" applyFont="1" applyFill="1" applyBorder="1" applyAlignment="1">
      <alignment horizontal="center" vertical="top" wrapText="1"/>
    </xf>
    <xf numFmtId="49" fontId="83" fillId="0" borderId="14" xfId="19" applyNumberFormat="1" applyFont="1" applyFill="1" applyBorder="1" applyAlignment="1">
      <alignment horizontal="center" vertical="top" wrapText="1"/>
    </xf>
    <xf numFmtId="49" fontId="83" fillId="0" borderId="15" xfId="19" applyNumberFormat="1" applyFont="1" applyFill="1" applyBorder="1" applyAlignment="1">
      <alignment horizontal="center" vertical="top" wrapText="1"/>
    </xf>
    <xf numFmtId="0" fontId="73" fillId="0" borderId="0" xfId="0" applyFont="1" applyAlignment="1">
      <alignment horizontal="left" vertical="top" wrapText="1"/>
    </xf>
    <xf numFmtId="0" fontId="52" fillId="0" borderId="0" xfId="0" applyFont="1" applyAlignment="1">
      <alignment horizontal="left" vertical="top" wrapText="1"/>
    </xf>
    <xf numFmtId="49" fontId="83" fillId="0" borderId="19" xfId="19" applyNumberFormat="1" applyFont="1" applyFill="1" applyBorder="1" applyAlignment="1">
      <alignment horizontal="center" vertical="top" wrapText="1"/>
    </xf>
    <xf numFmtId="49" fontId="83" fillId="0" borderId="20" xfId="19" applyNumberFormat="1" applyFont="1" applyFill="1" applyBorder="1" applyAlignment="1">
      <alignment horizontal="center" vertical="top" wrapText="1"/>
    </xf>
    <xf numFmtId="49" fontId="83" fillId="0" borderId="21" xfId="19" applyNumberFormat="1" applyFont="1" applyFill="1" applyBorder="1" applyAlignment="1">
      <alignment horizontal="center" vertical="top" wrapText="1"/>
    </xf>
    <xf numFmtId="0" fontId="80" fillId="0" borderId="0" xfId="0" applyFont="1" applyFill="1" applyBorder="1" applyAlignment="1">
      <alignment horizontal="left" vertical="top" wrapText="1"/>
    </xf>
    <xf numFmtId="49" fontId="83" fillId="0" borderId="130" xfId="0" applyNumberFormat="1" applyFont="1" applyFill="1" applyBorder="1" applyAlignment="1">
      <alignment horizontal="center" wrapText="1"/>
    </xf>
    <xf numFmtId="49" fontId="83" fillId="0" borderId="131" xfId="0" applyNumberFormat="1" applyFont="1" applyFill="1" applyBorder="1" applyAlignment="1">
      <alignment horizontal="center" wrapText="1"/>
    </xf>
    <xf numFmtId="49" fontId="83" fillId="0" borderId="132" xfId="0" applyNumberFormat="1" applyFont="1" applyFill="1" applyBorder="1" applyAlignment="1">
      <alignment horizontal="center" wrapText="1"/>
    </xf>
    <xf numFmtId="49" fontId="83" fillId="0" borderId="130" xfId="0" applyNumberFormat="1" applyFont="1" applyBorder="1" applyAlignment="1">
      <alignment horizontal="center" wrapText="1"/>
    </xf>
    <xf numFmtId="49" fontId="83" fillId="0" borderId="131" xfId="0" applyNumberFormat="1" applyFont="1" applyBorder="1" applyAlignment="1">
      <alignment horizontal="center" wrapText="1"/>
    </xf>
    <xf numFmtId="49" fontId="83" fillId="0" borderId="132" xfId="0" applyNumberFormat="1" applyFont="1" applyBorder="1" applyAlignment="1">
      <alignment horizontal="center" wrapText="1"/>
    </xf>
    <xf numFmtId="0" fontId="80" fillId="0" borderId="0" xfId="19" applyFont="1" applyAlignment="1">
      <alignment horizontal="left" vertical="top" wrapText="1"/>
    </xf>
    <xf numFmtId="0" fontId="67" fillId="0" borderId="36" xfId="0" applyFont="1" applyFill="1" applyBorder="1" applyAlignment="1">
      <alignment horizontal="center"/>
    </xf>
    <xf numFmtId="0" fontId="67" fillId="0" borderId="12" xfId="0" applyFont="1" applyFill="1" applyBorder="1" applyAlignment="1">
      <alignment horizontal="center"/>
    </xf>
    <xf numFmtId="0" fontId="67" fillId="0" borderId="35" xfId="0" applyFont="1" applyFill="1" applyBorder="1" applyAlignment="1">
      <alignment horizontal="center"/>
    </xf>
    <xf numFmtId="0" fontId="67" fillId="0" borderId="0" xfId="0" applyFont="1" applyFill="1" applyBorder="1" applyAlignment="1">
      <alignment horizontal="center"/>
    </xf>
    <xf numFmtId="0" fontId="58" fillId="0" borderId="0" xfId="0" applyFont="1" applyAlignment="1">
      <alignment horizontal="center"/>
    </xf>
    <xf numFmtId="0" fontId="76" fillId="0" borderId="0" xfId="0" applyFont="1" applyAlignment="1">
      <alignment horizontal="center"/>
    </xf>
    <xf numFmtId="0" fontId="73" fillId="0" borderId="0" xfId="15" applyFont="1" applyAlignment="1">
      <alignment horizontal="left" wrapText="1"/>
    </xf>
    <xf numFmtId="0" fontId="66" fillId="0" borderId="12" xfId="9" applyFont="1" applyBorder="1" applyAlignment="1">
      <alignment horizontal="center" wrapText="1"/>
    </xf>
    <xf numFmtId="0" fontId="66" fillId="0" borderId="0" xfId="9" applyFont="1" applyAlignment="1">
      <alignment horizontal="left" vertical="top" wrapText="1"/>
    </xf>
    <xf numFmtId="0" fontId="24" fillId="0" borderId="0" xfId="9" applyFont="1" applyAlignment="1">
      <alignment horizontal="left" vertical="top" wrapText="1"/>
    </xf>
    <xf numFmtId="0" fontId="66" fillId="0" borderId="14" xfId="9" applyFont="1" applyBorder="1" applyAlignment="1">
      <alignment horizontal="center"/>
    </xf>
    <xf numFmtId="0" fontId="66" fillId="0" borderId="0" xfId="9" applyFont="1" applyBorder="1" applyAlignment="1">
      <alignment horizontal="left" wrapText="1"/>
    </xf>
    <xf numFmtId="0" fontId="70" fillId="0" borderId="0" xfId="16" applyFont="1" applyAlignment="1">
      <alignment horizontal="left" wrapText="1"/>
    </xf>
    <xf numFmtId="0" fontId="66" fillId="0" borderId="0" xfId="9" applyFont="1" applyBorder="1" applyAlignment="1">
      <alignment horizontal="left"/>
    </xf>
    <xf numFmtId="0" fontId="13" fillId="0" borderId="4" xfId="18" applyFont="1" applyBorder="1" applyAlignment="1">
      <alignment horizontal="center"/>
    </xf>
    <xf numFmtId="0" fontId="14" fillId="0" borderId="0" xfId="18" applyFont="1" applyBorder="1" applyAlignment="1">
      <alignment horizontal="center"/>
    </xf>
    <xf numFmtId="0" fontId="5" fillId="0" borderId="0" xfId="18" applyFont="1" applyFill="1" applyBorder="1" applyAlignment="1">
      <alignment horizontal="left" wrapText="1"/>
    </xf>
    <xf numFmtId="0" fontId="5" fillId="0" borderId="33" xfId="18" applyFont="1" applyFill="1" applyBorder="1" applyAlignment="1">
      <alignment horizontal="left" wrapText="1"/>
    </xf>
    <xf numFmtId="0" fontId="14" fillId="0" borderId="12" xfId="18" applyFont="1" applyBorder="1" applyAlignment="1">
      <alignment horizontal="center"/>
    </xf>
    <xf numFmtId="0" fontId="14" fillId="0" borderId="4" xfId="18" applyFont="1" applyBorder="1" applyAlignment="1">
      <alignment horizontal="center"/>
    </xf>
    <xf numFmtId="0" fontId="13" fillId="0" borderId="98" xfId="18" applyFont="1" applyBorder="1" applyAlignment="1">
      <alignment horizontal="center"/>
    </xf>
    <xf numFmtId="178" fontId="52" fillId="0" borderId="45" xfId="3" applyNumberFormat="1" applyFont="1" applyBorder="1" applyAlignment="1">
      <alignment horizontal="center"/>
    </xf>
    <xf numFmtId="178" fontId="52" fillId="0" borderId="40" xfId="3" applyNumberFormat="1" applyFont="1" applyBorder="1" applyAlignment="1">
      <alignment horizontal="center"/>
    </xf>
    <xf numFmtId="178" fontId="52" fillId="0" borderId="93" xfId="3" applyNumberFormat="1" applyFont="1" applyBorder="1" applyAlignment="1">
      <alignment horizontal="center"/>
    </xf>
    <xf numFmtId="0" fontId="52" fillId="0" borderId="45" xfId="0" applyFont="1" applyBorder="1" applyAlignment="1">
      <alignment horizontal="center"/>
    </xf>
    <xf numFmtId="0" fontId="52" fillId="0" borderId="40" xfId="0" applyFont="1" applyBorder="1" applyAlignment="1">
      <alignment horizontal="center"/>
    </xf>
    <xf numFmtId="0" fontId="52" fillId="0" borderId="93" xfId="0" applyFont="1" applyBorder="1" applyAlignment="1">
      <alignment horizontal="center"/>
    </xf>
    <xf numFmtId="9" fontId="52" fillId="0" borderId="45" xfId="40" applyFont="1" applyBorder="1" applyAlignment="1">
      <alignment horizontal="center"/>
    </xf>
    <xf numFmtId="9" fontId="52" fillId="0" borderId="40" xfId="40" applyFont="1" applyBorder="1" applyAlignment="1">
      <alignment horizontal="center"/>
    </xf>
    <xf numFmtId="9" fontId="52" fillId="0" borderId="93" xfId="40" applyFont="1" applyBorder="1" applyAlignment="1">
      <alignment horizontal="center"/>
    </xf>
    <xf numFmtId="0" fontId="52" fillId="0" borderId="19" xfId="0" applyFont="1" applyBorder="1" applyAlignment="1">
      <alignment horizontal="center"/>
    </xf>
    <xf numFmtId="0" fontId="52" fillId="0" borderId="106" xfId="0" applyFont="1" applyBorder="1" applyAlignment="1">
      <alignment horizontal="center"/>
    </xf>
    <xf numFmtId="0" fontId="52" fillId="0" borderId="20" xfId="0" applyFont="1" applyBorder="1" applyAlignment="1">
      <alignment horizontal="center"/>
    </xf>
    <xf numFmtId="0" fontId="52" fillId="0" borderId="21" xfId="0" applyFont="1" applyBorder="1" applyAlignment="1">
      <alignment horizontal="center"/>
    </xf>
    <xf numFmtId="0" fontId="52" fillId="0" borderId="29" xfId="0" applyFont="1" applyBorder="1" applyAlignment="1">
      <alignment horizontal="center" wrapText="1"/>
    </xf>
    <xf numFmtId="0" fontId="52" fillId="0" borderId="31" xfId="0" applyFont="1" applyBorder="1" applyAlignment="1">
      <alignment horizontal="center" wrapText="1"/>
    </xf>
    <xf numFmtId="0" fontId="52" fillId="0" borderId="28" xfId="0" applyFont="1" applyBorder="1" applyAlignment="1">
      <alignment horizontal="center" wrapText="1"/>
    </xf>
    <xf numFmtId="0" fontId="59" fillId="0" borderId="28" xfId="0" applyFont="1" applyBorder="1" applyAlignment="1">
      <alignment horizontal="center" wrapText="1"/>
    </xf>
    <xf numFmtId="0" fontId="60" fillId="0" borderId="0" xfId="0" applyFont="1" applyAlignment="1">
      <alignment horizontal="left" vertical="top" wrapText="1"/>
    </xf>
    <xf numFmtId="0" fontId="20" fillId="0" borderId="0" xfId="0" applyFont="1" applyBorder="1" applyAlignment="1">
      <alignment horizontal="left" vertical="top" wrapText="1"/>
    </xf>
    <xf numFmtId="0" fontId="21" fillId="0" borderId="0" xfId="4" applyFont="1" applyFill="1" applyBorder="1" applyAlignment="1" applyProtection="1">
      <alignment horizontal="left" wrapText="1"/>
    </xf>
    <xf numFmtId="0" fontId="66" fillId="0" borderId="0" xfId="0" applyFont="1" applyBorder="1" applyAlignment="1">
      <alignment horizontal="left" wrapText="1"/>
    </xf>
    <xf numFmtId="174" fontId="20" fillId="0" borderId="13" xfId="0" applyNumberFormat="1" applyFont="1" applyFill="1" applyBorder="1" applyAlignment="1" applyProtection="1">
      <alignment horizontal="center" vertical="center"/>
    </xf>
    <xf numFmtId="174" fontId="20" fillId="0" borderId="14" xfId="0" applyNumberFormat="1" applyFont="1" applyFill="1" applyBorder="1" applyAlignment="1" applyProtection="1">
      <alignment horizontal="center" vertical="center"/>
    </xf>
    <xf numFmtId="174" fontId="20" fillId="0" borderId="15" xfId="0" applyNumberFormat="1" applyFont="1" applyFill="1" applyBorder="1" applyAlignment="1" applyProtection="1">
      <alignment horizontal="center" vertical="center"/>
    </xf>
    <xf numFmtId="0" fontId="59" fillId="0" borderId="12" xfId="0" applyFont="1" applyBorder="1" applyAlignment="1">
      <alignment horizontal="center" wrapText="1"/>
    </xf>
    <xf numFmtId="49" fontId="20" fillId="0" borderId="29" xfId="0" applyNumberFormat="1" applyFont="1" applyFill="1" applyBorder="1" applyAlignment="1">
      <alignment horizontal="center" vertical="center"/>
    </xf>
    <xf numFmtId="49" fontId="20" fillId="0" borderId="31" xfId="0" applyNumberFormat="1" applyFont="1" applyFill="1" applyBorder="1" applyAlignment="1">
      <alignment horizontal="center" vertical="center"/>
    </xf>
    <xf numFmtId="174" fontId="20" fillId="0" borderId="29" xfId="0" applyNumberFormat="1" applyFont="1" applyFill="1" applyBorder="1" applyAlignment="1" applyProtection="1">
      <alignment horizontal="center" vertical="center"/>
    </xf>
    <xf numFmtId="174" fontId="20" fillId="0" borderId="31" xfId="0" applyNumberFormat="1" applyFont="1" applyFill="1" applyBorder="1" applyAlignment="1" applyProtection="1">
      <alignment horizontal="center" vertical="center"/>
    </xf>
    <xf numFmtId="0" fontId="53" fillId="0" borderId="14" xfId="0" applyFont="1" applyBorder="1" applyAlignment="1">
      <alignment horizontal="center" wrapText="1"/>
    </xf>
    <xf numFmtId="0" fontId="24" fillId="0" borderId="0" xfId="14" applyFont="1" applyAlignment="1">
      <alignment horizontal="left" vertical="top" wrapText="1"/>
    </xf>
    <xf numFmtId="0" fontId="34" fillId="0" borderId="0" xfId="14" applyFont="1" applyFill="1" applyBorder="1" applyAlignment="1">
      <alignment horizontal="left" wrapText="1"/>
    </xf>
    <xf numFmtId="0" fontId="80" fillId="0" borderId="0" xfId="14" applyFont="1" applyAlignment="1">
      <alignment horizontal="left" vertical="top" wrapText="1"/>
    </xf>
    <xf numFmtId="1" fontId="52" fillId="0" borderId="12" xfId="0" applyNumberFormat="1" applyFont="1" applyBorder="1" applyAlignment="1">
      <alignment horizontal="center"/>
    </xf>
    <xf numFmtId="1" fontId="52" fillId="0" borderId="0" xfId="0" applyNumberFormat="1" applyFont="1" applyAlignment="1">
      <alignment horizontal="center"/>
    </xf>
    <xf numFmtId="0" fontId="73" fillId="0" borderId="0" xfId="9" applyFont="1" applyAlignment="1">
      <alignment horizontal="left" vertical="top" wrapText="1"/>
    </xf>
    <xf numFmtId="0" fontId="80" fillId="0" borderId="0" xfId="9" applyFont="1" applyAlignment="1">
      <alignment horizontal="left" vertical="top" wrapText="1"/>
    </xf>
  </cellXfs>
  <cellStyles count="41">
    <cellStyle name="Comma" xfId="1" builtinId="3"/>
    <cellStyle name="Comma 2" xfId="2"/>
    <cellStyle name="Currency" xfId="3" builtinId="4"/>
    <cellStyle name="Hyperlink" xfId="4" builtinId="8"/>
    <cellStyle name="Hyperlink 2" xfId="5"/>
    <cellStyle name="Normal" xfId="0" builtinId="0"/>
    <cellStyle name="Normal 10" xfId="6"/>
    <cellStyle name="Normal 11" xfId="7"/>
    <cellStyle name="Normal 12" xfId="8"/>
    <cellStyle name="Normal 2" xfId="9"/>
    <cellStyle name="Normal 2 2" xfId="10"/>
    <cellStyle name="Normal 2 3" xfId="11"/>
    <cellStyle name="Normal 2 4" xfId="12"/>
    <cellStyle name="Normal 3" xfId="13"/>
    <cellStyle name="Normal 4" xfId="14"/>
    <cellStyle name="Normal 5" xfId="15"/>
    <cellStyle name="Normal 6" xfId="16"/>
    <cellStyle name="Normal 7" xfId="17"/>
    <cellStyle name="Normal 8" xfId="18"/>
    <cellStyle name="Normal 9" xfId="19"/>
    <cellStyle name="Normal_10 Other Benefits LASER 2011" xfId="20"/>
    <cellStyle name="Normal_2 Services Staff 2011" xfId="21"/>
    <cellStyle name="Normal_3 Other Exp LASER 2011" xfId="22"/>
    <cellStyle name="Normal_5 Medicaid &amp; FAMIS 2011" xfId="23"/>
    <cellStyle name="Normal_6 SNAP LASER 2011" xfId="24"/>
    <cellStyle name="Normal_7 LIHEAP LASER 2011" xfId="25"/>
    <cellStyle name="Normal_Sheet1" xfId="26"/>
    <cellStyle name="Normal_Sheet1 2" xfId="27"/>
    <cellStyle name="Normal_Sheet2" xfId="28"/>
    <cellStyle name="Normal_Sheet2 2" xfId="29"/>
    <cellStyle name="Normal_Sheet2_1" xfId="30"/>
    <cellStyle name="Normal_Sheet3" xfId="31"/>
    <cellStyle name="Normal_Sheet4" xfId="32"/>
    <cellStyle name="Normal_Sheet4_1" xfId="33"/>
    <cellStyle name="Normal_Sheet4_2" xfId="34"/>
    <cellStyle name="Normal_Sheet5" xfId="35"/>
    <cellStyle name="Normal_Sheet6" xfId="36"/>
    <cellStyle name="Normal_Sheet7" xfId="37"/>
    <cellStyle name="Normal_Sheet8" xfId="38"/>
    <cellStyle name="Normal_Sheet9" xfId="39"/>
    <cellStyle name="Percent" xfId="40" builtinId="5"/>
  </cellStyles>
  <dxfs count="6">
    <dxf>
      <font>
        <b/>
        <i val="0"/>
        <color rgb="FFFF0000"/>
      </font>
    </dxf>
    <dxf>
      <font>
        <condense val="0"/>
        <extend val="0"/>
        <color rgb="FF9C0006"/>
      </font>
      <fill>
        <patternFill>
          <bgColor rgb="FFFFC7CE"/>
        </patternFill>
      </fill>
    </dxf>
    <dxf>
      <font>
        <b/>
        <i val="0"/>
        <color rgb="FFFF0000"/>
      </font>
    </dxf>
    <dxf>
      <font>
        <condense val="0"/>
        <extend val="0"/>
        <color rgb="FF9C0006"/>
      </font>
      <fill>
        <patternFill>
          <bgColor rgb="FFFFC7CE"/>
        </patternFill>
      </fill>
    </dxf>
    <dxf>
      <font>
        <b/>
        <i val="0"/>
        <color rgb="FFFF0000"/>
      </font>
    </dxf>
    <dxf>
      <font>
        <condense val="0"/>
        <extend val="0"/>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1"/>
  <c:style val="7"/>
  <c:chart>
    <c:title>
      <c:tx>
        <c:rich>
          <a:bodyPr/>
          <a:lstStyle/>
          <a:p>
            <a:pPr>
              <a:defRPr sz="1000">
                <a:latin typeface="+mj-lt"/>
              </a:defRPr>
            </a:pPr>
            <a:r>
              <a:rPr lang="en-US" sz="1000">
                <a:latin typeface="+mj-lt"/>
              </a:rPr>
              <a:t>Percent of Work Eligible Adults who are Unemployed, 2000-2012</a:t>
            </a:r>
          </a:p>
        </c:rich>
      </c:tx>
      <c:layout>
        <c:manualLayout>
          <c:xMode val="edge"/>
          <c:yMode val="edge"/>
          <c:x val="0.17044581383848773"/>
          <c:y val="7.1399531434409677E-2"/>
        </c:manualLayout>
      </c:layout>
    </c:title>
    <c:plotArea>
      <c:layout>
        <c:manualLayout>
          <c:layoutTarget val="inner"/>
          <c:xMode val="edge"/>
          <c:yMode val="edge"/>
          <c:x val="0.13897504893237494"/>
          <c:y val="0.1526807893783152"/>
          <c:w val="0.80175410152944593"/>
          <c:h val="0.48432633420822957"/>
        </c:manualLayout>
      </c:layout>
      <c:lineChart>
        <c:grouping val="standard"/>
        <c:ser>
          <c:idx val="0"/>
          <c:order val="0"/>
          <c:tx>
            <c:strRef>
              <c:f>Profile!$D$3</c:f>
              <c:strCache>
                <c:ptCount val="1"/>
                <c:pt idx="0">
                  <c:v>Fairfax Co./ Fairfax City/ Falls Church</c:v>
                </c:pt>
              </c:strCache>
            </c:strRef>
          </c:tx>
          <c:marker>
            <c:symbol val="none"/>
          </c:marker>
          <c:cat>
            <c:strRef>
              <c:f>Profile!$B$46:$B$58</c:f>
              <c:strCach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strCache>
            </c:strRef>
          </c:cat>
          <c:val>
            <c:numRef>
              <c:f>Profile!$D$46:$D$58</c:f>
              <c:numCache>
                <c:formatCode>0.0%</c:formatCode>
                <c:ptCount val="13"/>
                <c:pt idx="0">
                  <c:v>2.4115755627009645E-2</c:v>
                </c:pt>
                <c:pt idx="1">
                  <c:v>2.5071257911724022E-2</c:v>
                </c:pt>
                <c:pt idx="2">
                  <c:v>3.3457909420529626E-2</c:v>
                </c:pt>
                <c:pt idx="3">
                  <c:v>3.0671264015172645E-2</c:v>
                </c:pt>
                <c:pt idx="4">
                  <c:v>2.6978136364962577E-2</c:v>
                </c:pt>
                <c:pt idx="5">
                  <c:v>2.5340650894356085E-2</c:v>
                </c:pt>
                <c:pt idx="6">
                  <c:v>2.1827868062959385E-2</c:v>
                </c:pt>
                <c:pt idx="7">
                  <c:v>2.1617136673748663E-2</c:v>
                </c:pt>
                <c:pt idx="8">
                  <c:v>2.8507289323165694E-2</c:v>
                </c:pt>
                <c:pt idx="9">
                  <c:v>4.7375248332822903E-2</c:v>
                </c:pt>
                <c:pt idx="10">
                  <c:v>4.9474177817681902E-2</c:v>
                </c:pt>
                <c:pt idx="11">
                  <c:v>4.3690069737033273E-2</c:v>
                </c:pt>
                <c:pt idx="12">
                  <c:v>4.0666898298158484E-2</c:v>
                </c:pt>
              </c:numCache>
            </c:numRef>
          </c:val>
        </c:ser>
        <c:ser>
          <c:idx val="1"/>
          <c:order val="1"/>
          <c:tx>
            <c:strRef>
              <c:f>Profile!$E$43</c:f>
              <c:strCache>
                <c:ptCount val="1"/>
                <c:pt idx="0">
                  <c:v>Northern</c:v>
                </c:pt>
              </c:strCache>
            </c:strRef>
          </c:tx>
          <c:spPr>
            <a:ln>
              <a:prstDash val="sysDot"/>
            </a:ln>
          </c:spPr>
          <c:marker>
            <c:symbol val="none"/>
          </c:marker>
          <c:cat>
            <c:strRef>
              <c:f>Profile!$B$46:$B$58</c:f>
              <c:strCach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strCache>
            </c:strRef>
          </c:cat>
          <c:val>
            <c:numRef>
              <c:f>Profile!$E$46:$E$58</c:f>
              <c:numCache>
                <c:formatCode>0.0%</c:formatCode>
                <c:ptCount val="13"/>
                <c:pt idx="0">
                  <c:v>2.1842972317669983E-2</c:v>
                </c:pt>
                <c:pt idx="1">
                  <c:v>2.5097361051548011E-2</c:v>
                </c:pt>
                <c:pt idx="2">
                  <c:v>3.4157529216219347E-2</c:v>
                </c:pt>
                <c:pt idx="3">
                  <c:v>3.2218112314505103E-2</c:v>
                </c:pt>
                <c:pt idx="4">
                  <c:v>2.8120733230688783E-2</c:v>
                </c:pt>
                <c:pt idx="5">
                  <c:v>2.6503664293188598E-2</c:v>
                </c:pt>
                <c:pt idx="6">
                  <c:v>2.315471133252801E-2</c:v>
                </c:pt>
                <c:pt idx="7">
                  <c:v>2.3592388661050432E-2</c:v>
                </c:pt>
                <c:pt idx="8">
                  <c:v>3.1751926851734683E-2</c:v>
                </c:pt>
                <c:pt idx="9">
                  <c:v>5.2937712018661119E-2</c:v>
                </c:pt>
                <c:pt idx="10">
                  <c:v>5.4895064290584474E-2</c:v>
                </c:pt>
                <c:pt idx="11">
                  <c:v>4.9149237976582744E-2</c:v>
                </c:pt>
                <c:pt idx="12">
                  <c:v>4.5189958274933523E-2</c:v>
                </c:pt>
              </c:numCache>
            </c:numRef>
          </c:val>
        </c:ser>
        <c:ser>
          <c:idx val="2"/>
          <c:order val="2"/>
          <c:tx>
            <c:strRef>
              <c:f>Profile!$F$43</c:f>
              <c:strCache>
                <c:ptCount val="1"/>
                <c:pt idx="0">
                  <c:v>Statewide</c:v>
                </c:pt>
              </c:strCache>
            </c:strRef>
          </c:tx>
          <c:marker>
            <c:symbol val="none"/>
          </c:marker>
          <c:cat>
            <c:strRef>
              <c:f>Profile!$B$46:$B$58</c:f>
              <c:strCach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strCache>
            </c:strRef>
          </c:cat>
          <c:val>
            <c:numRef>
              <c:f>Profile!$F$46:$F$58</c:f>
              <c:numCache>
                <c:formatCode>0.0%</c:formatCode>
                <c:ptCount val="13"/>
                <c:pt idx="0">
                  <c:v>2.2743347794679576E-2</c:v>
                </c:pt>
                <c:pt idx="1">
                  <c:v>3.2187783912701044E-2</c:v>
                </c:pt>
                <c:pt idx="2">
                  <c:v>4.1810282554885593E-2</c:v>
                </c:pt>
                <c:pt idx="3">
                  <c:v>4.0951027325666245E-2</c:v>
                </c:pt>
                <c:pt idx="4">
                  <c:v>3.6983564098822252E-2</c:v>
                </c:pt>
                <c:pt idx="5">
                  <c:v>3.5006670478368591E-2</c:v>
                </c:pt>
                <c:pt idx="6">
                  <c:v>3.0047576742774661E-2</c:v>
                </c:pt>
                <c:pt idx="7">
                  <c:v>2.9970898696468237E-2</c:v>
                </c:pt>
                <c:pt idx="8">
                  <c:v>3.9293121325249841E-2</c:v>
                </c:pt>
                <c:pt idx="9">
                  <c:v>6.6504174435482052E-2</c:v>
                </c:pt>
                <c:pt idx="10">
                  <c:v>6.9088302581042094E-2</c:v>
                </c:pt>
                <c:pt idx="11">
                  <c:v>6.2429897166254779E-2</c:v>
                </c:pt>
                <c:pt idx="12">
                  <c:v>5.7201809277476895E-2</c:v>
                </c:pt>
              </c:numCache>
            </c:numRef>
          </c:val>
        </c:ser>
        <c:marker val="1"/>
        <c:axId val="177639808"/>
        <c:axId val="177641344"/>
      </c:lineChart>
      <c:catAx>
        <c:axId val="177639808"/>
        <c:scaling>
          <c:orientation val="minMax"/>
        </c:scaling>
        <c:axPos val="b"/>
        <c:numFmt formatCode="General" sourceLinked="1"/>
        <c:tickLblPos val="nextTo"/>
        <c:txPr>
          <a:bodyPr rot="-1500000" vert="horz"/>
          <a:lstStyle/>
          <a:p>
            <a:pPr>
              <a:defRPr/>
            </a:pPr>
            <a:endParaRPr lang="en-US"/>
          </a:p>
        </c:txPr>
        <c:crossAx val="177641344"/>
        <c:crosses val="autoZero"/>
        <c:auto val="1"/>
        <c:lblAlgn val="ctr"/>
        <c:lblOffset val="100"/>
        <c:tickLblSkip val="1"/>
        <c:tickMarkSkip val="1"/>
      </c:catAx>
      <c:valAx>
        <c:axId val="177641344"/>
        <c:scaling>
          <c:orientation val="minMax"/>
        </c:scaling>
        <c:axPos val="l"/>
        <c:majorGridlines>
          <c:spPr>
            <a:ln>
              <a:solidFill>
                <a:schemeClr val="bg1"/>
              </a:solidFill>
            </a:ln>
          </c:spPr>
        </c:majorGridlines>
        <c:title>
          <c:tx>
            <c:rich>
              <a:bodyPr/>
              <a:lstStyle/>
              <a:p>
                <a:pPr>
                  <a:defRPr/>
                </a:pPr>
                <a:r>
                  <a:rPr lang="en-US"/>
                  <a:t>Percentage (%)</a:t>
                </a:r>
              </a:p>
            </c:rich>
          </c:tx>
        </c:title>
        <c:numFmt formatCode="0%" sourceLinked="0"/>
        <c:tickLblPos val="nextTo"/>
        <c:spPr>
          <a:ln>
            <a:noFill/>
          </a:ln>
        </c:spPr>
        <c:txPr>
          <a:bodyPr rot="0" vert="horz"/>
          <a:lstStyle/>
          <a:p>
            <a:pPr>
              <a:defRPr/>
            </a:pPr>
            <a:endParaRPr lang="en-US"/>
          </a:p>
        </c:txPr>
        <c:crossAx val="177639808"/>
        <c:crosses val="autoZero"/>
        <c:crossBetween val="midCat"/>
      </c:valAx>
      <c:spPr>
        <a:noFill/>
        <a:ln>
          <a:solidFill>
            <a:schemeClr val="accent5">
              <a:lumMod val="75000"/>
            </a:schemeClr>
          </a:solidFill>
        </a:ln>
      </c:spPr>
    </c:plotArea>
    <c:legend>
      <c:legendPos val="b"/>
      <c:layout>
        <c:manualLayout>
          <c:xMode val="edge"/>
          <c:yMode val="edge"/>
          <c:x val="9.0534063676823203E-3"/>
          <c:y val="0.77115996406489506"/>
          <c:w val="0.97708775533493097"/>
          <c:h val="8.8239003681586797E-2"/>
        </c:manualLayout>
      </c:layout>
    </c:legend>
    <c:plotVisOnly val="1"/>
    <c:dispBlanksAs val="gap"/>
  </c:chart>
  <c:spPr>
    <a:ln w="15875">
      <a:solidFill>
        <a:schemeClr val="accent5">
          <a:lumMod val="75000"/>
        </a:schemeClr>
      </a:solidFill>
    </a:ln>
  </c:spPr>
  <c:printSettings>
    <c:headerFooter/>
    <c:pageMargins b="0.7500000000000111" l="0.70000000000000062" r="0.70000000000000062" t="0.7500000000000111"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1"/>
  <c:style val="6"/>
  <c:chart>
    <c:title>
      <c:tx>
        <c:rich>
          <a:bodyPr/>
          <a:lstStyle/>
          <a:p>
            <a:pPr>
              <a:defRPr sz="1000">
                <a:latin typeface="+mj-lt"/>
                <a:cs typeface="Times New Roman" pitchFamily="18" charset="0"/>
              </a:defRPr>
            </a:pPr>
            <a:r>
              <a:rPr lang="en-US" sz="1000">
                <a:latin typeface="+mj-lt"/>
                <a:cs typeface="Times New Roman" pitchFamily="18" charset="0"/>
              </a:rPr>
              <a:t>Public Assistance Clients Served by State Fiscal Year</a:t>
            </a:r>
          </a:p>
        </c:rich>
      </c:tx>
      <c:layout>
        <c:manualLayout>
          <c:xMode val="edge"/>
          <c:yMode val="edge"/>
          <c:x val="0.15003927611673851"/>
          <c:y val="1.6872282108647857E-2"/>
        </c:manualLayout>
      </c:layout>
    </c:title>
    <c:plotArea>
      <c:layout>
        <c:manualLayout>
          <c:layoutTarget val="inner"/>
          <c:xMode val="edge"/>
          <c:yMode val="edge"/>
          <c:x val="0.16709876659212519"/>
          <c:y val="0.17384875181846374"/>
          <c:w val="0.75572761042101977"/>
          <c:h val="0.57219787209625261"/>
        </c:manualLayout>
      </c:layout>
      <c:lineChart>
        <c:grouping val="standard"/>
        <c:ser>
          <c:idx val="0"/>
          <c:order val="0"/>
          <c:tx>
            <c:strRef>
              <c:f>Profile!$D$76</c:f>
              <c:strCache>
                <c:ptCount val="1"/>
                <c:pt idx="0">
                  <c:v>SNAP</c:v>
                </c:pt>
              </c:strCache>
            </c:strRef>
          </c:tx>
          <c:marker>
            <c:symbol val="none"/>
          </c:marker>
          <c:cat>
            <c:strRef>
              <c:f>Profile!$B$78:$C$81</c:f>
              <c:strCache>
                <c:ptCount val="4"/>
                <c:pt idx="0">
                  <c:v>2009</c:v>
                </c:pt>
                <c:pt idx="1">
                  <c:v>2010</c:v>
                </c:pt>
                <c:pt idx="2">
                  <c:v>2011</c:v>
                </c:pt>
                <c:pt idx="3">
                  <c:v>2012</c:v>
                </c:pt>
              </c:strCache>
            </c:strRef>
          </c:cat>
          <c:val>
            <c:numRef>
              <c:f>Profile!$D$78:$D$81</c:f>
              <c:numCache>
                <c:formatCode>#,##0</c:formatCode>
                <c:ptCount val="4"/>
                <c:pt idx="0">
                  <c:v>46488</c:v>
                </c:pt>
                <c:pt idx="1">
                  <c:v>59949</c:v>
                </c:pt>
                <c:pt idx="2">
                  <c:v>70180</c:v>
                </c:pt>
                <c:pt idx="3">
                  <c:v>78793</c:v>
                </c:pt>
              </c:numCache>
            </c:numRef>
          </c:val>
        </c:ser>
        <c:ser>
          <c:idx val="1"/>
          <c:order val="1"/>
          <c:tx>
            <c:strRef>
              <c:f>Profile!$E$76</c:f>
              <c:strCache>
                <c:ptCount val="1"/>
                <c:pt idx="0">
                  <c:v>TANF</c:v>
                </c:pt>
              </c:strCache>
            </c:strRef>
          </c:tx>
          <c:spPr>
            <a:ln>
              <a:prstDash val="sysDash"/>
            </a:ln>
          </c:spPr>
          <c:marker>
            <c:symbol val="none"/>
          </c:marker>
          <c:cat>
            <c:strRef>
              <c:f>Profile!$B$78:$C$81</c:f>
              <c:strCache>
                <c:ptCount val="4"/>
                <c:pt idx="0">
                  <c:v>2009</c:v>
                </c:pt>
                <c:pt idx="1">
                  <c:v>2010</c:v>
                </c:pt>
                <c:pt idx="2">
                  <c:v>2011</c:v>
                </c:pt>
                <c:pt idx="3">
                  <c:v>2012</c:v>
                </c:pt>
              </c:strCache>
            </c:strRef>
          </c:cat>
          <c:val>
            <c:numRef>
              <c:f>Profile!$E$78:$E$81</c:f>
              <c:numCache>
                <c:formatCode>#,##0</c:formatCode>
                <c:ptCount val="4"/>
                <c:pt idx="0">
                  <c:v>7822</c:v>
                </c:pt>
                <c:pt idx="1">
                  <c:v>8890</c:v>
                </c:pt>
                <c:pt idx="2">
                  <c:v>9227</c:v>
                </c:pt>
                <c:pt idx="3">
                  <c:v>8654</c:v>
                </c:pt>
              </c:numCache>
            </c:numRef>
          </c:val>
        </c:ser>
        <c:ser>
          <c:idx val="2"/>
          <c:order val="2"/>
          <c:tx>
            <c:v>Medicaid</c:v>
          </c:tx>
          <c:marker>
            <c:symbol val="none"/>
          </c:marker>
          <c:cat>
            <c:strRef>
              <c:f>Profile!$B$78:$C$81</c:f>
              <c:strCache>
                <c:ptCount val="4"/>
                <c:pt idx="0">
                  <c:v>2009</c:v>
                </c:pt>
                <c:pt idx="1">
                  <c:v>2010</c:v>
                </c:pt>
                <c:pt idx="2">
                  <c:v>2011</c:v>
                </c:pt>
                <c:pt idx="3">
                  <c:v>2012</c:v>
                </c:pt>
              </c:strCache>
            </c:strRef>
          </c:cat>
          <c:val>
            <c:numRef>
              <c:f>Profile!$F$78:$F$81</c:f>
              <c:numCache>
                <c:formatCode>#,##0</c:formatCode>
                <c:ptCount val="4"/>
                <c:pt idx="0">
                  <c:v>66499</c:v>
                </c:pt>
                <c:pt idx="1">
                  <c:v>76482</c:v>
                </c:pt>
                <c:pt idx="2">
                  <c:v>82225</c:v>
                </c:pt>
                <c:pt idx="3">
                  <c:v>81349</c:v>
                </c:pt>
              </c:numCache>
            </c:numRef>
          </c:val>
        </c:ser>
        <c:marker val="1"/>
        <c:axId val="107351424"/>
        <c:axId val="107365504"/>
      </c:lineChart>
      <c:catAx>
        <c:axId val="107351424"/>
        <c:scaling>
          <c:orientation val="minMax"/>
        </c:scaling>
        <c:axPos val="b"/>
        <c:numFmt formatCode="General" sourceLinked="1"/>
        <c:tickLblPos val="nextTo"/>
        <c:txPr>
          <a:bodyPr rot="0" vert="horz"/>
          <a:lstStyle/>
          <a:p>
            <a:pPr>
              <a:defRPr/>
            </a:pPr>
            <a:endParaRPr lang="en-US"/>
          </a:p>
        </c:txPr>
        <c:crossAx val="107365504"/>
        <c:crosses val="autoZero"/>
        <c:auto val="1"/>
        <c:lblAlgn val="ctr"/>
        <c:lblOffset val="100"/>
      </c:catAx>
      <c:valAx>
        <c:axId val="107365504"/>
        <c:scaling>
          <c:orientation val="minMax"/>
        </c:scaling>
        <c:axPos val="l"/>
        <c:majorGridlines>
          <c:spPr>
            <a:ln>
              <a:solidFill>
                <a:schemeClr val="bg1"/>
              </a:solidFill>
            </a:ln>
          </c:spPr>
        </c:majorGridlines>
        <c:title>
          <c:tx>
            <c:rich>
              <a:bodyPr rot="-5400000" vert="horz"/>
              <a:lstStyle/>
              <a:p>
                <a:pPr>
                  <a:defRPr/>
                </a:pPr>
                <a:r>
                  <a:rPr lang="en-US"/>
                  <a:t>Number of  Clients</a:t>
                </a:r>
              </a:p>
            </c:rich>
          </c:tx>
          <c:layout>
            <c:manualLayout>
              <c:xMode val="edge"/>
              <c:yMode val="edge"/>
              <c:x val="9.5465393794749547E-3"/>
              <c:y val="0.23732574018653571"/>
            </c:manualLayout>
          </c:layout>
        </c:title>
        <c:numFmt formatCode="#,##0" sourceLinked="1"/>
        <c:tickLblPos val="nextTo"/>
        <c:txPr>
          <a:bodyPr rot="0" vert="horz"/>
          <a:lstStyle/>
          <a:p>
            <a:pPr>
              <a:defRPr/>
            </a:pPr>
            <a:endParaRPr lang="en-US"/>
          </a:p>
        </c:txPr>
        <c:crossAx val="107351424"/>
        <c:crosses val="autoZero"/>
        <c:crossBetween val="midCat"/>
      </c:valAx>
    </c:plotArea>
    <c:legend>
      <c:legendPos val="r"/>
      <c:layout>
        <c:manualLayout>
          <c:xMode val="edge"/>
          <c:yMode val="edge"/>
          <c:x val="6.4094112340969317E-2"/>
          <c:y val="0.82417952368500114"/>
          <c:w val="0.88259360181409297"/>
          <c:h val="9.5775149877483132E-2"/>
        </c:manualLayout>
      </c:layout>
    </c:legend>
    <c:plotVisOnly val="1"/>
    <c:dispBlanksAs val="gap"/>
  </c:chart>
  <c:spPr>
    <a:ln w="19050">
      <a:solidFill>
        <a:srgbClr val="8064A2">
          <a:lumMod val="75000"/>
        </a:srgbClr>
      </a:solidFill>
    </a:ln>
  </c:spPr>
  <c:printSettings>
    <c:headerFooter/>
    <c:pageMargins b="0.7500000000000111" l="0.25" r="0.25" t="0.7500000000000111" header="0.30000000000000032" footer="0.30000000000000032"/>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en-US"/>
  <c:roundedCorners val="1"/>
  <c:style val="7"/>
  <c:chart>
    <c:title>
      <c:tx>
        <c:rich>
          <a:bodyPr/>
          <a:lstStyle/>
          <a:p>
            <a:pPr>
              <a:defRPr sz="1000">
                <a:latin typeface="+mj-lt"/>
              </a:defRPr>
            </a:pPr>
            <a:r>
              <a:rPr lang="en-US" sz="1000">
                <a:latin typeface="+mj-lt"/>
              </a:rPr>
              <a:t>Percentage of People (All Ages) Living in Poverty, </a:t>
            </a:r>
          </a:p>
          <a:p>
            <a:pPr>
              <a:defRPr sz="1000">
                <a:latin typeface="+mj-lt"/>
              </a:defRPr>
            </a:pPr>
            <a:r>
              <a:rPr lang="en-US" sz="1000">
                <a:latin typeface="+mj-lt"/>
              </a:rPr>
              <a:t>2000-2011</a:t>
            </a:r>
          </a:p>
        </c:rich>
      </c:tx>
      <c:layout/>
    </c:title>
    <c:plotArea>
      <c:layout>
        <c:manualLayout>
          <c:layoutTarget val="inner"/>
          <c:xMode val="edge"/>
          <c:yMode val="edge"/>
          <c:x val="0.16524358779065995"/>
          <c:y val="0.15778460746196768"/>
          <c:w val="0.77272166515406848"/>
          <c:h val="0.56355367686023217"/>
        </c:manualLayout>
      </c:layout>
      <c:lineChart>
        <c:grouping val="standard"/>
        <c:ser>
          <c:idx val="0"/>
          <c:order val="0"/>
          <c:tx>
            <c:strRef>
              <c:f>Profile!$C$27</c:f>
              <c:strCache>
                <c:ptCount val="1"/>
                <c:pt idx="0">
                  <c:v>Fairfax Co./ Fairfax City/ Falls Church</c:v>
                </c:pt>
              </c:strCache>
            </c:strRef>
          </c:tx>
          <c:marker>
            <c:symbol val="none"/>
          </c:marker>
          <c:cat>
            <c:numRef>
              <c:f>Profile!$B$30:$B$41</c:f>
              <c:numCache>
                <c:formatCode>General</c:formatCod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numCache>
            </c:numRef>
          </c:cat>
          <c:val>
            <c:numRef>
              <c:f>Profile!$C$30:$C$41</c:f>
              <c:numCache>
                <c:formatCode>0.0%</c:formatCode>
                <c:ptCount val="12"/>
                <c:pt idx="0">
                  <c:v>4.0999999999999995E-2</c:v>
                </c:pt>
                <c:pt idx="1">
                  <c:v>4.3899999999999995E-2</c:v>
                </c:pt>
                <c:pt idx="2">
                  <c:v>0.05</c:v>
                </c:pt>
                <c:pt idx="3">
                  <c:v>5.7599999999999998E-2</c:v>
                </c:pt>
                <c:pt idx="4">
                  <c:v>5.2699999999999997E-2</c:v>
                </c:pt>
                <c:pt idx="5">
                  <c:v>5.0799999999999998E-2</c:v>
                </c:pt>
                <c:pt idx="6">
                  <c:v>5.1799999999999999E-2</c:v>
                </c:pt>
                <c:pt idx="7">
                  <c:v>4.8899999999999999E-2</c:v>
                </c:pt>
                <c:pt idx="8">
                  <c:v>4.8899999999999999E-2</c:v>
                </c:pt>
                <c:pt idx="9">
                  <c:v>5.5999999999999994E-2</c:v>
                </c:pt>
                <c:pt idx="10">
                  <c:v>5.8925506050903943E-2</c:v>
                </c:pt>
                <c:pt idx="11">
                  <c:v>6.7652399342249744E-2</c:v>
                </c:pt>
              </c:numCache>
            </c:numRef>
          </c:val>
        </c:ser>
        <c:ser>
          <c:idx val="1"/>
          <c:order val="1"/>
          <c:tx>
            <c:strRef>
              <c:f>Profile!$E$27</c:f>
              <c:strCache>
                <c:ptCount val="1"/>
                <c:pt idx="0">
                  <c:v>Northern</c:v>
                </c:pt>
              </c:strCache>
            </c:strRef>
          </c:tx>
          <c:spPr>
            <a:ln>
              <a:prstDash val="sysDot"/>
            </a:ln>
          </c:spPr>
          <c:marker>
            <c:symbol val="none"/>
          </c:marker>
          <c:cat>
            <c:numRef>
              <c:f>Profile!$B$30:$B$41</c:f>
              <c:numCache>
                <c:formatCode>General</c:formatCod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numCache>
            </c:numRef>
          </c:cat>
          <c:val>
            <c:numRef>
              <c:f>Profile!$E$30:$E$41</c:f>
              <c:numCache>
                <c:formatCode>0.0%</c:formatCode>
                <c:ptCount val="12"/>
                <c:pt idx="0">
                  <c:v>5.3819970982672265E-2</c:v>
                </c:pt>
                <c:pt idx="1">
                  <c:v>5.4187387148898883E-2</c:v>
                </c:pt>
                <c:pt idx="2">
                  <c:v>5.9488325891117154E-2</c:v>
                </c:pt>
                <c:pt idx="3">
                  <c:v>6.5356715447867419E-2</c:v>
                </c:pt>
                <c:pt idx="4">
                  <c:v>6.1376226711921139E-2</c:v>
                </c:pt>
                <c:pt idx="5">
                  <c:v>6.0904658056330392E-2</c:v>
                </c:pt>
                <c:pt idx="6">
                  <c:v>6.0991227226495109E-2</c:v>
                </c:pt>
                <c:pt idx="7">
                  <c:v>5.9939990840376267E-2</c:v>
                </c:pt>
                <c:pt idx="8">
                  <c:v>6.2179277100436824E-2</c:v>
                </c:pt>
                <c:pt idx="9">
                  <c:v>6.816119052357604E-2</c:v>
                </c:pt>
                <c:pt idx="10">
                  <c:v>7.2466232957629648E-2</c:v>
                </c:pt>
                <c:pt idx="11">
                  <c:v>7.6399225436204074E-2</c:v>
                </c:pt>
              </c:numCache>
            </c:numRef>
          </c:val>
        </c:ser>
        <c:ser>
          <c:idx val="2"/>
          <c:order val="2"/>
          <c:tx>
            <c:strRef>
              <c:f>Profile!$G$27</c:f>
              <c:strCache>
                <c:ptCount val="1"/>
                <c:pt idx="0">
                  <c:v>Statewide</c:v>
                </c:pt>
              </c:strCache>
            </c:strRef>
          </c:tx>
          <c:marker>
            <c:symbol val="none"/>
          </c:marker>
          <c:cat>
            <c:numRef>
              <c:f>Profile!$B$30:$B$41</c:f>
              <c:numCache>
                <c:formatCode>General</c:formatCod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numCache>
            </c:numRef>
          </c:cat>
          <c:val>
            <c:numRef>
              <c:f>Profile!$G$30:$G$41</c:f>
              <c:numCache>
                <c:formatCode>0.0%</c:formatCode>
                <c:ptCount val="12"/>
                <c:pt idx="0">
                  <c:v>8.8499999999999995E-2</c:v>
                </c:pt>
                <c:pt idx="1">
                  <c:v>8.77E-2</c:v>
                </c:pt>
                <c:pt idx="2">
                  <c:v>9.5899999999999999E-2</c:v>
                </c:pt>
                <c:pt idx="3">
                  <c:v>9.9399999999999988E-2</c:v>
                </c:pt>
                <c:pt idx="4">
                  <c:v>9.5199999999999993E-2</c:v>
                </c:pt>
                <c:pt idx="5">
                  <c:v>9.9600000000000008E-2</c:v>
                </c:pt>
                <c:pt idx="6">
                  <c:v>9.6199999999999994E-2</c:v>
                </c:pt>
                <c:pt idx="7">
                  <c:v>9.9000000000000005E-2</c:v>
                </c:pt>
                <c:pt idx="8">
                  <c:v>0.10210000000000001</c:v>
                </c:pt>
                <c:pt idx="9">
                  <c:v>0.1057</c:v>
                </c:pt>
                <c:pt idx="10">
                  <c:v>0.11118840014389482</c:v>
                </c:pt>
                <c:pt idx="11">
                  <c:v>0.11600000000000001</c:v>
                </c:pt>
              </c:numCache>
            </c:numRef>
          </c:val>
        </c:ser>
        <c:marker val="1"/>
        <c:axId val="107387520"/>
        <c:axId val="107405696"/>
      </c:lineChart>
      <c:catAx>
        <c:axId val="107387520"/>
        <c:scaling>
          <c:orientation val="minMax"/>
        </c:scaling>
        <c:axPos val="b"/>
        <c:numFmt formatCode="General" sourceLinked="1"/>
        <c:tickLblPos val="nextTo"/>
        <c:txPr>
          <a:bodyPr rot="-1200000" vert="horz"/>
          <a:lstStyle/>
          <a:p>
            <a:pPr>
              <a:defRPr/>
            </a:pPr>
            <a:endParaRPr lang="en-US"/>
          </a:p>
        </c:txPr>
        <c:crossAx val="107405696"/>
        <c:crosses val="autoZero"/>
        <c:auto val="1"/>
        <c:lblAlgn val="ctr"/>
        <c:lblOffset val="100"/>
        <c:tickLblSkip val="1"/>
      </c:catAx>
      <c:valAx>
        <c:axId val="107405696"/>
        <c:scaling>
          <c:orientation val="minMax"/>
        </c:scaling>
        <c:axPos val="l"/>
        <c:title>
          <c:tx>
            <c:rich>
              <a:bodyPr/>
              <a:lstStyle/>
              <a:p>
                <a:pPr>
                  <a:defRPr/>
                </a:pPr>
                <a:r>
                  <a:rPr lang="en-US"/>
                  <a:t>Percentage (%)</a:t>
                </a:r>
              </a:p>
            </c:rich>
          </c:tx>
          <c:layout/>
        </c:title>
        <c:numFmt formatCode="0%" sourceLinked="0"/>
        <c:tickLblPos val="nextTo"/>
        <c:txPr>
          <a:bodyPr rot="0" vert="horz"/>
          <a:lstStyle/>
          <a:p>
            <a:pPr>
              <a:defRPr/>
            </a:pPr>
            <a:endParaRPr lang="en-US"/>
          </a:p>
        </c:txPr>
        <c:crossAx val="107387520"/>
        <c:crosses val="autoZero"/>
        <c:crossBetween val="midCat"/>
      </c:valAx>
    </c:plotArea>
    <c:legend>
      <c:legendPos val="r"/>
      <c:layout>
        <c:manualLayout>
          <c:xMode val="edge"/>
          <c:yMode val="edge"/>
          <c:x val="1.0978558074672229E-3"/>
          <c:y val="0.82457429663397408"/>
          <c:w val="0.9989021441925322"/>
          <c:h val="0.10189621034212826"/>
        </c:manualLayout>
      </c:layout>
    </c:legend>
    <c:plotVisOnly val="1"/>
    <c:dispBlanksAs val="gap"/>
  </c:chart>
  <c:spPr>
    <a:ln w="15875">
      <a:solidFill>
        <a:schemeClr val="accent5">
          <a:lumMod val="75000"/>
        </a:schemeClr>
      </a:solidFill>
    </a:ln>
  </c:spPr>
  <c:printSettings>
    <c:headerFooter/>
    <c:pageMargins b="0.5" l="0.45" r="0.45" t="0.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lang val="en-US"/>
  <c:roundedCorners val="1"/>
  <c:style val="5"/>
  <c:chart>
    <c:title>
      <c:tx>
        <c:rich>
          <a:bodyPr/>
          <a:lstStyle/>
          <a:p>
            <a:pPr>
              <a:defRPr sz="1000"/>
            </a:pPr>
            <a:r>
              <a:rPr lang="en-US" sz="1000"/>
              <a:t>Social Services Spending in Locality by Funding Source, SFY 2012</a:t>
            </a:r>
          </a:p>
        </c:rich>
      </c:tx>
    </c:title>
    <c:plotArea>
      <c:layout>
        <c:manualLayout>
          <c:layoutTarget val="inner"/>
          <c:xMode val="edge"/>
          <c:yMode val="edge"/>
          <c:x val="0.14091903745227721"/>
          <c:y val="0.32544150163048347"/>
          <c:w val="0.26573400887443044"/>
          <c:h val="0.58461465044142202"/>
        </c:manualLayout>
      </c:layout>
      <c:pieChart>
        <c:varyColors val="1"/>
        <c:ser>
          <c:idx val="0"/>
          <c:order val="0"/>
          <c:tx>
            <c:v>Pct of Total SS Spending by Source</c:v>
          </c:tx>
          <c:dLbls>
            <c:dLblPos val="outEnd"/>
            <c:showVal val="1"/>
            <c:showLeaderLines val="1"/>
          </c:dLbls>
          <c:cat>
            <c:strRef>
              <c:f>Profile!$J$96:$L$96</c:f>
              <c:strCache>
                <c:ptCount val="3"/>
                <c:pt idx="0">
                  <c:v>Federal</c:v>
                </c:pt>
                <c:pt idx="1">
                  <c:v>State</c:v>
                </c:pt>
                <c:pt idx="2">
                  <c:v>Local</c:v>
                </c:pt>
              </c:strCache>
            </c:strRef>
          </c:cat>
          <c:val>
            <c:numRef>
              <c:f>Profile!$J$116:$L$116</c:f>
              <c:numCache>
                <c:formatCode>0%</c:formatCode>
                <c:ptCount val="3"/>
                <c:pt idx="0">
                  <c:v>0.50182018938264028</c:v>
                </c:pt>
                <c:pt idx="1">
                  <c:v>0.38539363404219051</c:v>
                </c:pt>
                <c:pt idx="2">
                  <c:v>0.11278617657516925</c:v>
                </c:pt>
              </c:numCache>
            </c:numRef>
          </c:val>
        </c:ser>
        <c:dLbls>
          <c:showVal val="1"/>
        </c:dLbls>
        <c:firstSliceAng val="0"/>
      </c:pieChart>
      <c:spPr>
        <a:noFill/>
        <a:ln w="25400">
          <a:noFill/>
        </a:ln>
      </c:spPr>
    </c:plotArea>
    <c:legend>
      <c:legendPos val="r"/>
      <c:layout>
        <c:manualLayout>
          <c:xMode val="edge"/>
          <c:yMode val="edge"/>
          <c:x val="0.5934176316195775"/>
          <c:y val="0.30468351677034866"/>
          <c:w val="0.25619793114096034"/>
          <c:h val="0.41221850031177065"/>
        </c:manualLayout>
      </c:layout>
    </c:legend>
    <c:plotVisOnly val="1"/>
    <c:dispBlanksAs val="zero"/>
  </c:chart>
  <c:spPr>
    <a:ln w="25400">
      <a:solidFill>
        <a:schemeClr val="accent3">
          <a:lumMod val="75000"/>
        </a:schemeClr>
      </a:solidFill>
    </a:ln>
  </c:spPr>
  <c:printSettings>
    <c:headerFooter/>
    <c:pageMargins b="0.75000000000000844" l="0.70000000000000062" r="0.70000000000000062" t="0.75000000000000844"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roundedCorners val="1"/>
  <c:style val="5"/>
  <c:chart>
    <c:title>
      <c:tx>
        <c:rich>
          <a:bodyPr/>
          <a:lstStyle/>
          <a:p>
            <a:pPr>
              <a:defRPr sz="1000"/>
            </a:pPr>
            <a:r>
              <a:rPr lang="en-US" sz="1000"/>
              <a:t>Administrative Costs as a Percent of Total Spending in Locality, SFY 2012</a:t>
            </a:r>
          </a:p>
        </c:rich>
      </c:tx>
    </c:title>
    <c:plotArea>
      <c:layout>
        <c:manualLayout>
          <c:layoutTarget val="inner"/>
          <c:xMode val="edge"/>
          <c:yMode val="edge"/>
          <c:x val="0.12497022589480858"/>
          <c:y val="0.32247143308794307"/>
          <c:w val="0.27403319737387438"/>
          <c:h val="0.56743597850142269"/>
        </c:manualLayout>
      </c:layout>
      <c:pieChart>
        <c:varyColors val="1"/>
        <c:ser>
          <c:idx val="0"/>
          <c:order val="0"/>
          <c:tx>
            <c:v>Pct of Total SS Spending in Locality: Administration vs. Benefits</c:v>
          </c:tx>
          <c:spPr>
            <a:solidFill>
              <a:schemeClr val="accent3">
                <a:lumMod val="75000"/>
              </a:schemeClr>
            </a:solidFill>
          </c:spPr>
          <c:dPt>
            <c:idx val="0"/>
            <c:spPr>
              <a:solidFill>
                <a:schemeClr val="accent3">
                  <a:lumMod val="60000"/>
                  <a:lumOff val="40000"/>
                </a:schemeClr>
              </a:solidFill>
            </c:spPr>
          </c:dPt>
          <c:dLbls>
            <c:dLbl>
              <c:idx val="0"/>
              <c:layout>
                <c:manualLayout>
                  <c:x val="-5.7803485747421425E-2"/>
                  <c:y val="-1.6064257028112521E-2"/>
                </c:manualLayout>
              </c:layout>
              <c:spPr/>
              <c:txPr>
                <a:bodyPr/>
                <a:lstStyle/>
                <a:p>
                  <a:pPr>
                    <a:defRPr/>
                  </a:pPr>
                  <a:endParaRPr lang="en-US"/>
                </a:p>
              </c:txPr>
              <c:dLblPos val="bestFit"/>
              <c:showVal val="1"/>
            </c:dLbl>
            <c:dLbl>
              <c:idx val="1"/>
              <c:layout>
                <c:manualLayout>
                  <c:x val="1.5414262865978738E-2"/>
                  <c:y val="0"/>
                </c:manualLayout>
              </c:layout>
              <c:spPr/>
              <c:txPr>
                <a:bodyPr/>
                <a:lstStyle/>
                <a:p>
                  <a:pPr>
                    <a:defRPr/>
                  </a:pPr>
                  <a:endParaRPr lang="en-US"/>
                </a:p>
              </c:txPr>
              <c:dLblPos val="bestFit"/>
              <c:showVal val="1"/>
            </c:dLbl>
            <c:dLblPos val="outEnd"/>
            <c:showVal val="1"/>
            <c:showLeaderLines val="1"/>
          </c:dLbls>
          <c:cat>
            <c:strRef>
              <c:f>Profile!$V$104:$W$104</c:f>
              <c:strCache>
                <c:ptCount val="2"/>
                <c:pt idx="0">
                  <c:v>Administration</c:v>
                </c:pt>
                <c:pt idx="1">
                  <c:v>Benefits &amp; Services*</c:v>
                </c:pt>
              </c:strCache>
            </c:strRef>
          </c:cat>
          <c:val>
            <c:numRef>
              <c:f>Profile!$V$108:$W$108</c:f>
              <c:numCache>
                <c:formatCode>0%</c:formatCode>
                <c:ptCount val="2"/>
                <c:pt idx="0">
                  <c:v>0.10431691513534767</c:v>
                </c:pt>
                <c:pt idx="1">
                  <c:v>0.89568308486465231</c:v>
                </c:pt>
              </c:numCache>
            </c:numRef>
          </c:val>
        </c:ser>
        <c:dLbls>
          <c:showVal val="1"/>
        </c:dLbls>
        <c:firstSliceAng val="0"/>
      </c:pieChart>
      <c:spPr>
        <a:noFill/>
        <a:ln w="25400">
          <a:noFill/>
        </a:ln>
      </c:spPr>
    </c:plotArea>
    <c:legend>
      <c:legendPos val="r"/>
      <c:layout>
        <c:manualLayout>
          <c:xMode val="edge"/>
          <c:yMode val="edge"/>
          <c:x val="0.56095103947783664"/>
          <c:y val="0.31320879007771113"/>
          <c:w val="0.394429845829389"/>
          <c:h val="0.30084607071174951"/>
        </c:manualLayout>
      </c:layout>
    </c:legend>
    <c:plotVisOnly val="1"/>
    <c:dispBlanksAs val="zero"/>
  </c:chart>
  <c:spPr>
    <a:ln w="25400">
      <a:solidFill>
        <a:schemeClr val="accent3">
          <a:lumMod val="75000"/>
        </a:schemeClr>
      </a:solidFill>
    </a:ln>
  </c:spPr>
  <c:printSettings>
    <c:headerFooter/>
    <c:pageMargins b="0.75000000000000866" l="0.70000000000000062" r="0.70000000000000062" t="0.75000000000000866"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image" Target="http://dssdw.vita.virginia.gov:80/crn/common/images/filter.gif" TargetMode="External"/></Relationships>
</file>

<file path=xl/drawings/drawing1.xml><?xml version="1.0" encoding="utf-8"?>
<xdr:wsDr xmlns:xdr="http://schemas.openxmlformats.org/drawingml/2006/spreadsheetDrawing" xmlns:a="http://schemas.openxmlformats.org/drawingml/2006/main">
  <xdr:twoCellAnchor>
    <xdr:from>
      <xdr:col>6</xdr:col>
      <xdr:colOff>257175</xdr:colOff>
      <xdr:row>42</xdr:row>
      <xdr:rowOff>9525</xdr:rowOff>
    </xdr:from>
    <xdr:to>
      <xdr:col>13</xdr:col>
      <xdr:colOff>666750</xdr:colOff>
      <xdr:row>58</xdr:row>
      <xdr:rowOff>104775</xdr:rowOff>
    </xdr:to>
    <xdr:graphicFrame macro="">
      <xdr:nvGraphicFramePr>
        <xdr:cNvPr id="92979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123825</xdr:colOff>
      <xdr:row>74</xdr:row>
      <xdr:rowOff>76200</xdr:rowOff>
    </xdr:from>
    <xdr:to>
      <xdr:col>13</xdr:col>
      <xdr:colOff>638175</xdr:colOff>
      <xdr:row>89</xdr:row>
      <xdr:rowOff>95250</xdr:rowOff>
    </xdr:to>
    <xdr:graphicFrame macro="">
      <xdr:nvGraphicFramePr>
        <xdr:cNvPr id="92979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47625</xdr:colOff>
      <xdr:row>25</xdr:row>
      <xdr:rowOff>28575</xdr:rowOff>
    </xdr:from>
    <xdr:to>
      <xdr:col>13</xdr:col>
      <xdr:colOff>676275</xdr:colOff>
      <xdr:row>41</xdr:row>
      <xdr:rowOff>9525</xdr:rowOff>
    </xdr:to>
    <xdr:graphicFrame macro="">
      <xdr:nvGraphicFramePr>
        <xdr:cNvPr id="92979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19050</xdr:colOff>
      <xdr:row>95</xdr:row>
      <xdr:rowOff>76200</xdr:rowOff>
    </xdr:from>
    <xdr:to>
      <xdr:col>5</xdr:col>
      <xdr:colOff>476250</xdr:colOff>
      <xdr:row>105</xdr:row>
      <xdr:rowOff>85725</xdr:rowOff>
    </xdr:to>
    <xdr:graphicFrame macro="">
      <xdr:nvGraphicFramePr>
        <xdr:cNvPr id="92979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28575</xdr:colOff>
      <xdr:row>105</xdr:row>
      <xdr:rowOff>123825</xdr:rowOff>
    </xdr:from>
    <xdr:to>
      <xdr:col>5</xdr:col>
      <xdr:colOff>495300</xdr:colOff>
      <xdr:row>117</xdr:row>
      <xdr:rowOff>9525</xdr:rowOff>
    </xdr:to>
    <xdr:graphicFrame macro="">
      <xdr:nvGraphicFramePr>
        <xdr:cNvPr id="929797"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19050</xdr:colOff>
      <xdr:row>11</xdr:row>
      <xdr:rowOff>19050</xdr:rowOff>
    </xdr:from>
    <xdr:to>
      <xdr:col>9</xdr:col>
      <xdr:colOff>0</xdr:colOff>
      <xdr:row>13</xdr:row>
      <xdr:rowOff>152400</xdr:rowOff>
    </xdr:to>
    <xdr:sp macro="" textlink="">
      <xdr:nvSpPr>
        <xdr:cNvPr id="24" name="Rounded Rectangle 23"/>
        <xdr:cNvSpPr/>
      </xdr:nvSpPr>
      <xdr:spPr>
        <a:xfrm>
          <a:off x="4933950" y="1762125"/>
          <a:ext cx="666750" cy="476250"/>
        </a:xfrm>
        <a:prstGeom prst="roundRect">
          <a:avLst/>
        </a:prstGeom>
        <a:no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endParaRPr lang="en-US"/>
        </a:p>
      </xdr:txBody>
    </xdr:sp>
    <xdr:clientData/>
  </xdr:twoCellAnchor>
  <xdr:twoCellAnchor>
    <xdr:from>
      <xdr:col>8</xdr:col>
      <xdr:colOff>28575</xdr:colOff>
      <xdr:row>17</xdr:row>
      <xdr:rowOff>19050</xdr:rowOff>
    </xdr:from>
    <xdr:to>
      <xdr:col>8</xdr:col>
      <xdr:colOff>809625</xdr:colOff>
      <xdr:row>19</xdr:row>
      <xdr:rowOff>152400</xdr:rowOff>
    </xdr:to>
    <xdr:sp macro="" textlink="">
      <xdr:nvSpPr>
        <xdr:cNvPr id="29" name="Rounded Rectangle 28"/>
        <xdr:cNvSpPr/>
      </xdr:nvSpPr>
      <xdr:spPr>
        <a:xfrm>
          <a:off x="4943475" y="2790825"/>
          <a:ext cx="781050" cy="476250"/>
        </a:xfrm>
        <a:prstGeom prst="roundRect">
          <a:avLst/>
        </a:prstGeom>
        <a:no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endParaRPr lang="en-US"/>
        </a:p>
      </xdr:txBody>
    </xdr:sp>
    <xdr:clientData/>
  </xdr:twoCellAnchor>
  <xdr:twoCellAnchor>
    <xdr:from>
      <xdr:col>8</xdr:col>
      <xdr:colOff>19050</xdr:colOff>
      <xdr:row>14</xdr:row>
      <xdr:rowOff>19050</xdr:rowOff>
    </xdr:from>
    <xdr:to>
      <xdr:col>8</xdr:col>
      <xdr:colOff>828675</xdr:colOff>
      <xdr:row>16</xdr:row>
      <xdr:rowOff>152400</xdr:rowOff>
    </xdr:to>
    <xdr:sp macro="" textlink="">
      <xdr:nvSpPr>
        <xdr:cNvPr id="31" name="Rounded Rectangle 30"/>
        <xdr:cNvSpPr/>
      </xdr:nvSpPr>
      <xdr:spPr>
        <a:xfrm>
          <a:off x="4933950" y="2276475"/>
          <a:ext cx="809625" cy="476250"/>
        </a:xfrm>
        <a:prstGeom prst="roundRect">
          <a:avLst/>
        </a:prstGeom>
        <a:no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endParaRPr lang="en-US"/>
        </a:p>
      </xdr:txBody>
    </xdr:sp>
    <xdr:clientData/>
  </xdr:twoCellAnchor>
  <xdr:twoCellAnchor>
    <xdr:from>
      <xdr:col>8</xdr:col>
      <xdr:colOff>47625</xdr:colOff>
      <xdr:row>20</xdr:row>
      <xdr:rowOff>19050</xdr:rowOff>
    </xdr:from>
    <xdr:to>
      <xdr:col>8</xdr:col>
      <xdr:colOff>790575</xdr:colOff>
      <xdr:row>22</xdr:row>
      <xdr:rowOff>152400</xdr:rowOff>
    </xdr:to>
    <xdr:sp macro="" textlink="">
      <xdr:nvSpPr>
        <xdr:cNvPr id="32" name="Rounded Rectangle 31"/>
        <xdr:cNvSpPr/>
      </xdr:nvSpPr>
      <xdr:spPr>
        <a:xfrm>
          <a:off x="4962525" y="3305175"/>
          <a:ext cx="742950" cy="476250"/>
        </a:xfrm>
        <a:prstGeom prst="roundRect">
          <a:avLst/>
        </a:prstGeom>
        <a:no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endParaRPr lang="en-US"/>
        </a:p>
      </xdr:txBody>
    </xdr:sp>
    <xdr:clientData/>
  </xdr:twoCellAnchor>
  <xdr:twoCellAnchor>
    <xdr:from>
      <xdr:col>1</xdr:col>
      <xdr:colOff>19050</xdr:colOff>
      <xdr:row>118</xdr:row>
      <xdr:rowOff>28575</xdr:rowOff>
    </xdr:from>
    <xdr:to>
      <xdr:col>3</xdr:col>
      <xdr:colOff>666750</xdr:colOff>
      <xdr:row>121</xdr:row>
      <xdr:rowOff>152400</xdr:rowOff>
    </xdr:to>
    <xdr:sp macro="" textlink="$M$115">
      <xdr:nvSpPr>
        <xdr:cNvPr id="11" name="Rounded Rectangle 10"/>
        <xdr:cNvSpPr/>
      </xdr:nvSpPr>
      <xdr:spPr>
        <a:xfrm>
          <a:off x="95250" y="22174200"/>
          <a:ext cx="2057400" cy="638175"/>
        </a:xfrm>
        <a:prstGeom prst="roundRect">
          <a:avLst/>
        </a:prstGeom>
        <a:effectLst>
          <a:softEdge rad="63500"/>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fld id="{EE5172FD-3B9B-496B-9F3B-4319A4459FE9}" type="TxLink">
            <a:rPr lang="en-US" sz="1600" b="1" i="0" u="none" strike="noStrike">
              <a:solidFill>
                <a:srgbClr val="FF0000"/>
              </a:solidFill>
              <a:latin typeface="Cambriaew Roman"/>
            </a:rPr>
            <a:pPr algn="ctr"/>
            <a:t>$626,732,228</a:t>
          </a:fld>
          <a:endParaRPr lang="en-US" sz="1600" b="1"/>
        </a:p>
      </xdr:txBody>
    </xdr:sp>
    <xdr:clientData/>
  </xdr:twoCellAnchor>
  <xdr:twoCellAnchor>
    <xdr:from>
      <xdr:col>5</xdr:col>
      <xdr:colOff>666750</xdr:colOff>
      <xdr:row>118</xdr:row>
      <xdr:rowOff>38100</xdr:rowOff>
    </xdr:from>
    <xdr:to>
      <xdr:col>8</xdr:col>
      <xdr:colOff>666750</xdr:colOff>
      <xdr:row>121</xdr:row>
      <xdr:rowOff>161925</xdr:rowOff>
    </xdr:to>
    <xdr:sp macro="" textlink="$L$115">
      <xdr:nvSpPr>
        <xdr:cNvPr id="37" name="Rounded Rectangle 36"/>
        <xdr:cNvSpPr/>
      </xdr:nvSpPr>
      <xdr:spPr>
        <a:xfrm>
          <a:off x="3524250" y="22183725"/>
          <a:ext cx="2057400" cy="638175"/>
        </a:xfrm>
        <a:prstGeom prst="roundRect">
          <a:avLst/>
        </a:prstGeom>
        <a:effectLst>
          <a:softEdge rad="63500"/>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fld id="{B83824AD-BA45-4A3F-B045-1F7C424CB5BA}" type="TxLink">
            <a:rPr lang="en-US" sz="1600" b="1" i="0" u="none" strike="noStrike">
              <a:solidFill>
                <a:srgbClr val="000000"/>
              </a:solidFill>
              <a:latin typeface="Cambriaew Roman"/>
            </a:rPr>
            <a:pPr algn="ctr"/>
            <a:t>$70,686,732</a:t>
          </a:fld>
          <a:endParaRPr lang="en-US" sz="1600" b="1"/>
        </a:p>
      </xdr:txBody>
    </xdr:sp>
    <xdr:clientData/>
  </xdr:twoCellAnchor>
</xdr:wsDr>
</file>

<file path=xl/drawings/drawing2.xml><?xml version="1.0" encoding="utf-8"?>
<c:userShapes xmlns:c="http://schemas.openxmlformats.org/drawingml/2006/chart">
  <cdr:relSizeAnchor xmlns:cdr="http://schemas.openxmlformats.org/drawingml/2006/chartDrawing">
    <cdr:from>
      <cdr:x>0.0361</cdr:x>
      <cdr:y>0.88889</cdr:y>
    </cdr:from>
    <cdr:to>
      <cdr:x>0.98996</cdr:x>
      <cdr:y>0.97956</cdr:y>
    </cdr:to>
    <cdr:sp macro="" textlink="">
      <cdr:nvSpPr>
        <cdr:cNvPr id="3" name="TextBox 2"/>
        <cdr:cNvSpPr txBox="1"/>
      </cdr:nvSpPr>
      <cdr:spPr>
        <a:xfrm xmlns:a="http://schemas.openxmlformats.org/drawingml/2006/main">
          <a:off x="171239" y="2133600"/>
          <a:ext cx="4524586" cy="217646"/>
        </a:xfrm>
        <a:prstGeom xmlns:a="http://schemas.openxmlformats.org/drawingml/2006/main" prst="rect">
          <a:avLst/>
        </a:prstGeom>
      </cdr:spPr>
      <cdr:txBody>
        <a:bodyPr xmlns:a="http://schemas.openxmlformats.org/drawingml/2006/main" vertOverflow="clip" horzOverflow="clip" wrap="square" lIns="0" tIns="0" rIns="0" bIns="0" rtlCol="0" anchor="t" anchorCtr="0"/>
        <a:lstStyle xmlns:a="http://schemas.openxmlformats.org/drawingml/2006/main"/>
        <a:p xmlns:a="http://schemas.openxmlformats.org/drawingml/2006/main">
          <a:r>
            <a:rPr lang="en-US" sz="800">
              <a:latin typeface="+mj-lt"/>
              <a:cs typeface="Arial" pitchFamily="34" charset="0"/>
            </a:rPr>
            <a:t>Source: Virginia Employment Commission. Rates are not seasonally</a:t>
          </a:r>
          <a:r>
            <a:rPr lang="en-US" sz="800" baseline="0">
              <a:latin typeface="+mj-lt"/>
              <a:cs typeface="Arial" pitchFamily="34" charset="0"/>
            </a:rPr>
            <a:t> adjusted. </a:t>
          </a:r>
        </a:p>
        <a:p xmlns:a="http://schemas.openxmlformats.org/drawingml/2006/main">
          <a:r>
            <a:rPr lang="en-US" sz="800" baseline="0">
              <a:latin typeface="+mj-lt"/>
              <a:cs typeface="Arial" pitchFamily="34" charset="0"/>
            </a:rPr>
            <a:t>* 2012 rates are based on an 11-month average (through November).	</a:t>
          </a:r>
          <a:endParaRPr lang="en-US" sz="800">
            <a:latin typeface="+mj-lt"/>
            <a:cs typeface="Arial"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0.00829</cdr:x>
      <cdr:y>0.91475</cdr:y>
    </cdr:from>
    <cdr:to>
      <cdr:x>0.96659</cdr:x>
      <cdr:y>1</cdr:y>
    </cdr:to>
    <cdr:sp macro="" textlink="">
      <cdr:nvSpPr>
        <cdr:cNvPr id="2" name="TextBox 1"/>
        <cdr:cNvSpPr txBox="1"/>
      </cdr:nvSpPr>
      <cdr:spPr>
        <a:xfrm xmlns:a="http://schemas.openxmlformats.org/drawingml/2006/main">
          <a:off x="33085" y="2657474"/>
          <a:ext cx="3824540"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700">
              <a:latin typeface="Arial" pitchFamily="34" charset="0"/>
              <a:cs typeface="Arial" pitchFamily="34" charset="0"/>
            </a:rPr>
            <a:t>Source: VDSS, Data Warehouse, ADAPT &amp; MMIS SFY Client Analysis</a:t>
          </a:r>
          <a:r>
            <a:rPr lang="en-US" sz="700" baseline="0">
              <a:latin typeface="Arial" pitchFamily="34" charset="0"/>
              <a:cs typeface="Arial" pitchFamily="34" charset="0"/>
            </a:rPr>
            <a:t>. Unique counts reported.</a:t>
          </a:r>
          <a:endParaRPr lang="en-US" sz="700">
            <a:latin typeface="Arial" pitchFamily="34" charset="0"/>
            <a:cs typeface="Arial" pitchFamily="34" charset="0"/>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0.06118</cdr:x>
      <cdr:y>0.88686</cdr:y>
    </cdr:from>
    <cdr:to>
      <cdr:x>0.99335</cdr:x>
      <cdr:y>1</cdr:y>
    </cdr:to>
    <cdr:sp macro="" textlink="">
      <cdr:nvSpPr>
        <cdr:cNvPr id="2" name="TextBox 1"/>
        <cdr:cNvSpPr txBox="1"/>
      </cdr:nvSpPr>
      <cdr:spPr>
        <a:xfrm xmlns:a="http://schemas.openxmlformats.org/drawingml/2006/main">
          <a:off x="262816" y="2314575"/>
          <a:ext cx="4004385" cy="29527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0.03107</cdr:x>
      <cdr:y>0.93073</cdr:y>
    </cdr:from>
    <cdr:to>
      <cdr:x>0.94664</cdr:x>
      <cdr:y>0.99584</cdr:y>
    </cdr:to>
    <cdr:sp macro="" textlink="">
      <cdr:nvSpPr>
        <cdr:cNvPr id="3" name="TextBox 2"/>
        <cdr:cNvSpPr txBox="1"/>
      </cdr:nvSpPr>
      <cdr:spPr>
        <a:xfrm xmlns:a="http://schemas.openxmlformats.org/drawingml/2006/main">
          <a:off x="126091" y="2411324"/>
          <a:ext cx="3715062" cy="168687"/>
        </a:xfrm>
        <a:prstGeom xmlns:a="http://schemas.openxmlformats.org/drawingml/2006/main" prst="rect">
          <a:avLst/>
        </a:prstGeom>
      </cdr:spPr>
      <cdr:txBody>
        <a:bodyPr xmlns:a="http://schemas.openxmlformats.org/drawingml/2006/main" vertOverflow="clip" wrap="none" lIns="0" tIns="0" rIns="0" bIns="0" rtlCol="0"/>
        <a:lstStyle xmlns:a="http://schemas.openxmlformats.org/drawingml/2006/main"/>
        <a:p xmlns:a="http://schemas.openxmlformats.org/drawingml/2006/main">
          <a:r>
            <a:rPr lang="en-US" sz="700">
              <a:latin typeface="Arial" pitchFamily="34" charset="0"/>
              <a:cs typeface="Arial" pitchFamily="34" charset="0"/>
            </a:rPr>
            <a:t>Source:</a:t>
          </a:r>
          <a:r>
            <a:rPr lang="en-US" sz="700" baseline="0">
              <a:latin typeface="Arial" pitchFamily="34" charset="0"/>
              <a:cs typeface="Arial" pitchFamily="34" charset="0"/>
            </a:rPr>
            <a:t> U.S. Census Bureau, Small Area Income and </a:t>
          </a:r>
          <a:r>
            <a:rPr lang="en-US" sz="700" baseline="0">
              <a:latin typeface="+mj-lt"/>
              <a:cs typeface="Arial" pitchFamily="34" charset="0"/>
            </a:rPr>
            <a:t>Poverty</a:t>
          </a:r>
          <a:r>
            <a:rPr lang="en-US" sz="700" baseline="0">
              <a:latin typeface="Arial" pitchFamily="34" charset="0"/>
              <a:cs typeface="Arial" pitchFamily="34" charset="0"/>
            </a:rPr>
            <a:t> Estimates (SAIPE).</a:t>
          </a:r>
          <a:endParaRPr lang="en-US" sz="700">
            <a:latin typeface="Arial" pitchFamily="34" charset="0"/>
            <a:cs typeface="Arial" pitchFamily="34" charset="0"/>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0.39296</cdr:x>
      <cdr:y>0.72059</cdr:y>
    </cdr:from>
    <cdr:to>
      <cdr:x>0.97712</cdr:x>
      <cdr:y>0.91976</cdr:y>
    </cdr:to>
    <cdr:sp macro="" textlink="">
      <cdr:nvSpPr>
        <cdr:cNvPr id="2" name="TextBox 8"/>
        <cdr:cNvSpPr txBox="1"/>
      </cdr:nvSpPr>
      <cdr:spPr>
        <a:xfrm xmlns:a="http://schemas.openxmlformats.org/drawingml/2006/main">
          <a:off x="1276350" y="1400178"/>
          <a:ext cx="1897361" cy="387008"/>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a:t>Source: LASER, annual financial</a:t>
          </a:r>
          <a:r>
            <a:rPr lang="en-US" sz="800" baseline="0"/>
            <a:t> reports.</a:t>
          </a:r>
        </a:p>
        <a:p xmlns:a="http://schemas.openxmlformats.org/drawingml/2006/main">
          <a:r>
            <a:rPr lang="en-US" sz="800" baseline="0"/>
            <a:t>* Includes services purchased for clients.	</a:t>
          </a:r>
          <a:endParaRPr lang="en-US" sz="800"/>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152400</xdr:colOff>
      <xdr:row>0</xdr:row>
      <xdr:rowOff>152400</xdr:rowOff>
    </xdr:to>
    <xdr:pic>
      <xdr:nvPicPr>
        <xdr:cNvPr id="966657" name="Picture 1" descr="http://dssdw.vita.virginia.gov:80/crn/common/images/filter.gif"/>
        <xdr:cNvPicPr>
          <a:picLocks noChangeAspect="1" noChangeArrowheads="1"/>
        </xdr:cNvPicPr>
      </xdr:nvPicPr>
      <xdr:blipFill>
        <a:blip xmlns:r="http://schemas.openxmlformats.org/officeDocument/2006/relationships" r:link="rId1" cstate="print"/>
        <a:srcRect/>
        <a:stretch>
          <a:fillRect/>
        </a:stretch>
      </xdr:blipFill>
      <xdr:spPr bwMode="auto">
        <a:xfrm>
          <a:off x="342900" y="0"/>
          <a:ext cx="152400" cy="1524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trategy_Management/Local%20Departments,%20Data/Profiles/Profile%20Report%202012/2012%20Local%20DSS%20Agency%20Profile%20Report%202012_05_2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rofile"/>
      <sheetName val="Agency Level"/>
      <sheetName val="HR Policy"/>
      <sheetName val="IT Support"/>
      <sheetName val="Board Type"/>
      <sheetName val="2010 Population"/>
      <sheetName val="Hispanic Population"/>
      <sheetName val="Unemployment 2001-2011"/>
      <sheetName val="Poverty 1998-2010"/>
      <sheetName val="SNAP Demographics 2011"/>
      <sheetName val="TANF DEMOGRAPHICS 2011"/>
      <sheetName val="SNAP Clients by SFY"/>
      <sheetName val="TANF Clients by SFY"/>
      <sheetName val="Medicaid 2011"/>
      <sheetName val="Adoption Child by Race"/>
      <sheetName val="CPS Referrals by Race 2011"/>
      <sheetName val="Compare Recipients Census Med"/>
      <sheetName val="Compare Recipients Census SNAP"/>
      <sheetName val="Compare Recipients Census TANF"/>
      <sheetName val="Adoption Counts Summed SFY 2010"/>
      <sheetName val="Foster Care Children Race-2011"/>
      <sheetName val="CPS Ref Child Demo 2010 (2)"/>
      <sheetName val="Eligibililty Staff LASER-2011"/>
      <sheetName val="Services Staff LASER 2011"/>
      <sheetName val="Other Exp. LASER 2011"/>
      <sheetName val="Services for Clients LASER 2011"/>
      <sheetName val="Medicaid &amp; FAMIS - LASER 2011"/>
      <sheetName val="SNAP - LASER 2011"/>
      <sheetName val="FC &amp; Adoptions LASER 2011"/>
      <sheetName val="LIHEAP LASER 2011"/>
      <sheetName val="TANF LASER 2011"/>
      <sheetName val="Other Benefits LASER 2011"/>
      <sheetName val="Benefits Spending Summary"/>
      <sheetName val="Position_Mar2012"/>
      <sheetName val="Medicaid Clients"/>
      <sheetName val="Children in Single-Parent Homes"/>
      <sheetName val="Non-marital births"/>
      <sheetName val="Cohabiting Couples"/>
      <sheetName val="SNAP Participation Rate"/>
      <sheetName val="Children in Foster Care"/>
      <sheetName val="Children in CPS Investigations"/>
      <sheetName val="Abuse and Neglect by Locality"/>
      <sheetName val="Locality Name"/>
      <sheetName val="Password"/>
      <sheetName val="AG Master"/>
      <sheetName val="APS Master"/>
    </sheetNames>
    <sheetDataSet>
      <sheetData sheetId="0"/>
      <sheetData sheetId="1"/>
      <sheetData sheetId="2"/>
      <sheetData sheetId="3"/>
      <sheetData sheetId="4"/>
      <sheetData sheetId="5"/>
      <sheetData sheetId="6"/>
      <sheetData sheetId="7"/>
      <sheetData sheetId="8"/>
      <sheetData sheetId="9">
        <row r="6">
          <cell r="A6" t="str">
            <v>001</v>
          </cell>
          <cell r="B6" t="str">
            <v>Accomack</v>
          </cell>
          <cell r="C6">
            <v>5384</v>
          </cell>
          <cell r="D6">
            <v>2692</v>
          </cell>
          <cell r="E6">
            <v>2470</v>
          </cell>
          <cell r="F6">
            <v>222</v>
          </cell>
          <cell r="G6">
            <v>3978</v>
          </cell>
          <cell r="H6">
            <v>1992</v>
          </cell>
          <cell r="I6">
            <v>1898</v>
          </cell>
          <cell r="J6">
            <v>88</v>
          </cell>
          <cell r="K6">
            <v>9362</v>
          </cell>
        </row>
        <row r="7">
          <cell r="A7" t="str">
            <v>003</v>
          </cell>
          <cell r="B7" t="str">
            <v>Albemarle</v>
          </cell>
          <cell r="C7">
            <v>5829</v>
          </cell>
          <cell r="D7">
            <v>2981</v>
          </cell>
          <cell r="E7">
            <v>1544</v>
          </cell>
          <cell r="F7">
            <v>1304</v>
          </cell>
          <cell r="G7">
            <v>4102</v>
          </cell>
          <cell r="H7">
            <v>1817</v>
          </cell>
          <cell r="I7">
            <v>1232</v>
          </cell>
          <cell r="J7">
            <v>1053</v>
          </cell>
          <cell r="K7">
            <v>9931</v>
          </cell>
        </row>
        <row r="8">
          <cell r="A8" t="str">
            <v>005</v>
          </cell>
          <cell r="B8" t="str">
            <v>Alleghany/Covington</v>
          </cell>
          <cell r="C8">
            <v>3013</v>
          </cell>
          <cell r="D8">
            <v>2600</v>
          </cell>
          <cell r="E8">
            <v>331</v>
          </cell>
          <cell r="F8">
            <v>82</v>
          </cell>
          <cell r="G8">
            <v>1974</v>
          </cell>
          <cell r="H8">
            <v>1572</v>
          </cell>
          <cell r="I8">
            <v>208</v>
          </cell>
          <cell r="J8">
            <v>194</v>
          </cell>
          <cell r="K8">
            <v>4987</v>
          </cell>
        </row>
        <row r="9">
          <cell r="A9" t="str">
            <v>007</v>
          </cell>
          <cell r="B9" t="str">
            <v>Amelia</v>
          </cell>
          <cell r="C9">
            <v>1825</v>
          </cell>
          <cell r="D9">
            <v>1091</v>
          </cell>
          <cell r="E9">
            <v>658</v>
          </cell>
          <cell r="F9">
            <v>76</v>
          </cell>
          <cell r="G9">
            <v>1103</v>
          </cell>
          <cell r="H9">
            <v>660</v>
          </cell>
          <cell r="I9">
            <v>372</v>
          </cell>
          <cell r="J9">
            <v>71</v>
          </cell>
          <cell r="K9">
            <v>2928</v>
          </cell>
        </row>
        <row r="10">
          <cell r="A10" t="str">
            <v>009</v>
          </cell>
          <cell r="B10" t="str">
            <v>Amherst</v>
          </cell>
          <cell r="C10">
            <v>3581</v>
          </cell>
          <cell r="D10">
            <v>2278</v>
          </cell>
          <cell r="E10">
            <v>1005</v>
          </cell>
          <cell r="F10">
            <v>298</v>
          </cell>
          <cell r="G10">
            <v>2398</v>
          </cell>
          <cell r="H10">
            <v>1479</v>
          </cell>
          <cell r="I10">
            <v>662</v>
          </cell>
          <cell r="J10">
            <v>257</v>
          </cell>
          <cell r="K10">
            <v>5979</v>
          </cell>
        </row>
        <row r="11">
          <cell r="A11" t="str">
            <v>011</v>
          </cell>
          <cell r="B11" t="str">
            <v>Appomattox</v>
          </cell>
          <cell r="C11">
            <v>2108</v>
          </cell>
          <cell r="D11">
            <v>1268</v>
          </cell>
          <cell r="E11">
            <v>812</v>
          </cell>
          <cell r="F11">
            <v>28</v>
          </cell>
          <cell r="G11">
            <v>1348</v>
          </cell>
          <cell r="H11">
            <v>781</v>
          </cell>
          <cell r="I11">
            <v>514</v>
          </cell>
          <cell r="J11">
            <v>53</v>
          </cell>
          <cell r="K11">
            <v>3456</v>
          </cell>
        </row>
        <row r="12">
          <cell r="A12" t="str">
            <v>013</v>
          </cell>
          <cell r="B12" t="str">
            <v>Arlington</v>
          </cell>
          <cell r="C12">
            <v>7242</v>
          </cell>
          <cell r="D12">
            <v>2991</v>
          </cell>
          <cell r="E12">
            <v>2182</v>
          </cell>
          <cell r="F12">
            <v>2069</v>
          </cell>
          <cell r="G12">
            <v>4283</v>
          </cell>
          <cell r="H12">
            <v>1997</v>
          </cell>
          <cell r="I12">
            <v>1115</v>
          </cell>
          <cell r="J12">
            <v>1171</v>
          </cell>
          <cell r="K12">
            <v>11525</v>
          </cell>
        </row>
        <row r="13">
          <cell r="A13" t="str">
            <v>015</v>
          </cell>
          <cell r="B13" t="str">
            <v>Augusta/ Staunton/ Waynesboro</v>
          </cell>
          <cell r="C13">
            <v>13362</v>
          </cell>
          <cell r="D13">
            <v>10344</v>
          </cell>
          <cell r="E13">
            <v>1786</v>
          </cell>
          <cell r="F13">
            <v>1232</v>
          </cell>
          <cell r="G13">
            <v>8859</v>
          </cell>
          <cell r="H13">
            <v>6515</v>
          </cell>
          <cell r="I13">
            <v>1356</v>
          </cell>
          <cell r="J13">
            <v>988</v>
          </cell>
          <cell r="K13">
            <v>22221</v>
          </cell>
        </row>
        <row r="14">
          <cell r="A14" t="str">
            <v>017</v>
          </cell>
          <cell r="B14" t="str">
            <v>Bath</v>
          </cell>
          <cell r="C14">
            <v>376</v>
          </cell>
          <cell r="D14">
            <v>347</v>
          </cell>
          <cell r="E14">
            <v>21</v>
          </cell>
          <cell r="F14">
            <v>8</v>
          </cell>
          <cell r="G14">
            <v>203</v>
          </cell>
          <cell r="H14">
            <v>183</v>
          </cell>
          <cell r="I14">
            <v>6</v>
          </cell>
          <cell r="J14">
            <v>14</v>
          </cell>
          <cell r="K14">
            <v>579</v>
          </cell>
        </row>
        <row r="15">
          <cell r="A15" t="str">
            <v>019</v>
          </cell>
          <cell r="B15" t="str">
            <v>Bedford County/City</v>
          </cell>
          <cell r="C15">
            <v>6199</v>
          </cell>
          <cell r="D15">
            <v>4614</v>
          </cell>
          <cell r="E15">
            <v>956</v>
          </cell>
          <cell r="F15">
            <v>629</v>
          </cell>
          <cell r="G15">
            <v>4170</v>
          </cell>
          <cell r="H15">
            <v>3100</v>
          </cell>
          <cell r="I15">
            <v>647</v>
          </cell>
          <cell r="J15">
            <v>423</v>
          </cell>
          <cell r="K15">
            <v>10369</v>
          </cell>
        </row>
        <row r="16">
          <cell r="A16" t="str">
            <v>021</v>
          </cell>
          <cell r="B16" t="str">
            <v>Bland</v>
          </cell>
          <cell r="C16">
            <v>627</v>
          </cell>
          <cell r="D16">
            <v>542</v>
          </cell>
          <cell r="E16">
            <v>8</v>
          </cell>
          <cell r="F16">
            <v>77</v>
          </cell>
          <cell r="G16">
            <v>343</v>
          </cell>
          <cell r="H16">
            <v>308</v>
          </cell>
          <cell r="I16">
            <v>9</v>
          </cell>
          <cell r="J16">
            <v>26</v>
          </cell>
          <cell r="K16">
            <v>970</v>
          </cell>
        </row>
        <row r="17">
          <cell r="A17" t="str">
            <v>023</v>
          </cell>
          <cell r="B17" t="str">
            <v>Botetourt</v>
          </cell>
          <cell r="C17">
            <v>1497</v>
          </cell>
          <cell r="D17">
            <v>1328</v>
          </cell>
          <cell r="E17">
            <v>64</v>
          </cell>
          <cell r="F17">
            <v>105</v>
          </cell>
          <cell r="G17">
            <v>1025</v>
          </cell>
          <cell r="H17">
            <v>878</v>
          </cell>
          <cell r="I17">
            <v>47</v>
          </cell>
          <cell r="J17">
            <v>100</v>
          </cell>
          <cell r="K17">
            <v>2522</v>
          </cell>
        </row>
        <row r="18">
          <cell r="A18" t="str">
            <v>025</v>
          </cell>
          <cell r="B18" t="str">
            <v>Brunswick</v>
          </cell>
          <cell r="C18">
            <v>3160</v>
          </cell>
          <cell r="D18">
            <v>737</v>
          </cell>
          <cell r="E18">
            <v>2315</v>
          </cell>
          <cell r="F18">
            <v>108</v>
          </cell>
          <cell r="G18">
            <v>1896</v>
          </cell>
          <cell r="H18">
            <v>376</v>
          </cell>
          <cell r="I18">
            <v>1436</v>
          </cell>
          <cell r="J18">
            <v>84</v>
          </cell>
          <cell r="K18">
            <v>5056</v>
          </cell>
        </row>
        <row r="19">
          <cell r="A19" t="str">
            <v>027</v>
          </cell>
          <cell r="B19" t="str">
            <v>Buchanan</v>
          </cell>
          <cell r="C19">
            <v>4002</v>
          </cell>
          <cell r="D19">
            <v>3831</v>
          </cell>
          <cell r="E19">
            <v>18</v>
          </cell>
          <cell r="F19">
            <v>153</v>
          </cell>
          <cell r="G19">
            <v>2033</v>
          </cell>
          <cell r="H19">
            <v>1905</v>
          </cell>
          <cell r="I19">
            <v>9</v>
          </cell>
          <cell r="J19">
            <v>119</v>
          </cell>
          <cell r="K19">
            <v>6035</v>
          </cell>
        </row>
        <row r="20">
          <cell r="A20" t="str">
            <v>029</v>
          </cell>
          <cell r="B20" t="str">
            <v>Buckingham</v>
          </cell>
          <cell r="C20">
            <v>2910</v>
          </cell>
          <cell r="D20">
            <v>1327</v>
          </cell>
          <cell r="E20">
            <v>1358</v>
          </cell>
          <cell r="F20">
            <v>225</v>
          </cell>
          <cell r="G20">
            <v>1566</v>
          </cell>
          <cell r="H20">
            <v>787</v>
          </cell>
          <cell r="I20">
            <v>658</v>
          </cell>
          <cell r="J20">
            <v>121</v>
          </cell>
          <cell r="K20">
            <v>4476</v>
          </cell>
        </row>
        <row r="21">
          <cell r="A21" t="str">
            <v>031</v>
          </cell>
          <cell r="B21" t="str">
            <v>Campbell</v>
          </cell>
          <cell r="C21">
            <v>6627</v>
          </cell>
          <cell r="D21">
            <v>4457</v>
          </cell>
          <cell r="E21">
            <v>1617</v>
          </cell>
          <cell r="F21">
            <v>553</v>
          </cell>
          <cell r="G21">
            <v>4251</v>
          </cell>
          <cell r="H21">
            <v>2755</v>
          </cell>
          <cell r="I21">
            <v>1060</v>
          </cell>
          <cell r="J21">
            <v>436</v>
          </cell>
          <cell r="K21">
            <v>10878</v>
          </cell>
        </row>
        <row r="22">
          <cell r="A22" t="str">
            <v>033</v>
          </cell>
          <cell r="B22" t="str">
            <v>Caroline</v>
          </cell>
          <cell r="C22">
            <v>4064</v>
          </cell>
          <cell r="D22">
            <v>2037</v>
          </cell>
          <cell r="E22">
            <v>1653</v>
          </cell>
          <cell r="F22">
            <v>374</v>
          </cell>
          <cell r="G22">
            <v>2853</v>
          </cell>
          <cell r="H22">
            <v>1441</v>
          </cell>
          <cell r="I22">
            <v>1089</v>
          </cell>
          <cell r="J22">
            <v>323</v>
          </cell>
          <cell r="K22">
            <v>6917</v>
          </cell>
        </row>
        <row r="23">
          <cell r="A23" t="str">
            <v>035</v>
          </cell>
          <cell r="B23" t="str">
            <v>Carroll</v>
          </cell>
          <cell r="C23">
            <v>4866</v>
          </cell>
          <cell r="D23">
            <v>4326</v>
          </cell>
          <cell r="E23">
            <v>43</v>
          </cell>
          <cell r="F23">
            <v>497</v>
          </cell>
          <cell r="G23">
            <v>2686</v>
          </cell>
          <cell r="H23">
            <v>2362</v>
          </cell>
          <cell r="I23">
            <v>42</v>
          </cell>
          <cell r="J23">
            <v>282</v>
          </cell>
          <cell r="K23">
            <v>7552</v>
          </cell>
        </row>
        <row r="24">
          <cell r="A24" t="str">
            <v>036</v>
          </cell>
          <cell r="B24" t="str">
            <v>Charles City</v>
          </cell>
          <cell r="C24">
            <v>883</v>
          </cell>
          <cell r="D24">
            <v>223</v>
          </cell>
          <cell r="E24">
            <v>465</v>
          </cell>
          <cell r="F24">
            <v>195</v>
          </cell>
          <cell r="G24">
            <v>478</v>
          </cell>
          <cell r="H24">
            <v>147</v>
          </cell>
          <cell r="I24">
            <v>265</v>
          </cell>
          <cell r="J24">
            <v>66</v>
          </cell>
          <cell r="K24">
            <v>1361</v>
          </cell>
        </row>
        <row r="25">
          <cell r="A25" t="str">
            <v>037</v>
          </cell>
          <cell r="B25" t="str">
            <v>Charlotte</v>
          </cell>
          <cell r="C25">
            <v>2104</v>
          </cell>
          <cell r="D25">
            <v>986</v>
          </cell>
          <cell r="E25">
            <v>1031</v>
          </cell>
          <cell r="F25">
            <v>87</v>
          </cell>
          <cell r="G25">
            <v>1288</v>
          </cell>
          <cell r="H25">
            <v>556</v>
          </cell>
          <cell r="I25">
            <v>645</v>
          </cell>
          <cell r="J25">
            <v>87</v>
          </cell>
          <cell r="K25">
            <v>3392</v>
          </cell>
        </row>
        <row r="26">
          <cell r="A26" t="str">
            <v>041</v>
          </cell>
          <cell r="B26" t="str">
            <v>Chesterfield/Colonial Heights</v>
          </cell>
          <cell r="C26">
            <v>24892</v>
          </cell>
          <cell r="D26">
            <v>12095</v>
          </cell>
          <cell r="E26">
            <v>8742</v>
          </cell>
          <cell r="F26">
            <v>4055</v>
          </cell>
          <cell r="G26">
            <v>20904</v>
          </cell>
          <cell r="H26">
            <v>9459</v>
          </cell>
          <cell r="I26">
            <v>8109</v>
          </cell>
          <cell r="J26">
            <v>3336</v>
          </cell>
          <cell r="K26">
            <v>45796</v>
          </cell>
        </row>
        <row r="27">
          <cell r="A27" t="str">
            <v>043</v>
          </cell>
          <cell r="B27" t="str">
            <v>Clarke</v>
          </cell>
          <cell r="C27">
            <v>816</v>
          </cell>
          <cell r="D27">
            <v>593</v>
          </cell>
          <cell r="E27">
            <v>124</v>
          </cell>
          <cell r="F27">
            <v>99</v>
          </cell>
          <cell r="G27">
            <v>472</v>
          </cell>
          <cell r="H27">
            <v>346</v>
          </cell>
          <cell r="I27">
            <v>62</v>
          </cell>
          <cell r="J27">
            <v>64</v>
          </cell>
          <cell r="K27">
            <v>1288</v>
          </cell>
        </row>
        <row r="28">
          <cell r="A28" t="str">
            <v>045</v>
          </cell>
          <cell r="B28" t="str">
            <v>Craig</v>
          </cell>
          <cell r="C28">
            <v>504</v>
          </cell>
          <cell r="D28">
            <v>497</v>
          </cell>
          <cell r="E28">
            <v>3</v>
          </cell>
          <cell r="F28">
            <v>4</v>
          </cell>
          <cell r="G28">
            <v>325</v>
          </cell>
          <cell r="H28">
            <v>306</v>
          </cell>
          <cell r="I28">
            <v>2</v>
          </cell>
          <cell r="J28">
            <v>17</v>
          </cell>
          <cell r="K28">
            <v>829</v>
          </cell>
        </row>
        <row r="29">
          <cell r="A29" t="str">
            <v>047</v>
          </cell>
          <cell r="B29" t="str">
            <v>Culpeper</v>
          </cell>
          <cell r="C29">
            <v>4728</v>
          </cell>
          <cell r="D29">
            <v>2667</v>
          </cell>
          <cell r="E29">
            <v>1568</v>
          </cell>
          <cell r="F29">
            <v>493</v>
          </cell>
          <cell r="G29">
            <v>3568</v>
          </cell>
          <cell r="H29">
            <v>1765</v>
          </cell>
          <cell r="I29">
            <v>1046</v>
          </cell>
          <cell r="J29">
            <v>757</v>
          </cell>
          <cell r="K29">
            <v>8296</v>
          </cell>
        </row>
        <row r="30">
          <cell r="A30" t="str">
            <v>049</v>
          </cell>
          <cell r="B30" t="str">
            <v>Cumberland</v>
          </cell>
          <cell r="C30">
            <v>1843</v>
          </cell>
          <cell r="D30">
            <v>843</v>
          </cell>
          <cell r="E30">
            <v>894</v>
          </cell>
          <cell r="F30">
            <v>106</v>
          </cell>
          <cell r="G30">
            <v>1143</v>
          </cell>
          <cell r="H30">
            <v>519</v>
          </cell>
          <cell r="I30">
            <v>555</v>
          </cell>
          <cell r="J30">
            <v>69</v>
          </cell>
          <cell r="K30">
            <v>2986</v>
          </cell>
        </row>
        <row r="31">
          <cell r="A31" t="str">
            <v>051</v>
          </cell>
          <cell r="B31" t="str">
            <v>Dickenson</v>
          </cell>
          <cell r="C31">
            <v>2920</v>
          </cell>
          <cell r="D31">
            <v>2776</v>
          </cell>
          <cell r="E31">
            <v>20</v>
          </cell>
          <cell r="F31">
            <v>124</v>
          </cell>
          <cell r="G31">
            <v>1517</v>
          </cell>
          <cell r="H31">
            <v>1466</v>
          </cell>
          <cell r="I31">
            <v>10</v>
          </cell>
          <cell r="J31">
            <v>41</v>
          </cell>
          <cell r="K31">
            <v>4437</v>
          </cell>
        </row>
        <row r="32">
          <cell r="A32" t="str">
            <v>053</v>
          </cell>
          <cell r="B32" t="str">
            <v>Dinwiddie</v>
          </cell>
          <cell r="C32">
            <v>3851</v>
          </cell>
          <cell r="D32">
            <v>1846</v>
          </cell>
          <cell r="E32">
            <v>1515</v>
          </cell>
          <cell r="F32">
            <v>490</v>
          </cell>
          <cell r="G32">
            <v>2499</v>
          </cell>
          <cell r="H32">
            <v>1206</v>
          </cell>
          <cell r="I32">
            <v>961</v>
          </cell>
          <cell r="J32">
            <v>332</v>
          </cell>
          <cell r="K32">
            <v>6350</v>
          </cell>
        </row>
        <row r="33">
          <cell r="A33" t="str">
            <v>057</v>
          </cell>
          <cell r="B33" t="str">
            <v>Essex</v>
          </cell>
          <cell r="C33">
            <v>1852</v>
          </cell>
          <cell r="D33">
            <v>534</v>
          </cell>
          <cell r="E33">
            <v>1018</v>
          </cell>
          <cell r="F33">
            <v>300</v>
          </cell>
          <cell r="G33">
            <v>1355</v>
          </cell>
          <cell r="H33">
            <v>358</v>
          </cell>
          <cell r="I33">
            <v>760</v>
          </cell>
          <cell r="J33">
            <v>237</v>
          </cell>
          <cell r="K33">
            <v>3207</v>
          </cell>
        </row>
        <row r="34">
          <cell r="A34" t="str">
            <v>059</v>
          </cell>
          <cell r="B34" t="str">
            <v>Fairfax County/City/Falls Church</v>
          </cell>
          <cell r="C34">
            <v>40309</v>
          </cell>
          <cell r="D34">
            <v>17858</v>
          </cell>
          <cell r="E34">
            <v>8157</v>
          </cell>
          <cell r="F34">
            <v>14294</v>
          </cell>
          <cell r="G34">
            <v>29871</v>
          </cell>
          <cell r="H34">
            <v>14413</v>
          </cell>
          <cell r="I34">
            <v>6670</v>
          </cell>
          <cell r="J34">
            <v>8788</v>
          </cell>
          <cell r="K34">
            <v>70180</v>
          </cell>
        </row>
        <row r="35">
          <cell r="A35" t="str">
            <v>061</v>
          </cell>
          <cell r="B35" t="str">
            <v>Fauquier</v>
          </cell>
          <cell r="C35">
            <v>3775</v>
          </cell>
          <cell r="D35">
            <v>2133</v>
          </cell>
          <cell r="E35">
            <v>908</v>
          </cell>
          <cell r="F35">
            <v>734</v>
          </cell>
          <cell r="G35">
            <v>2726</v>
          </cell>
          <cell r="H35">
            <v>1552</v>
          </cell>
          <cell r="I35">
            <v>662</v>
          </cell>
          <cell r="J35">
            <v>512</v>
          </cell>
          <cell r="K35">
            <v>6501</v>
          </cell>
        </row>
        <row r="36">
          <cell r="A36" t="str">
            <v>063</v>
          </cell>
          <cell r="B36" t="str">
            <v>Floyd</v>
          </cell>
          <cell r="C36">
            <v>1800</v>
          </cell>
          <cell r="D36">
            <v>1498</v>
          </cell>
          <cell r="E36">
            <v>70</v>
          </cell>
          <cell r="F36">
            <v>232</v>
          </cell>
          <cell r="G36">
            <v>1137</v>
          </cell>
          <cell r="H36">
            <v>984</v>
          </cell>
          <cell r="I36">
            <v>39</v>
          </cell>
          <cell r="J36">
            <v>114</v>
          </cell>
          <cell r="K36">
            <v>2937</v>
          </cell>
        </row>
        <row r="37">
          <cell r="A37" t="str">
            <v>065</v>
          </cell>
          <cell r="B37" t="str">
            <v>Fluvanna</v>
          </cell>
          <cell r="C37">
            <v>1465</v>
          </cell>
          <cell r="D37">
            <v>888</v>
          </cell>
          <cell r="E37">
            <v>507</v>
          </cell>
          <cell r="F37">
            <v>70</v>
          </cell>
          <cell r="G37">
            <v>1082</v>
          </cell>
          <cell r="H37">
            <v>587</v>
          </cell>
          <cell r="I37">
            <v>415</v>
          </cell>
          <cell r="J37">
            <v>80</v>
          </cell>
          <cell r="K37">
            <v>2547</v>
          </cell>
        </row>
        <row r="38">
          <cell r="A38" t="str">
            <v>067</v>
          </cell>
          <cell r="B38" t="str">
            <v>Franklin County</v>
          </cell>
          <cell r="C38">
            <v>7028</v>
          </cell>
          <cell r="D38">
            <v>5022</v>
          </cell>
          <cell r="E38">
            <v>985</v>
          </cell>
          <cell r="F38">
            <v>1021</v>
          </cell>
          <cell r="G38">
            <v>4414</v>
          </cell>
          <cell r="H38">
            <v>3095</v>
          </cell>
          <cell r="I38">
            <v>600</v>
          </cell>
          <cell r="J38">
            <v>719</v>
          </cell>
          <cell r="K38">
            <v>11442</v>
          </cell>
        </row>
        <row r="39">
          <cell r="A39" t="str">
            <v>069</v>
          </cell>
          <cell r="B39" t="str">
            <v>Frederick</v>
          </cell>
          <cell r="C39">
            <v>6222</v>
          </cell>
          <cell r="D39">
            <v>5233</v>
          </cell>
          <cell r="E39">
            <v>468</v>
          </cell>
          <cell r="F39">
            <v>521</v>
          </cell>
          <cell r="G39">
            <v>4781</v>
          </cell>
          <cell r="H39">
            <v>3729</v>
          </cell>
          <cell r="I39">
            <v>453</v>
          </cell>
          <cell r="J39">
            <v>599</v>
          </cell>
          <cell r="K39">
            <v>11003</v>
          </cell>
        </row>
        <row r="40">
          <cell r="A40" t="str">
            <v>071</v>
          </cell>
          <cell r="B40" t="str">
            <v>Giles</v>
          </cell>
          <cell r="C40">
            <v>2307</v>
          </cell>
          <cell r="D40">
            <v>2189</v>
          </cell>
          <cell r="E40">
            <v>43</v>
          </cell>
          <cell r="F40">
            <v>75</v>
          </cell>
          <cell r="G40">
            <v>1338</v>
          </cell>
          <cell r="H40">
            <v>1240</v>
          </cell>
          <cell r="I40">
            <v>45</v>
          </cell>
          <cell r="J40">
            <v>53</v>
          </cell>
          <cell r="K40">
            <v>3645</v>
          </cell>
        </row>
        <row r="41">
          <cell r="A41" t="str">
            <v>073</v>
          </cell>
          <cell r="B41" t="str">
            <v>Gloucester</v>
          </cell>
          <cell r="C41">
            <v>3752</v>
          </cell>
          <cell r="D41">
            <v>2974</v>
          </cell>
          <cell r="E41">
            <v>610</v>
          </cell>
          <cell r="F41">
            <v>168</v>
          </cell>
          <cell r="G41">
            <v>2327</v>
          </cell>
          <cell r="H41">
            <v>1785</v>
          </cell>
          <cell r="I41">
            <v>367</v>
          </cell>
          <cell r="J41">
            <v>175</v>
          </cell>
          <cell r="K41">
            <v>6079</v>
          </cell>
        </row>
        <row r="42">
          <cell r="A42" t="str">
            <v>075</v>
          </cell>
          <cell r="B42" t="str">
            <v>Goochland</v>
          </cell>
          <cell r="C42">
            <v>1227</v>
          </cell>
          <cell r="D42">
            <v>543</v>
          </cell>
          <cell r="E42">
            <v>562</v>
          </cell>
          <cell r="F42">
            <v>122</v>
          </cell>
          <cell r="G42">
            <v>719</v>
          </cell>
          <cell r="H42">
            <v>319</v>
          </cell>
          <cell r="I42">
            <v>319</v>
          </cell>
          <cell r="J42">
            <v>81</v>
          </cell>
          <cell r="K42">
            <v>1946</v>
          </cell>
        </row>
        <row r="43">
          <cell r="A43" t="str">
            <v>077</v>
          </cell>
          <cell r="B43" t="str">
            <v>Grayson</v>
          </cell>
          <cell r="C43">
            <v>2572</v>
          </cell>
          <cell r="D43">
            <v>2334</v>
          </cell>
          <cell r="E43">
            <v>113</v>
          </cell>
          <cell r="F43">
            <v>125</v>
          </cell>
          <cell r="G43">
            <v>1381</v>
          </cell>
          <cell r="H43">
            <v>1231</v>
          </cell>
          <cell r="I43">
            <v>64</v>
          </cell>
          <cell r="J43">
            <v>86</v>
          </cell>
          <cell r="K43">
            <v>3953</v>
          </cell>
        </row>
        <row r="44">
          <cell r="A44" t="str">
            <v>079</v>
          </cell>
          <cell r="B44" t="str">
            <v>Greene</v>
          </cell>
          <cell r="C44">
            <v>1709</v>
          </cell>
          <cell r="D44">
            <v>1305</v>
          </cell>
          <cell r="E44">
            <v>287</v>
          </cell>
          <cell r="F44">
            <v>117</v>
          </cell>
          <cell r="G44">
            <v>1215</v>
          </cell>
          <cell r="H44">
            <v>819</v>
          </cell>
          <cell r="I44">
            <v>196</v>
          </cell>
          <cell r="J44">
            <v>200</v>
          </cell>
          <cell r="K44">
            <v>2924</v>
          </cell>
        </row>
        <row r="45">
          <cell r="A45" t="str">
            <v>081</v>
          </cell>
          <cell r="B45" t="str">
            <v>Greensville/Emporia</v>
          </cell>
          <cell r="C45">
            <v>3257</v>
          </cell>
          <cell r="D45">
            <v>502</v>
          </cell>
          <cell r="E45">
            <v>2674</v>
          </cell>
          <cell r="F45">
            <v>81</v>
          </cell>
          <cell r="G45">
            <v>2300</v>
          </cell>
          <cell r="H45">
            <v>280</v>
          </cell>
          <cell r="I45">
            <v>1919</v>
          </cell>
          <cell r="J45">
            <v>101</v>
          </cell>
          <cell r="K45">
            <v>5557</v>
          </cell>
        </row>
        <row r="46">
          <cell r="A46" t="str">
            <v>083</v>
          </cell>
          <cell r="B46" t="str">
            <v>Halifax</v>
          </cell>
          <cell r="C46">
            <v>5764</v>
          </cell>
          <cell r="D46">
            <v>1961</v>
          </cell>
          <cell r="E46">
            <v>3087</v>
          </cell>
          <cell r="F46">
            <v>716</v>
          </cell>
          <cell r="G46">
            <v>3560</v>
          </cell>
          <cell r="H46">
            <v>1157</v>
          </cell>
          <cell r="I46">
            <v>2063</v>
          </cell>
          <cell r="J46">
            <v>340</v>
          </cell>
          <cell r="K46">
            <v>9324</v>
          </cell>
        </row>
        <row r="47">
          <cell r="A47" t="str">
            <v>085</v>
          </cell>
          <cell r="B47" t="str">
            <v>Hanover</v>
          </cell>
          <cell r="C47">
            <v>4867</v>
          </cell>
          <cell r="D47">
            <v>3052</v>
          </cell>
          <cell r="E47">
            <v>1245</v>
          </cell>
          <cell r="F47">
            <v>570</v>
          </cell>
          <cell r="G47">
            <v>3487</v>
          </cell>
          <cell r="H47">
            <v>1971</v>
          </cell>
          <cell r="I47">
            <v>1030</v>
          </cell>
          <cell r="J47">
            <v>486</v>
          </cell>
          <cell r="K47">
            <v>8354</v>
          </cell>
        </row>
        <row r="48">
          <cell r="A48" t="str">
            <v>087</v>
          </cell>
          <cell r="B48" t="str">
            <v>Henrico</v>
          </cell>
          <cell r="C48">
            <v>26050</v>
          </cell>
          <cell r="D48">
            <v>6621</v>
          </cell>
          <cell r="E48">
            <v>13136</v>
          </cell>
          <cell r="F48">
            <v>6293</v>
          </cell>
          <cell r="G48">
            <v>20367</v>
          </cell>
          <cell r="H48">
            <v>4001</v>
          </cell>
          <cell r="I48">
            <v>11586</v>
          </cell>
          <cell r="J48">
            <v>4780</v>
          </cell>
          <cell r="K48">
            <v>46417</v>
          </cell>
        </row>
        <row r="49">
          <cell r="A49" t="str">
            <v>089</v>
          </cell>
          <cell r="B49" t="str">
            <v>Henry/Martinsville</v>
          </cell>
          <cell r="C49">
            <v>14011</v>
          </cell>
          <cell r="D49">
            <v>7090</v>
          </cell>
          <cell r="E49">
            <v>5115</v>
          </cell>
          <cell r="F49">
            <v>1806</v>
          </cell>
          <cell r="G49">
            <v>8296</v>
          </cell>
          <cell r="H49">
            <v>3742</v>
          </cell>
          <cell r="I49">
            <v>3047</v>
          </cell>
          <cell r="J49">
            <v>1507</v>
          </cell>
          <cell r="K49">
            <v>22307</v>
          </cell>
        </row>
        <row r="50">
          <cell r="A50" t="str">
            <v>091</v>
          </cell>
          <cell r="B50" t="str">
            <v>Highland</v>
          </cell>
          <cell r="C50">
            <v>167</v>
          </cell>
          <cell r="D50">
            <v>148</v>
          </cell>
          <cell r="E50">
            <v>1</v>
          </cell>
          <cell r="F50">
            <v>18</v>
          </cell>
          <cell r="G50">
            <v>81</v>
          </cell>
          <cell r="H50">
            <v>69</v>
          </cell>
          <cell r="I50">
            <v>0</v>
          </cell>
          <cell r="J50">
            <v>12</v>
          </cell>
          <cell r="K50">
            <v>248</v>
          </cell>
        </row>
        <row r="51">
          <cell r="A51" t="str">
            <v>093</v>
          </cell>
          <cell r="B51" t="str">
            <v>Isle of Wight</v>
          </cell>
          <cell r="C51">
            <v>3421</v>
          </cell>
          <cell r="D51">
            <v>1394</v>
          </cell>
          <cell r="E51">
            <v>1738</v>
          </cell>
          <cell r="F51">
            <v>289</v>
          </cell>
          <cell r="G51">
            <v>2265</v>
          </cell>
          <cell r="H51">
            <v>888</v>
          </cell>
          <cell r="I51">
            <v>1143</v>
          </cell>
          <cell r="J51">
            <v>234</v>
          </cell>
          <cell r="K51">
            <v>5686</v>
          </cell>
        </row>
        <row r="52">
          <cell r="A52" t="str">
            <v>095</v>
          </cell>
          <cell r="B52" t="str">
            <v>James City</v>
          </cell>
          <cell r="C52">
            <v>3713</v>
          </cell>
          <cell r="D52">
            <v>1749</v>
          </cell>
          <cell r="E52">
            <v>1521</v>
          </cell>
          <cell r="F52">
            <v>443</v>
          </cell>
          <cell r="G52">
            <v>2902</v>
          </cell>
          <cell r="H52">
            <v>1195</v>
          </cell>
          <cell r="I52">
            <v>1309</v>
          </cell>
          <cell r="J52">
            <v>398</v>
          </cell>
          <cell r="K52">
            <v>6615</v>
          </cell>
        </row>
        <row r="53">
          <cell r="A53" t="str">
            <v>097</v>
          </cell>
          <cell r="B53" t="str">
            <v>King and Queen</v>
          </cell>
          <cell r="C53">
            <v>950</v>
          </cell>
          <cell r="D53">
            <v>430</v>
          </cell>
          <cell r="E53">
            <v>418</v>
          </cell>
          <cell r="F53">
            <v>102</v>
          </cell>
          <cell r="G53">
            <v>667</v>
          </cell>
          <cell r="H53">
            <v>306</v>
          </cell>
          <cell r="I53">
            <v>257</v>
          </cell>
          <cell r="J53">
            <v>104</v>
          </cell>
          <cell r="K53">
            <v>1617</v>
          </cell>
        </row>
        <row r="54">
          <cell r="A54" t="str">
            <v>099</v>
          </cell>
          <cell r="B54" t="str">
            <v>King George</v>
          </cell>
          <cell r="C54">
            <v>2136</v>
          </cell>
          <cell r="D54">
            <v>1191</v>
          </cell>
          <cell r="E54">
            <v>781</v>
          </cell>
          <cell r="F54">
            <v>164</v>
          </cell>
          <cell r="G54">
            <v>1686</v>
          </cell>
          <cell r="H54">
            <v>855</v>
          </cell>
          <cell r="I54">
            <v>630</v>
          </cell>
          <cell r="J54">
            <v>201</v>
          </cell>
          <cell r="K54">
            <v>3822</v>
          </cell>
        </row>
        <row r="55">
          <cell r="A55" t="str">
            <v>101</v>
          </cell>
          <cell r="B55" t="str">
            <v>King William</v>
          </cell>
          <cell r="C55">
            <v>1470</v>
          </cell>
          <cell r="D55">
            <v>707</v>
          </cell>
          <cell r="E55">
            <v>590</v>
          </cell>
          <cell r="F55">
            <v>173</v>
          </cell>
          <cell r="G55">
            <v>1133</v>
          </cell>
          <cell r="H55">
            <v>624</v>
          </cell>
          <cell r="I55">
            <v>411</v>
          </cell>
          <cell r="J55">
            <v>98</v>
          </cell>
          <cell r="K55">
            <v>2603</v>
          </cell>
        </row>
        <row r="56">
          <cell r="A56" t="str">
            <v>103</v>
          </cell>
          <cell r="B56" t="str">
            <v>Lancaster</v>
          </cell>
          <cell r="C56">
            <v>1390</v>
          </cell>
          <cell r="D56">
            <v>458</v>
          </cell>
          <cell r="E56">
            <v>913</v>
          </cell>
          <cell r="F56">
            <v>19</v>
          </cell>
          <cell r="G56">
            <v>916</v>
          </cell>
          <cell r="H56">
            <v>210</v>
          </cell>
          <cell r="I56">
            <v>660</v>
          </cell>
          <cell r="J56">
            <v>46</v>
          </cell>
          <cell r="K56">
            <v>2306</v>
          </cell>
        </row>
        <row r="57">
          <cell r="A57" t="str">
            <v>105</v>
          </cell>
          <cell r="B57" t="str">
            <v>Lee</v>
          </cell>
          <cell r="C57">
            <v>5304</v>
          </cell>
          <cell r="D57">
            <v>5066</v>
          </cell>
          <cell r="E57">
            <v>30</v>
          </cell>
          <cell r="F57">
            <v>208</v>
          </cell>
          <cell r="G57">
            <v>2539</v>
          </cell>
          <cell r="H57">
            <v>2416</v>
          </cell>
          <cell r="I57">
            <v>30</v>
          </cell>
          <cell r="J57">
            <v>93</v>
          </cell>
          <cell r="K57">
            <v>7843</v>
          </cell>
        </row>
        <row r="58">
          <cell r="A58" t="str">
            <v>107</v>
          </cell>
          <cell r="B58" t="str">
            <v>Loudoun</v>
          </cell>
          <cell r="C58">
            <v>7728</v>
          </cell>
          <cell r="D58">
            <v>3545</v>
          </cell>
          <cell r="E58">
            <v>1602</v>
          </cell>
          <cell r="F58">
            <v>2581</v>
          </cell>
          <cell r="G58">
            <v>6319</v>
          </cell>
          <cell r="H58">
            <v>2617</v>
          </cell>
          <cell r="I58">
            <v>1397</v>
          </cell>
          <cell r="J58">
            <v>2305</v>
          </cell>
          <cell r="K58">
            <v>14047</v>
          </cell>
        </row>
        <row r="59">
          <cell r="A59" t="str">
            <v>109</v>
          </cell>
          <cell r="B59" t="str">
            <v>Louisa</v>
          </cell>
          <cell r="C59">
            <v>3740</v>
          </cell>
          <cell r="D59">
            <v>2162</v>
          </cell>
          <cell r="E59">
            <v>1131</v>
          </cell>
          <cell r="F59">
            <v>447</v>
          </cell>
          <cell r="G59">
            <v>2390</v>
          </cell>
          <cell r="H59">
            <v>1388</v>
          </cell>
          <cell r="I59">
            <v>674</v>
          </cell>
          <cell r="J59">
            <v>328</v>
          </cell>
          <cell r="K59">
            <v>6130</v>
          </cell>
        </row>
        <row r="60">
          <cell r="A60" t="str">
            <v>111</v>
          </cell>
          <cell r="B60" t="str">
            <v>Lunenburg</v>
          </cell>
          <cell r="C60">
            <v>2165</v>
          </cell>
          <cell r="D60">
            <v>983</v>
          </cell>
          <cell r="E60">
            <v>1006</v>
          </cell>
          <cell r="F60">
            <v>176</v>
          </cell>
          <cell r="G60">
            <v>1295</v>
          </cell>
          <cell r="H60">
            <v>522</v>
          </cell>
          <cell r="I60">
            <v>608</v>
          </cell>
          <cell r="J60">
            <v>165</v>
          </cell>
          <cell r="K60">
            <v>3460</v>
          </cell>
        </row>
        <row r="61">
          <cell r="A61" t="str">
            <v>113</v>
          </cell>
          <cell r="B61" t="str">
            <v>Madison</v>
          </cell>
          <cell r="C61">
            <v>1294</v>
          </cell>
          <cell r="D61">
            <v>981</v>
          </cell>
          <cell r="E61">
            <v>255</v>
          </cell>
          <cell r="F61">
            <v>58</v>
          </cell>
          <cell r="G61">
            <v>909</v>
          </cell>
          <cell r="H61">
            <v>680</v>
          </cell>
          <cell r="I61">
            <v>168</v>
          </cell>
          <cell r="J61">
            <v>61</v>
          </cell>
          <cell r="K61">
            <v>2203</v>
          </cell>
        </row>
        <row r="62">
          <cell r="A62" t="str">
            <v>115</v>
          </cell>
          <cell r="B62" t="str">
            <v>Mathews</v>
          </cell>
          <cell r="C62">
            <v>922</v>
          </cell>
          <cell r="D62">
            <v>665</v>
          </cell>
          <cell r="E62">
            <v>180</v>
          </cell>
          <cell r="F62">
            <v>77</v>
          </cell>
          <cell r="G62">
            <v>491</v>
          </cell>
          <cell r="H62">
            <v>397</v>
          </cell>
          <cell r="I62">
            <v>77</v>
          </cell>
          <cell r="J62">
            <v>17</v>
          </cell>
          <cell r="K62">
            <v>1413</v>
          </cell>
        </row>
        <row r="63">
          <cell r="A63" t="str">
            <v>117</v>
          </cell>
          <cell r="B63" t="str">
            <v>Mecklenburg</v>
          </cell>
          <cell r="C63">
            <v>4336</v>
          </cell>
          <cell r="D63">
            <v>1573</v>
          </cell>
          <cell r="E63">
            <v>2655</v>
          </cell>
          <cell r="F63">
            <v>108</v>
          </cell>
          <cell r="G63">
            <v>2891</v>
          </cell>
          <cell r="H63">
            <v>978</v>
          </cell>
          <cell r="I63">
            <v>1783</v>
          </cell>
          <cell r="J63">
            <v>130</v>
          </cell>
          <cell r="K63">
            <v>7227</v>
          </cell>
        </row>
        <row r="64">
          <cell r="A64" t="str">
            <v>119</v>
          </cell>
          <cell r="B64" t="str">
            <v>Middlesex</v>
          </cell>
          <cell r="C64">
            <v>1306</v>
          </cell>
          <cell r="D64">
            <v>751</v>
          </cell>
          <cell r="E64">
            <v>447</v>
          </cell>
          <cell r="F64">
            <v>108</v>
          </cell>
          <cell r="G64">
            <v>735</v>
          </cell>
          <cell r="H64">
            <v>462</v>
          </cell>
          <cell r="I64">
            <v>209</v>
          </cell>
          <cell r="J64">
            <v>64</v>
          </cell>
          <cell r="K64">
            <v>2041</v>
          </cell>
        </row>
        <row r="65">
          <cell r="A65" t="str">
            <v>121</v>
          </cell>
          <cell r="B65" t="str">
            <v>Montgomery</v>
          </cell>
          <cell r="C65">
            <v>6734</v>
          </cell>
          <cell r="D65">
            <v>5287</v>
          </cell>
          <cell r="E65">
            <v>531</v>
          </cell>
          <cell r="F65">
            <v>916</v>
          </cell>
          <cell r="G65">
            <v>4259</v>
          </cell>
          <cell r="H65">
            <v>3208</v>
          </cell>
          <cell r="I65">
            <v>427</v>
          </cell>
          <cell r="J65">
            <v>624</v>
          </cell>
          <cell r="K65">
            <v>10993</v>
          </cell>
        </row>
        <row r="66">
          <cell r="A66" t="str">
            <v>125</v>
          </cell>
          <cell r="B66" t="str">
            <v>Nelson</v>
          </cell>
          <cell r="C66">
            <v>1922</v>
          </cell>
          <cell r="D66">
            <v>1249</v>
          </cell>
          <cell r="E66">
            <v>406</v>
          </cell>
          <cell r="F66">
            <v>267</v>
          </cell>
          <cell r="G66">
            <v>1159</v>
          </cell>
          <cell r="H66">
            <v>766</v>
          </cell>
          <cell r="I66">
            <v>226</v>
          </cell>
          <cell r="J66">
            <v>167</v>
          </cell>
          <cell r="K66">
            <v>3081</v>
          </cell>
        </row>
        <row r="67">
          <cell r="A67" t="str">
            <v>127</v>
          </cell>
          <cell r="B67" t="str">
            <v>New Kent</v>
          </cell>
          <cell r="C67">
            <v>1003</v>
          </cell>
          <cell r="D67">
            <v>708</v>
          </cell>
          <cell r="E67">
            <v>221</v>
          </cell>
          <cell r="F67">
            <v>74</v>
          </cell>
          <cell r="G67">
            <v>719</v>
          </cell>
          <cell r="H67">
            <v>512</v>
          </cell>
          <cell r="I67">
            <v>154</v>
          </cell>
          <cell r="J67">
            <v>53</v>
          </cell>
          <cell r="K67">
            <v>1722</v>
          </cell>
        </row>
        <row r="68">
          <cell r="A68" t="str">
            <v>131</v>
          </cell>
          <cell r="B68" t="str">
            <v>Northampton</v>
          </cell>
          <cell r="C68">
            <v>2488</v>
          </cell>
          <cell r="D68">
            <v>753</v>
          </cell>
          <cell r="E68">
            <v>1542</v>
          </cell>
          <cell r="F68">
            <v>193</v>
          </cell>
          <cell r="G68">
            <v>1540</v>
          </cell>
          <cell r="H68">
            <v>574</v>
          </cell>
          <cell r="I68">
            <v>857</v>
          </cell>
          <cell r="J68">
            <v>109</v>
          </cell>
          <cell r="K68">
            <v>4028</v>
          </cell>
        </row>
        <row r="69">
          <cell r="A69" t="str">
            <v>133</v>
          </cell>
          <cell r="B69" t="str">
            <v>Northumberland</v>
          </cell>
          <cell r="C69">
            <v>1348</v>
          </cell>
          <cell r="D69">
            <v>534</v>
          </cell>
          <cell r="E69">
            <v>751</v>
          </cell>
          <cell r="F69">
            <v>63</v>
          </cell>
          <cell r="G69">
            <v>895</v>
          </cell>
          <cell r="H69">
            <v>295</v>
          </cell>
          <cell r="I69">
            <v>522</v>
          </cell>
          <cell r="J69">
            <v>78</v>
          </cell>
          <cell r="K69">
            <v>2243</v>
          </cell>
        </row>
        <row r="70">
          <cell r="A70" t="str">
            <v>135</v>
          </cell>
          <cell r="B70" t="str">
            <v>Nottoway</v>
          </cell>
          <cell r="C70">
            <v>2844</v>
          </cell>
          <cell r="D70">
            <v>1091</v>
          </cell>
          <cell r="E70">
            <v>1502</v>
          </cell>
          <cell r="F70">
            <v>251</v>
          </cell>
          <cell r="G70">
            <v>1852</v>
          </cell>
          <cell r="H70">
            <v>723</v>
          </cell>
          <cell r="I70">
            <v>942</v>
          </cell>
          <cell r="J70">
            <v>187</v>
          </cell>
          <cell r="K70">
            <v>4696</v>
          </cell>
        </row>
        <row r="71">
          <cell r="A71" t="str">
            <v>137</v>
          </cell>
          <cell r="B71" t="str">
            <v>Orange</v>
          </cell>
          <cell r="C71">
            <v>2887</v>
          </cell>
          <cell r="D71">
            <v>1809</v>
          </cell>
          <cell r="E71">
            <v>713</v>
          </cell>
          <cell r="F71">
            <v>365</v>
          </cell>
          <cell r="G71">
            <v>2096</v>
          </cell>
          <cell r="H71">
            <v>1263</v>
          </cell>
          <cell r="I71">
            <v>558</v>
          </cell>
          <cell r="J71">
            <v>275</v>
          </cell>
          <cell r="K71">
            <v>4983</v>
          </cell>
        </row>
        <row r="72">
          <cell r="A72" t="str">
            <v>139</v>
          </cell>
          <cell r="B72" t="str">
            <v>Page</v>
          </cell>
          <cell r="C72">
            <v>3351</v>
          </cell>
          <cell r="D72">
            <v>3002</v>
          </cell>
          <cell r="E72">
            <v>88</v>
          </cell>
          <cell r="F72">
            <v>261</v>
          </cell>
          <cell r="G72">
            <v>1985</v>
          </cell>
          <cell r="H72">
            <v>1809</v>
          </cell>
          <cell r="I72">
            <v>66</v>
          </cell>
          <cell r="J72">
            <v>110</v>
          </cell>
          <cell r="K72">
            <v>5336</v>
          </cell>
        </row>
        <row r="73">
          <cell r="A73" t="str">
            <v>141</v>
          </cell>
          <cell r="B73" t="str">
            <v>Patrick</v>
          </cell>
          <cell r="C73">
            <v>3218</v>
          </cell>
          <cell r="D73">
            <v>2682</v>
          </cell>
          <cell r="E73">
            <v>325</v>
          </cell>
          <cell r="F73">
            <v>211</v>
          </cell>
          <cell r="G73">
            <v>1781</v>
          </cell>
          <cell r="H73">
            <v>1464</v>
          </cell>
          <cell r="I73">
            <v>193</v>
          </cell>
          <cell r="J73">
            <v>124</v>
          </cell>
          <cell r="K73">
            <v>4999</v>
          </cell>
        </row>
        <row r="74">
          <cell r="A74" t="str">
            <v>143</v>
          </cell>
          <cell r="B74" t="str">
            <v>Pittsylvania</v>
          </cell>
          <cell r="C74">
            <v>8668</v>
          </cell>
          <cell r="D74">
            <v>4511</v>
          </cell>
          <cell r="E74">
            <v>2935</v>
          </cell>
          <cell r="F74">
            <v>1222</v>
          </cell>
          <cell r="G74">
            <v>5331</v>
          </cell>
          <cell r="H74">
            <v>2954</v>
          </cell>
          <cell r="I74">
            <v>1700</v>
          </cell>
          <cell r="J74">
            <v>677</v>
          </cell>
          <cell r="K74">
            <v>13999</v>
          </cell>
        </row>
        <row r="75">
          <cell r="A75" t="str">
            <v>145</v>
          </cell>
          <cell r="B75" t="str">
            <v>Powhatan</v>
          </cell>
          <cell r="C75">
            <v>1231</v>
          </cell>
          <cell r="D75">
            <v>731</v>
          </cell>
          <cell r="E75">
            <v>257</v>
          </cell>
          <cell r="F75">
            <v>243</v>
          </cell>
          <cell r="G75">
            <v>830</v>
          </cell>
          <cell r="H75">
            <v>549</v>
          </cell>
          <cell r="I75">
            <v>155</v>
          </cell>
          <cell r="J75">
            <v>126</v>
          </cell>
          <cell r="K75">
            <v>2061</v>
          </cell>
        </row>
        <row r="76">
          <cell r="A76" t="str">
            <v>147</v>
          </cell>
          <cell r="B76" t="str">
            <v>Prince Edward</v>
          </cell>
          <cell r="C76">
            <v>3093</v>
          </cell>
          <cell r="D76">
            <v>1076</v>
          </cell>
          <cell r="E76">
            <v>1891</v>
          </cell>
          <cell r="F76">
            <v>126</v>
          </cell>
          <cell r="G76">
            <v>1941</v>
          </cell>
          <cell r="H76">
            <v>602</v>
          </cell>
          <cell r="I76">
            <v>1173</v>
          </cell>
          <cell r="J76">
            <v>166</v>
          </cell>
          <cell r="K76">
            <v>5034</v>
          </cell>
        </row>
        <row r="77">
          <cell r="A77" t="str">
            <v>149</v>
          </cell>
          <cell r="B77" t="str">
            <v>Prince George</v>
          </cell>
          <cell r="C77">
            <v>2268</v>
          </cell>
          <cell r="D77">
            <v>1259</v>
          </cell>
          <cell r="E77">
            <v>890</v>
          </cell>
          <cell r="F77">
            <v>119</v>
          </cell>
          <cell r="G77">
            <v>1755</v>
          </cell>
          <cell r="H77">
            <v>826</v>
          </cell>
          <cell r="I77">
            <v>757</v>
          </cell>
          <cell r="J77">
            <v>172</v>
          </cell>
          <cell r="K77">
            <v>4023</v>
          </cell>
        </row>
        <row r="78">
          <cell r="A78" t="str">
            <v>153</v>
          </cell>
          <cell r="B78" t="str">
            <v>Prince William</v>
          </cell>
          <cell r="C78">
            <v>21993</v>
          </cell>
          <cell r="D78">
            <v>9832</v>
          </cell>
          <cell r="E78">
            <v>7074</v>
          </cell>
          <cell r="F78">
            <v>5087</v>
          </cell>
          <cell r="G78">
            <v>20483</v>
          </cell>
          <cell r="H78">
            <v>9153</v>
          </cell>
          <cell r="I78">
            <v>6755</v>
          </cell>
          <cell r="J78">
            <v>4575</v>
          </cell>
          <cell r="K78">
            <v>42476</v>
          </cell>
        </row>
        <row r="79">
          <cell r="A79" t="str">
            <v>155</v>
          </cell>
          <cell r="B79" t="str">
            <v>Pulaski</v>
          </cell>
          <cell r="C79">
            <v>5473</v>
          </cell>
          <cell r="D79">
            <v>4845</v>
          </cell>
          <cell r="E79">
            <v>486</v>
          </cell>
          <cell r="F79">
            <v>142</v>
          </cell>
          <cell r="G79">
            <v>3026</v>
          </cell>
          <cell r="H79">
            <v>2459</v>
          </cell>
          <cell r="I79">
            <v>305</v>
          </cell>
          <cell r="J79">
            <v>262</v>
          </cell>
          <cell r="K79">
            <v>8499</v>
          </cell>
        </row>
        <row r="80">
          <cell r="A80" t="str">
            <v>157</v>
          </cell>
          <cell r="B80" t="str">
            <v>Rappahannock</v>
          </cell>
          <cell r="C80">
            <v>481</v>
          </cell>
          <cell r="D80">
            <v>409</v>
          </cell>
          <cell r="E80">
            <v>42</v>
          </cell>
          <cell r="F80">
            <v>30</v>
          </cell>
          <cell r="G80">
            <v>312</v>
          </cell>
          <cell r="H80">
            <v>258</v>
          </cell>
          <cell r="I80">
            <v>31</v>
          </cell>
          <cell r="J80">
            <v>23</v>
          </cell>
          <cell r="K80">
            <v>793</v>
          </cell>
        </row>
        <row r="81">
          <cell r="A81" t="str">
            <v>159</v>
          </cell>
          <cell r="B81" t="str">
            <v>Richmond County</v>
          </cell>
          <cell r="C81">
            <v>1257</v>
          </cell>
          <cell r="D81">
            <v>536</v>
          </cell>
          <cell r="E81">
            <v>544</v>
          </cell>
          <cell r="F81">
            <v>177</v>
          </cell>
          <cell r="G81">
            <v>787</v>
          </cell>
          <cell r="H81">
            <v>312</v>
          </cell>
          <cell r="I81">
            <v>355</v>
          </cell>
          <cell r="J81">
            <v>120</v>
          </cell>
          <cell r="K81">
            <v>2044</v>
          </cell>
        </row>
        <row r="82">
          <cell r="A82" t="str">
            <v>161</v>
          </cell>
          <cell r="B82" t="str">
            <v>Roanoke County/Salem</v>
          </cell>
          <cell r="C82">
            <v>7060</v>
          </cell>
          <cell r="D82">
            <v>4820</v>
          </cell>
          <cell r="E82">
            <v>1013</v>
          </cell>
          <cell r="F82">
            <v>1227</v>
          </cell>
          <cell r="G82">
            <v>5188</v>
          </cell>
          <cell r="H82">
            <v>3274</v>
          </cell>
          <cell r="I82">
            <v>1036</v>
          </cell>
          <cell r="J82">
            <v>878</v>
          </cell>
          <cell r="K82">
            <v>12248</v>
          </cell>
        </row>
        <row r="83">
          <cell r="A83" t="str">
            <v>163</v>
          </cell>
          <cell r="B83" t="str">
            <v>Rockbridge/Buena Vista/Lexington</v>
          </cell>
          <cell r="C83">
            <v>3532</v>
          </cell>
          <cell r="D83">
            <v>2991</v>
          </cell>
          <cell r="E83">
            <v>298</v>
          </cell>
          <cell r="F83">
            <v>243</v>
          </cell>
          <cell r="G83">
            <v>2166</v>
          </cell>
          <cell r="H83">
            <v>1694</v>
          </cell>
          <cell r="I83">
            <v>214</v>
          </cell>
          <cell r="J83">
            <v>258</v>
          </cell>
          <cell r="K83">
            <v>5698</v>
          </cell>
        </row>
        <row r="84">
          <cell r="A84" t="str">
            <v>165</v>
          </cell>
          <cell r="B84" t="str">
            <v>Rockingham/Harrisonburg</v>
          </cell>
          <cell r="C84">
            <v>10477</v>
          </cell>
          <cell r="D84">
            <v>7532</v>
          </cell>
          <cell r="E84">
            <v>870</v>
          </cell>
          <cell r="F84">
            <v>2075</v>
          </cell>
          <cell r="G84">
            <v>7755</v>
          </cell>
          <cell r="H84">
            <v>5128</v>
          </cell>
          <cell r="I84">
            <v>665</v>
          </cell>
          <cell r="J84">
            <v>1962</v>
          </cell>
          <cell r="K84">
            <v>18232</v>
          </cell>
        </row>
        <row r="85">
          <cell r="A85" t="str">
            <v>167</v>
          </cell>
          <cell r="B85" t="str">
            <v>Russell</v>
          </cell>
          <cell r="C85">
            <v>5141</v>
          </cell>
          <cell r="D85">
            <v>4589</v>
          </cell>
          <cell r="E85">
            <v>30</v>
          </cell>
          <cell r="F85">
            <v>522</v>
          </cell>
          <cell r="G85">
            <v>2755</v>
          </cell>
          <cell r="H85">
            <v>2412</v>
          </cell>
          <cell r="I85">
            <v>28</v>
          </cell>
          <cell r="J85">
            <v>315</v>
          </cell>
          <cell r="K85">
            <v>7896</v>
          </cell>
        </row>
        <row r="86">
          <cell r="A86" t="str">
            <v>169</v>
          </cell>
          <cell r="B86" t="str">
            <v>Scott</v>
          </cell>
          <cell r="C86">
            <v>3443</v>
          </cell>
          <cell r="D86">
            <v>3181</v>
          </cell>
          <cell r="E86">
            <v>36</v>
          </cell>
          <cell r="F86">
            <v>226</v>
          </cell>
          <cell r="G86">
            <v>1869</v>
          </cell>
          <cell r="H86">
            <v>1709</v>
          </cell>
          <cell r="I86">
            <v>27</v>
          </cell>
          <cell r="J86">
            <v>133</v>
          </cell>
          <cell r="K86">
            <v>5312</v>
          </cell>
        </row>
        <row r="87">
          <cell r="A87" t="str">
            <v>171</v>
          </cell>
          <cell r="B87" t="str">
            <v>Shenandoah</v>
          </cell>
          <cell r="C87">
            <v>4416</v>
          </cell>
          <cell r="D87">
            <v>3543</v>
          </cell>
          <cell r="E87">
            <v>138</v>
          </cell>
          <cell r="F87">
            <v>735</v>
          </cell>
          <cell r="G87">
            <v>3120</v>
          </cell>
          <cell r="H87">
            <v>2506</v>
          </cell>
          <cell r="I87">
            <v>91</v>
          </cell>
          <cell r="J87">
            <v>523</v>
          </cell>
          <cell r="K87">
            <v>7536</v>
          </cell>
        </row>
        <row r="88">
          <cell r="A88" t="str">
            <v>173</v>
          </cell>
          <cell r="B88" t="str">
            <v>Smyth</v>
          </cell>
          <cell r="C88">
            <v>5752</v>
          </cell>
          <cell r="D88">
            <v>5199</v>
          </cell>
          <cell r="E88">
            <v>123</v>
          </cell>
          <cell r="F88">
            <v>430</v>
          </cell>
          <cell r="G88">
            <v>3180</v>
          </cell>
          <cell r="H88">
            <v>2730</v>
          </cell>
          <cell r="I88">
            <v>101</v>
          </cell>
          <cell r="J88">
            <v>349</v>
          </cell>
          <cell r="K88">
            <v>8932</v>
          </cell>
        </row>
        <row r="89">
          <cell r="A89" t="str">
            <v>175</v>
          </cell>
          <cell r="B89" t="str">
            <v>Southampton</v>
          </cell>
          <cell r="C89">
            <v>2449</v>
          </cell>
          <cell r="D89">
            <v>654</v>
          </cell>
          <cell r="E89">
            <v>1485</v>
          </cell>
          <cell r="F89">
            <v>310</v>
          </cell>
          <cell r="G89">
            <v>1523</v>
          </cell>
          <cell r="H89">
            <v>454</v>
          </cell>
          <cell r="I89">
            <v>936</v>
          </cell>
          <cell r="J89">
            <v>133</v>
          </cell>
          <cell r="K89">
            <v>3972</v>
          </cell>
        </row>
        <row r="90">
          <cell r="A90" t="str">
            <v>177</v>
          </cell>
          <cell r="B90" t="str">
            <v>Spotsylvania</v>
          </cell>
          <cell r="C90">
            <v>9472</v>
          </cell>
          <cell r="D90">
            <v>5799</v>
          </cell>
          <cell r="E90">
            <v>2551</v>
          </cell>
          <cell r="F90">
            <v>1122</v>
          </cell>
          <cell r="G90">
            <v>7930</v>
          </cell>
          <cell r="H90">
            <v>4242</v>
          </cell>
          <cell r="I90">
            <v>2470</v>
          </cell>
          <cell r="J90">
            <v>1218</v>
          </cell>
          <cell r="K90">
            <v>17402</v>
          </cell>
        </row>
        <row r="91">
          <cell r="A91" t="str">
            <v>179</v>
          </cell>
          <cell r="B91" t="str">
            <v>Stafford</v>
          </cell>
          <cell r="C91">
            <v>7196</v>
          </cell>
          <cell r="D91">
            <v>3113</v>
          </cell>
          <cell r="E91">
            <v>1872</v>
          </cell>
          <cell r="F91">
            <v>2211</v>
          </cell>
          <cell r="G91">
            <v>6727</v>
          </cell>
          <cell r="H91">
            <v>2630</v>
          </cell>
          <cell r="I91">
            <v>2052</v>
          </cell>
          <cell r="J91">
            <v>2045</v>
          </cell>
          <cell r="K91">
            <v>13923</v>
          </cell>
        </row>
        <row r="92">
          <cell r="A92" t="str">
            <v>181</v>
          </cell>
          <cell r="B92" t="str">
            <v>Surry</v>
          </cell>
          <cell r="C92">
            <v>884</v>
          </cell>
          <cell r="D92">
            <v>291</v>
          </cell>
          <cell r="E92">
            <v>531</v>
          </cell>
          <cell r="F92">
            <v>62</v>
          </cell>
          <cell r="G92">
            <v>528</v>
          </cell>
          <cell r="H92">
            <v>182</v>
          </cell>
          <cell r="I92">
            <v>320</v>
          </cell>
          <cell r="J92">
            <v>26</v>
          </cell>
          <cell r="K92">
            <v>1412</v>
          </cell>
        </row>
        <row r="93">
          <cell r="A93" t="str">
            <v>183</v>
          </cell>
          <cell r="B93" t="str">
            <v>Sussex</v>
          </cell>
          <cell r="C93">
            <v>1611</v>
          </cell>
          <cell r="D93">
            <v>323</v>
          </cell>
          <cell r="E93">
            <v>1022</v>
          </cell>
          <cell r="F93">
            <v>266</v>
          </cell>
          <cell r="G93">
            <v>1055</v>
          </cell>
          <cell r="H93">
            <v>198</v>
          </cell>
          <cell r="I93">
            <v>699</v>
          </cell>
          <cell r="J93">
            <v>158</v>
          </cell>
          <cell r="K93">
            <v>2666</v>
          </cell>
        </row>
        <row r="94">
          <cell r="A94" t="str">
            <v>185</v>
          </cell>
          <cell r="B94" t="str">
            <v>Tazewell</v>
          </cell>
          <cell r="C94">
            <v>6354</v>
          </cell>
          <cell r="D94">
            <v>5708</v>
          </cell>
          <cell r="E94">
            <v>199</v>
          </cell>
          <cell r="F94">
            <v>447</v>
          </cell>
          <cell r="G94">
            <v>3867</v>
          </cell>
          <cell r="H94">
            <v>3280</v>
          </cell>
          <cell r="I94">
            <v>172</v>
          </cell>
          <cell r="J94">
            <v>415</v>
          </cell>
          <cell r="K94">
            <v>10221</v>
          </cell>
        </row>
        <row r="95">
          <cell r="A95" t="str">
            <v>187</v>
          </cell>
          <cell r="B95" t="str">
            <v>Warren</v>
          </cell>
          <cell r="C95">
            <v>4290</v>
          </cell>
          <cell r="D95">
            <v>3214</v>
          </cell>
          <cell r="E95">
            <v>401</v>
          </cell>
          <cell r="F95">
            <v>675</v>
          </cell>
          <cell r="G95">
            <v>2886</v>
          </cell>
          <cell r="H95">
            <v>2161</v>
          </cell>
          <cell r="I95">
            <v>300</v>
          </cell>
          <cell r="J95">
            <v>425</v>
          </cell>
          <cell r="K95">
            <v>7176</v>
          </cell>
        </row>
        <row r="96">
          <cell r="A96" t="str">
            <v>191</v>
          </cell>
          <cell r="B96" t="str">
            <v>Washington</v>
          </cell>
          <cell r="C96">
            <v>6672</v>
          </cell>
          <cell r="D96">
            <v>6366</v>
          </cell>
          <cell r="E96">
            <v>164</v>
          </cell>
          <cell r="F96">
            <v>142</v>
          </cell>
          <cell r="G96">
            <v>3860</v>
          </cell>
          <cell r="H96">
            <v>3532</v>
          </cell>
          <cell r="I96">
            <v>115</v>
          </cell>
          <cell r="J96">
            <v>213</v>
          </cell>
          <cell r="K96">
            <v>10532</v>
          </cell>
        </row>
        <row r="97">
          <cell r="A97" t="str">
            <v>193</v>
          </cell>
          <cell r="B97" t="str">
            <v>Westmoreland</v>
          </cell>
          <cell r="C97">
            <v>2630</v>
          </cell>
          <cell r="D97">
            <v>1071</v>
          </cell>
          <cell r="E97">
            <v>1099</v>
          </cell>
          <cell r="F97">
            <v>460</v>
          </cell>
          <cell r="G97">
            <v>1801</v>
          </cell>
          <cell r="H97">
            <v>675</v>
          </cell>
          <cell r="I97">
            <v>845</v>
          </cell>
          <cell r="J97">
            <v>281</v>
          </cell>
          <cell r="K97">
            <v>4431</v>
          </cell>
        </row>
        <row r="98">
          <cell r="A98" t="str">
            <v>195</v>
          </cell>
          <cell r="B98" t="str">
            <v>Wise</v>
          </cell>
          <cell r="C98">
            <v>7307</v>
          </cell>
          <cell r="D98">
            <v>6563</v>
          </cell>
          <cell r="E98">
            <v>165</v>
          </cell>
          <cell r="F98">
            <v>579</v>
          </cell>
          <cell r="G98">
            <v>4173</v>
          </cell>
          <cell r="H98">
            <v>3605</v>
          </cell>
          <cell r="I98">
            <v>123</v>
          </cell>
          <cell r="J98">
            <v>445</v>
          </cell>
          <cell r="K98">
            <v>11480</v>
          </cell>
        </row>
        <row r="99">
          <cell r="A99" t="str">
            <v>197</v>
          </cell>
          <cell r="B99" t="str">
            <v>Wythe</v>
          </cell>
          <cell r="C99">
            <v>4291</v>
          </cell>
          <cell r="D99">
            <v>3611</v>
          </cell>
          <cell r="E99">
            <v>221</v>
          </cell>
          <cell r="F99">
            <v>459</v>
          </cell>
          <cell r="G99">
            <v>2369</v>
          </cell>
          <cell r="H99">
            <v>1905</v>
          </cell>
          <cell r="I99">
            <v>155</v>
          </cell>
          <cell r="J99">
            <v>309</v>
          </cell>
          <cell r="K99">
            <v>6660</v>
          </cell>
        </row>
        <row r="100">
          <cell r="A100" t="str">
            <v>199</v>
          </cell>
          <cell r="B100" t="str">
            <v>York/Poquoson</v>
          </cell>
          <cell r="C100">
            <v>2685</v>
          </cell>
          <cell r="D100">
            <v>1499</v>
          </cell>
          <cell r="E100">
            <v>895</v>
          </cell>
          <cell r="F100">
            <v>291</v>
          </cell>
          <cell r="G100">
            <v>2251</v>
          </cell>
          <cell r="H100">
            <v>1199</v>
          </cell>
          <cell r="I100">
            <v>810</v>
          </cell>
          <cell r="J100">
            <v>242</v>
          </cell>
          <cell r="K100">
            <v>4936</v>
          </cell>
        </row>
        <row r="101">
          <cell r="A101" t="str">
            <v>510</v>
          </cell>
          <cell r="B101" t="str">
            <v>Alexandria</v>
          </cell>
          <cell r="C101">
            <v>8162</v>
          </cell>
          <cell r="D101">
            <v>2475</v>
          </cell>
          <cell r="E101">
            <v>3669</v>
          </cell>
          <cell r="F101">
            <v>2018</v>
          </cell>
          <cell r="G101">
            <v>5682</v>
          </cell>
          <cell r="H101">
            <v>1969</v>
          </cell>
          <cell r="I101">
            <v>2374</v>
          </cell>
          <cell r="J101">
            <v>1339</v>
          </cell>
          <cell r="K101">
            <v>13844</v>
          </cell>
        </row>
        <row r="102">
          <cell r="A102" t="str">
            <v>520</v>
          </cell>
          <cell r="B102" t="str">
            <v>Bristol</v>
          </cell>
          <cell r="C102">
            <v>4197</v>
          </cell>
          <cell r="D102">
            <v>3676</v>
          </cell>
          <cell r="E102">
            <v>409</v>
          </cell>
          <cell r="F102">
            <v>112</v>
          </cell>
          <cell r="G102">
            <v>2458</v>
          </cell>
          <cell r="H102">
            <v>1970</v>
          </cell>
          <cell r="I102">
            <v>310</v>
          </cell>
          <cell r="J102">
            <v>178</v>
          </cell>
          <cell r="K102">
            <v>6655</v>
          </cell>
        </row>
        <row r="103">
          <cell r="A103" t="str">
            <v>540</v>
          </cell>
          <cell r="B103" t="str">
            <v>Charlottesville</v>
          </cell>
          <cell r="C103">
            <v>5283</v>
          </cell>
          <cell r="D103">
            <v>1835</v>
          </cell>
          <cell r="E103">
            <v>2846</v>
          </cell>
          <cell r="F103">
            <v>602</v>
          </cell>
          <cell r="G103">
            <v>3053</v>
          </cell>
          <cell r="H103">
            <v>741</v>
          </cell>
          <cell r="I103">
            <v>1905</v>
          </cell>
          <cell r="J103">
            <v>407</v>
          </cell>
          <cell r="K103">
            <v>8336</v>
          </cell>
        </row>
        <row r="104">
          <cell r="A104" t="str">
            <v>550</v>
          </cell>
          <cell r="B104" t="str">
            <v>Chesapeake</v>
          </cell>
          <cell r="C104">
            <v>17367</v>
          </cell>
          <cell r="D104">
            <v>5673</v>
          </cell>
          <cell r="E104">
            <v>10160</v>
          </cell>
          <cell r="F104">
            <v>1534</v>
          </cell>
          <cell r="G104">
            <v>14579</v>
          </cell>
          <cell r="H104">
            <v>3753</v>
          </cell>
          <cell r="I104">
            <v>9302</v>
          </cell>
          <cell r="J104">
            <v>1524</v>
          </cell>
          <cell r="K104">
            <v>31946</v>
          </cell>
        </row>
        <row r="105">
          <cell r="A105" t="str">
            <v>590</v>
          </cell>
          <cell r="B105" t="str">
            <v>Danville</v>
          </cell>
          <cell r="C105">
            <v>10842</v>
          </cell>
          <cell r="D105">
            <v>2649</v>
          </cell>
          <cell r="E105">
            <v>6840</v>
          </cell>
          <cell r="F105">
            <v>1353</v>
          </cell>
          <cell r="G105">
            <v>6712</v>
          </cell>
          <cell r="H105">
            <v>1296</v>
          </cell>
          <cell r="I105">
            <v>4618</v>
          </cell>
          <cell r="J105">
            <v>798</v>
          </cell>
          <cell r="K105">
            <v>17554</v>
          </cell>
        </row>
        <row r="106">
          <cell r="A106" t="str">
            <v>620</v>
          </cell>
          <cell r="B106" t="str">
            <v>Franklin City</v>
          </cell>
          <cell r="C106">
            <v>2065</v>
          </cell>
          <cell r="D106">
            <v>218</v>
          </cell>
          <cell r="E106">
            <v>1671</v>
          </cell>
          <cell r="F106">
            <v>176</v>
          </cell>
          <cell r="G106">
            <v>1357</v>
          </cell>
          <cell r="H106">
            <v>103</v>
          </cell>
          <cell r="I106">
            <v>1098</v>
          </cell>
          <cell r="J106">
            <v>156</v>
          </cell>
          <cell r="K106">
            <v>3422</v>
          </cell>
        </row>
        <row r="107">
          <cell r="A107" t="str">
            <v>630</v>
          </cell>
          <cell r="B107" t="str">
            <v>Fredericksburg</v>
          </cell>
          <cell r="C107">
            <v>4112</v>
          </cell>
          <cell r="D107">
            <v>1731</v>
          </cell>
          <cell r="E107">
            <v>1694</v>
          </cell>
          <cell r="F107">
            <v>687</v>
          </cell>
          <cell r="G107">
            <v>2844</v>
          </cell>
          <cell r="H107">
            <v>852</v>
          </cell>
          <cell r="I107">
            <v>1421</v>
          </cell>
          <cell r="J107">
            <v>571</v>
          </cell>
          <cell r="K107">
            <v>6956</v>
          </cell>
        </row>
        <row r="108">
          <cell r="A108" t="str">
            <v>640</v>
          </cell>
          <cell r="B108" t="str">
            <v>Galax</v>
          </cell>
          <cell r="C108">
            <v>1776</v>
          </cell>
          <cell r="D108">
            <v>1421</v>
          </cell>
          <cell r="E108">
            <v>151</v>
          </cell>
          <cell r="F108">
            <v>204</v>
          </cell>
          <cell r="G108">
            <v>1017</v>
          </cell>
          <cell r="H108">
            <v>821</v>
          </cell>
          <cell r="I108">
            <v>116</v>
          </cell>
          <cell r="J108">
            <v>80</v>
          </cell>
          <cell r="K108">
            <v>2793</v>
          </cell>
        </row>
        <row r="109">
          <cell r="A109" t="str">
            <v>650</v>
          </cell>
          <cell r="B109" t="str">
            <v>Hampton</v>
          </cell>
          <cell r="C109">
            <v>16627</v>
          </cell>
          <cell r="D109">
            <v>3783</v>
          </cell>
          <cell r="E109">
            <v>11321</v>
          </cell>
          <cell r="F109">
            <v>1523</v>
          </cell>
          <cell r="G109">
            <v>13015</v>
          </cell>
          <cell r="H109">
            <v>2262</v>
          </cell>
          <cell r="I109">
            <v>9218</v>
          </cell>
          <cell r="J109">
            <v>1535</v>
          </cell>
          <cell r="K109">
            <v>29642</v>
          </cell>
        </row>
        <row r="110">
          <cell r="A110" t="str">
            <v>670</v>
          </cell>
          <cell r="B110" t="str">
            <v>Hopewell</v>
          </cell>
          <cell r="C110">
            <v>5310</v>
          </cell>
          <cell r="D110">
            <v>2097</v>
          </cell>
          <cell r="E110">
            <v>2637</v>
          </cell>
          <cell r="F110">
            <v>576</v>
          </cell>
          <cell r="G110">
            <v>3928</v>
          </cell>
          <cell r="H110">
            <v>1291</v>
          </cell>
          <cell r="I110">
            <v>2177</v>
          </cell>
          <cell r="J110">
            <v>460</v>
          </cell>
          <cell r="K110">
            <v>9238</v>
          </cell>
        </row>
        <row r="111">
          <cell r="A111" t="str">
            <v>680</v>
          </cell>
          <cell r="B111" t="str">
            <v>Lynchburg</v>
          </cell>
          <cell r="C111">
            <v>10294</v>
          </cell>
          <cell r="D111">
            <v>3276</v>
          </cell>
          <cell r="E111">
            <v>5885</v>
          </cell>
          <cell r="F111">
            <v>1133</v>
          </cell>
          <cell r="G111">
            <v>7227</v>
          </cell>
          <cell r="H111">
            <v>1752</v>
          </cell>
          <cell r="I111">
            <v>4534</v>
          </cell>
          <cell r="J111">
            <v>941</v>
          </cell>
          <cell r="K111">
            <v>17521</v>
          </cell>
        </row>
        <row r="112">
          <cell r="A112" t="str">
            <v>683</v>
          </cell>
          <cell r="B112" t="str">
            <v>Manassas</v>
          </cell>
          <cell r="C112">
            <v>3508</v>
          </cell>
          <cell r="D112">
            <v>1528</v>
          </cell>
          <cell r="E112">
            <v>894</v>
          </cell>
          <cell r="F112">
            <v>1086</v>
          </cell>
          <cell r="G112">
            <v>3680</v>
          </cell>
          <cell r="H112">
            <v>1349</v>
          </cell>
          <cell r="I112">
            <v>743</v>
          </cell>
          <cell r="J112">
            <v>1588</v>
          </cell>
          <cell r="K112">
            <v>7188</v>
          </cell>
        </row>
        <row r="113">
          <cell r="A113" t="str">
            <v>685</v>
          </cell>
          <cell r="B113" t="str">
            <v>Manassas Park</v>
          </cell>
          <cell r="C113">
            <v>1146</v>
          </cell>
          <cell r="D113">
            <v>643</v>
          </cell>
          <cell r="E113">
            <v>178</v>
          </cell>
          <cell r="F113">
            <v>325</v>
          </cell>
          <cell r="G113">
            <v>1095</v>
          </cell>
          <cell r="H113">
            <v>562</v>
          </cell>
          <cell r="I113">
            <v>195</v>
          </cell>
          <cell r="J113">
            <v>338</v>
          </cell>
          <cell r="K113">
            <v>2241</v>
          </cell>
        </row>
        <row r="114">
          <cell r="A114" t="str">
            <v>700</v>
          </cell>
          <cell r="B114" t="str">
            <v>Newport News</v>
          </cell>
          <cell r="C114">
            <v>27379</v>
          </cell>
          <cell r="D114">
            <v>5295</v>
          </cell>
          <cell r="E114">
            <v>18419</v>
          </cell>
          <cell r="F114">
            <v>3665</v>
          </cell>
          <cell r="G114">
            <v>20949</v>
          </cell>
          <cell r="H114">
            <v>3075</v>
          </cell>
          <cell r="I114">
            <v>14882</v>
          </cell>
          <cell r="J114">
            <v>2992</v>
          </cell>
          <cell r="K114">
            <v>48328</v>
          </cell>
        </row>
        <row r="115">
          <cell r="A115" t="str">
            <v>710</v>
          </cell>
          <cell r="B115" t="str">
            <v>Norfolk</v>
          </cell>
          <cell r="C115">
            <v>37461</v>
          </cell>
          <cell r="D115">
            <v>6694</v>
          </cell>
          <cell r="E115">
            <v>26854</v>
          </cell>
          <cell r="F115">
            <v>3913</v>
          </cell>
          <cell r="G115">
            <v>26772</v>
          </cell>
          <cell r="H115">
            <v>3397</v>
          </cell>
          <cell r="I115">
            <v>20306</v>
          </cell>
          <cell r="J115">
            <v>3069</v>
          </cell>
          <cell r="K115">
            <v>64233</v>
          </cell>
        </row>
        <row r="116">
          <cell r="A116" t="str">
            <v>720</v>
          </cell>
          <cell r="B116" t="str">
            <v>Norton</v>
          </cell>
          <cell r="C116">
            <v>955</v>
          </cell>
          <cell r="D116">
            <v>789</v>
          </cell>
          <cell r="E116">
            <v>76</v>
          </cell>
          <cell r="F116">
            <v>90</v>
          </cell>
          <cell r="G116">
            <v>522</v>
          </cell>
          <cell r="H116">
            <v>396</v>
          </cell>
          <cell r="I116">
            <v>58</v>
          </cell>
          <cell r="J116">
            <v>68</v>
          </cell>
          <cell r="K116">
            <v>1477</v>
          </cell>
        </row>
        <row r="117">
          <cell r="A117" t="str">
            <v>730</v>
          </cell>
          <cell r="B117" t="str">
            <v>Petersburg</v>
          </cell>
          <cell r="C117">
            <v>9258</v>
          </cell>
          <cell r="D117">
            <v>726</v>
          </cell>
          <cell r="E117">
            <v>7470</v>
          </cell>
          <cell r="F117">
            <v>1062</v>
          </cell>
          <cell r="G117">
            <v>5447</v>
          </cell>
          <cell r="H117">
            <v>312</v>
          </cell>
          <cell r="I117">
            <v>4498</v>
          </cell>
          <cell r="J117">
            <v>637</v>
          </cell>
          <cell r="K117">
            <v>14705</v>
          </cell>
        </row>
        <row r="118">
          <cell r="A118" t="str">
            <v>740</v>
          </cell>
          <cell r="B118" t="str">
            <v>Portsmouth</v>
          </cell>
          <cell r="C118">
            <v>17171</v>
          </cell>
          <cell r="D118">
            <v>2842</v>
          </cell>
          <cell r="E118">
            <v>12377</v>
          </cell>
          <cell r="F118">
            <v>1952</v>
          </cell>
          <cell r="G118">
            <v>12724</v>
          </cell>
          <cell r="H118">
            <v>1540</v>
          </cell>
          <cell r="I118">
            <v>9965</v>
          </cell>
          <cell r="J118">
            <v>1219</v>
          </cell>
          <cell r="K118">
            <v>29895</v>
          </cell>
        </row>
        <row r="119">
          <cell r="A119" t="str">
            <v>750</v>
          </cell>
          <cell r="B119" t="str">
            <v>Radford</v>
          </cell>
          <cell r="C119">
            <v>1635</v>
          </cell>
          <cell r="D119">
            <v>1276</v>
          </cell>
          <cell r="E119">
            <v>293</v>
          </cell>
          <cell r="F119">
            <v>66</v>
          </cell>
          <cell r="G119">
            <v>1012</v>
          </cell>
          <cell r="H119">
            <v>688</v>
          </cell>
          <cell r="I119">
            <v>198</v>
          </cell>
          <cell r="J119">
            <v>126</v>
          </cell>
          <cell r="K119">
            <v>2647</v>
          </cell>
        </row>
        <row r="120">
          <cell r="A120" t="str">
            <v>760</v>
          </cell>
          <cell r="B120" t="str">
            <v>Richmond City</v>
          </cell>
          <cell r="C120">
            <v>42255</v>
          </cell>
          <cell r="D120">
            <v>4583</v>
          </cell>
          <cell r="E120">
            <v>32383</v>
          </cell>
          <cell r="F120">
            <v>5289</v>
          </cell>
          <cell r="G120">
            <v>25729</v>
          </cell>
          <cell r="H120">
            <v>1594</v>
          </cell>
          <cell r="I120">
            <v>20082</v>
          </cell>
          <cell r="J120">
            <v>4053</v>
          </cell>
          <cell r="K120">
            <v>67984</v>
          </cell>
        </row>
        <row r="121">
          <cell r="A121" t="str">
            <v>770</v>
          </cell>
          <cell r="B121" t="str">
            <v>Roanoke City</v>
          </cell>
          <cell r="C121">
            <v>19240</v>
          </cell>
          <cell r="D121">
            <v>9232</v>
          </cell>
          <cell r="E121">
            <v>7738</v>
          </cell>
          <cell r="F121">
            <v>2270</v>
          </cell>
          <cell r="G121">
            <v>12738</v>
          </cell>
          <cell r="H121">
            <v>4815</v>
          </cell>
          <cell r="I121">
            <v>6198</v>
          </cell>
          <cell r="J121">
            <v>1725</v>
          </cell>
          <cell r="K121">
            <v>31978</v>
          </cell>
        </row>
        <row r="122">
          <cell r="A122" t="str">
            <v>800</v>
          </cell>
          <cell r="B122" t="str">
            <v>Suffolk</v>
          </cell>
          <cell r="C122">
            <v>9608</v>
          </cell>
          <cell r="D122">
            <v>1799</v>
          </cell>
          <cell r="E122">
            <v>6641</v>
          </cell>
          <cell r="F122">
            <v>1168</v>
          </cell>
          <cell r="G122">
            <v>6941</v>
          </cell>
          <cell r="H122">
            <v>1134</v>
          </cell>
          <cell r="I122">
            <v>5035</v>
          </cell>
          <cell r="J122">
            <v>772</v>
          </cell>
          <cell r="K122">
            <v>16549</v>
          </cell>
        </row>
        <row r="123">
          <cell r="A123" t="str">
            <v>810</v>
          </cell>
          <cell r="B123" t="str">
            <v>Virginia Beach</v>
          </cell>
          <cell r="C123">
            <v>27476</v>
          </cell>
          <cell r="D123">
            <v>10992</v>
          </cell>
          <cell r="E123">
            <v>11907</v>
          </cell>
          <cell r="F123">
            <v>4577</v>
          </cell>
          <cell r="G123">
            <v>21346</v>
          </cell>
          <cell r="H123">
            <v>6514</v>
          </cell>
          <cell r="I123">
            <v>10810</v>
          </cell>
          <cell r="J123">
            <v>4022</v>
          </cell>
          <cell r="K123">
            <v>48822</v>
          </cell>
        </row>
        <row r="124">
          <cell r="A124" t="str">
            <v>830</v>
          </cell>
          <cell r="B124" t="str">
            <v>Williamsburg</v>
          </cell>
          <cell r="C124">
            <v>1070</v>
          </cell>
          <cell r="D124">
            <v>394</v>
          </cell>
          <cell r="E124">
            <v>521</v>
          </cell>
          <cell r="F124">
            <v>155</v>
          </cell>
          <cell r="G124">
            <v>815</v>
          </cell>
          <cell r="H124">
            <v>266</v>
          </cell>
          <cell r="I124">
            <v>420</v>
          </cell>
          <cell r="J124">
            <v>129</v>
          </cell>
          <cell r="K124">
            <v>1885</v>
          </cell>
        </row>
        <row r="125">
          <cell r="A125" t="str">
            <v>840</v>
          </cell>
          <cell r="B125" t="str">
            <v>Winchester</v>
          </cell>
          <cell r="C125">
            <v>4428</v>
          </cell>
          <cell r="D125">
            <v>2903</v>
          </cell>
          <cell r="E125">
            <v>759</v>
          </cell>
          <cell r="F125">
            <v>766</v>
          </cell>
          <cell r="G125">
            <v>3083</v>
          </cell>
          <cell r="H125">
            <v>1895</v>
          </cell>
          <cell r="I125">
            <v>605</v>
          </cell>
          <cell r="J125">
            <v>583</v>
          </cell>
          <cell r="K125">
            <v>7511</v>
          </cell>
        </row>
        <row r="126">
          <cell r="A126" t="str">
            <v>999</v>
          </cell>
          <cell r="B126" t="str">
            <v>Statewide</v>
          </cell>
          <cell r="C126">
            <v>741768</v>
          </cell>
          <cell r="D126">
            <v>344768</v>
          </cell>
          <cell r="E126">
            <v>292560</v>
          </cell>
          <cell r="F126">
            <v>104440</v>
          </cell>
          <cell r="G126">
            <v>486216</v>
          </cell>
          <cell r="H126">
            <v>217138</v>
          </cell>
          <cell r="I126">
            <v>221009</v>
          </cell>
          <cell r="J126">
            <v>81172</v>
          </cell>
          <cell r="K126">
            <v>1261087</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Research@dss.virginia.gov"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mailto:Research@dss.virginia.gov"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Research@dss.virginia.gov"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Research@dss.virginia.gov"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Research@dss.virginia.gov"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mailto:Research@dss.virginia.gov"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mailto:Research@dss.virginia.gov"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mailto:Research@dss.virginia.gov"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Research@dss.virginia.gov"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mailto:Research@dss.virginia.gov"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mailto:Research@dss.virginia.gov"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mailto:Research@dss.virginia.gov"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mailto:Research@dss.virginia.gov"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Research@dss.virginia.gov"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mailto:Research@dss.virginia.gov"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mailto:Research@dss.virginia.gov"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mailto:Research@dss.virginia.gov"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mailto:Research@dss.virginia.gov" TargetMode="External"/></Relationships>
</file>

<file path=xl/worksheets/_rels/sheet34.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35.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3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hyperlink" Target="mailto:Research@dss.virginia.gov"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mailto:Research@dss.virginia.gov" TargetMode="Externa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40.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41.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42.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mailto:Research@dss.virginia.gov" TargetMode="External"/></Relationships>
</file>

<file path=xl/worksheets/_rels/sheet44.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mailto:Research@dss.virginia.gov"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mailto:Research@dss.virginia.gov"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Research@dss.virginia.gov"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Research@dss.virginia.gov"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Research@dss.virginia.gov" TargetMode="External"/></Relationships>
</file>

<file path=xl/worksheets/sheet1.xml><?xml version="1.0" encoding="utf-8"?>
<worksheet xmlns="http://schemas.openxmlformats.org/spreadsheetml/2006/main" xmlns:r="http://schemas.openxmlformats.org/officeDocument/2006/relationships">
  <dimension ref="A1:AF188"/>
  <sheetViews>
    <sheetView tabSelected="1" zoomScaleNormal="100" zoomScaleSheetLayoutView="100" workbookViewId="0">
      <pane ySplit="4" topLeftCell="A5" activePane="bottomLeft" state="frozen"/>
      <selection pane="bottomLeft" activeCell="N17" sqref="N17"/>
    </sheetView>
  </sheetViews>
  <sheetFormatPr defaultRowHeight="12"/>
  <cols>
    <col min="1" max="1" width="1" style="66" customWidth="1"/>
    <col min="2" max="2" width="9.5" style="66" customWidth="1"/>
    <col min="3" max="8" width="9" style="66" customWidth="1"/>
    <col min="9" max="9" width="11" style="66" customWidth="1"/>
    <col min="10" max="11" width="9" style="66" customWidth="1"/>
    <col min="12" max="12" width="9.625" style="66" customWidth="1"/>
    <col min="13" max="14" width="9" style="66" customWidth="1"/>
    <col min="15" max="16" width="10" style="66" customWidth="1"/>
    <col min="17" max="17" width="9.125" style="66" bestFit="1" customWidth="1"/>
    <col min="18" max="18" width="6.5" style="66" bestFit="1" customWidth="1"/>
    <col min="19" max="19" width="9.125" style="66" bestFit="1" customWidth="1"/>
    <col min="20" max="20" width="12" style="66" customWidth="1"/>
    <col min="21" max="21" width="12.75" style="66" customWidth="1"/>
    <col min="22" max="22" width="11" style="66" bestFit="1" customWidth="1"/>
    <col min="23" max="23" width="12" style="66" customWidth="1"/>
    <col min="24" max="24" width="10.875" style="66" bestFit="1" customWidth="1"/>
    <col min="25" max="16384" width="9" style="66"/>
  </cols>
  <sheetData>
    <row r="1" spans="2:32" ht="15.75">
      <c r="B1" s="1523" t="s">
        <v>1115</v>
      </c>
      <c r="C1" s="1523"/>
      <c r="D1" s="1523"/>
      <c r="E1" s="1523"/>
      <c r="F1" s="1523"/>
      <c r="G1" s="1523"/>
      <c r="H1" s="1523"/>
      <c r="I1" s="1523"/>
      <c r="J1" s="1523"/>
      <c r="K1" s="1523"/>
      <c r="L1" s="1523"/>
      <c r="M1" s="1523"/>
      <c r="N1" s="1523"/>
      <c r="O1" s="177"/>
      <c r="P1" s="67"/>
      <c r="Q1" s="67"/>
      <c r="R1" s="67"/>
      <c r="AF1" s="68" t="s">
        <v>8</v>
      </c>
    </row>
    <row r="2" spans="2:32" ht="8.25" customHeight="1"/>
    <row r="3" spans="2:32" ht="15.75" customHeight="1">
      <c r="B3" s="1529" t="s">
        <v>1</v>
      </c>
      <c r="C3" s="1529"/>
      <c r="D3" s="1524" t="s">
        <v>850</v>
      </c>
      <c r="E3" s="1525"/>
      <c r="F3" s="1525"/>
      <c r="G3" s="1526"/>
      <c r="H3" s="162" t="s">
        <v>0</v>
      </c>
      <c r="I3" s="393" t="str">
        <f>VLOOKUP(D3,Loc_Name,2,FALSE)</f>
        <v>059</v>
      </c>
      <c r="J3" s="162" t="s">
        <v>808</v>
      </c>
      <c r="K3" s="392" t="str">
        <f>VLOOKUP(+I3,Agency_Level,3,FALSE)</f>
        <v>Northern</v>
      </c>
      <c r="L3" s="163"/>
      <c r="M3" s="163"/>
      <c r="N3" s="163"/>
      <c r="O3" s="163"/>
      <c r="R3" s="71"/>
      <c r="S3" s="71"/>
      <c r="T3" s="71"/>
    </row>
    <row r="4" spans="2:32" ht="9" customHeight="1">
      <c r="J4" s="72"/>
      <c r="Q4" s="71"/>
      <c r="R4" s="71"/>
      <c r="S4" s="71"/>
      <c r="T4" s="71"/>
    </row>
    <row r="5" spans="2:32" ht="13.5" customHeight="1">
      <c r="B5" s="1527" t="s">
        <v>810</v>
      </c>
      <c r="C5" s="1527"/>
      <c r="D5" s="389" t="str">
        <f>VLOOKUP(I3,Agency_Level,5,FALSE)</f>
        <v>III (Three)</v>
      </c>
      <c r="E5" s="69" t="s">
        <v>811</v>
      </c>
      <c r="F5" s="1528" t="str">
        <f>VLOOKUP(+I3,HR_Deviate,5,FALSE)</f>
        <v>Jurisdiction-wide</v>
      </c>
      <c r="G5" s="1528"/>
      <c r="H5" s="69" t="s">
        <v>812</v>
      </c>
      <c r="I5" s="390" t="str">
        <f>VLOOKUP(+I3,IT_Support,4,)</f>
        <v>Shared</v>
      </c>
      <c r="J5" s="1515" t="s">
        <v>987</v>
      </c>
      <c r="K5" s="1515"/>
      <c r="L5" s="391" t="str">
        <f>VLOOKUP(I3,BoardType,4,FALSE)</f>
        <v>Advisory</v>
      </c>
      <c r="M5" s="1516" t="str">
        <f>IF((VLOOKUP(I3,BoardType,4,FALSE))="Administrative"," ",VLOOKUP(I3,BoardType,5,FALSE))</f>
        <v>County Administrator</v>
      </c>
      <c r="N5" s="1516"/>
      <c r="O5" s="274"/>
      <c r="P5" s="274"/>
      <c r="R5" s="74"/>
      <c r="S5" s="74"/>
      <c r="T5" s="74"/>
    </row>
    <row r="6" spans="2:32" ht="7.5" customHeight="1">
      <c r="J6" s="73"/>
      <c r="L6" s="178"/>
      <c r="M6" s="182"/>
      <c r="N6" s="182"/>
      <c r="O6" s="178"/>
      <c r="Q6" s="74"/>
      <c r="R6" s="74"/>
      <c r="S6" s="74"/>
      <c r="T6" s="74"/>
    </row>
    <row r="7" spans="2:32" ht="13.5" customHeight="1">
      <c r="B7" s="91" t="s">
        <v>956</v>
      </c>
      <c r="C7" s="169"/>
      <c r="D7" s="169"/>
      <c r="E7" s="169"/>
      <c r="F7" s="169"/>
      <c r="G7" s="169"/>
      <c r="H7" s="169"/>
      <c r="I7" s="169"/>
      <c r="M7" s="179"/>
      <c r="Q7" s="74"/>
      <c r="R7" s="74"/>
      <c r="S7" s="74"/>
      <c r="T7" s="74"/>
    </row>
    <row r="8" spans="2:32" ht="13.5" customHeight="1">
      <c r="B8" s="175" t="s">
        <v>923</v>
      </c>
      <c r="C8" s="174"/>
      <c r="D8" s="174"/>
      <c r="E8" s="174"/>
      <c r="F8" s="174"/>
      <c r="G8" s="174"/>
      <c r="H8" s="169"/>
      <c r="I8" s="169"/>
      <c r="J8" s="169"/>
      <c r="K8" s="169"/>
      <c r="L8" s="169"/>
      <c r="M8" s="180"/>
      <c r="N8" s="169"/>
      <c r="O8" s="169"/>
      <c r="Q8" s="74"/>
      <c r="R8" s="74"/>
      <c r="S8" s="74"/>
      <c r="T8" s="74"/>
    </row>
    <row r="9" spans="2:32" ht="13.5" customHeight="1">
      <c r="B9" s="90" t="s">
        <v>957</v>
      </c>
      <c r="C9" s="90"/>
      <c r="D9" s="90"/>
    </row>
    <row r="10" spans="2:32" ht="13.5" customHeight="1">
      <c r="B10" s="90" t="s">
        <v>903</v>
      </c>
      <c r="C10" s="90"/>
      <c r="D10" s="90"/>
      <c r="E10" s="90"/>
      <c r="F10" s="90"/>
      <c r="G10" s="90"/>
      <c r="H10" s="90"/>
      <c r="I10" s="90"/>
      <c r="J10" s="90"/>
      <c r="K10" s="90"/>
      <c r="L10" s="90"/>
    </row>
    <row r="11" spans="2:32" ht="13.5" customHeight="1">
      <c r="B11" s="1549" t="s">
        <v>978</v>
      </c>
      <c r="C11" s="1550"/>
      <c r="D11" s="1555" t="str">
        <f>D3</f>
        <v>Fairfax Co./ Fairfax City/ Falls Church</v>
      </c>
      <c r="E11" s="1556"/>
      <c r="F11" s="1512" t="str">
        <f>K3</f>
        <v>Northern</v>
      </c>
      <c r="G11" s="1512" t="s">
        <v>9</v>
      </c>
    </row>
    <row r="12" spans="2:32" ht="13.5" customHeight="1">
      <c r="B12" s="1551"/>
      <c r="C12" s="1552"/>
      <c r="D12" s="1557"/>
      <c r="E12" s="1558"/>
      <c r="F12" s="1513"/>
      <c r="G12" s="1513"/>
      <c r="I12" s="1559">
        <f>VLOOKUP(I3,Poverty_AllAges,27,FALSE)</f>
        <v>75783</v>
      </c>
      <c r="J12" s="1511" t="s">
        <v>1087</v>
      </c>
      <c r="K12" s="1511"/>
      <c r="L12" s="1511"/>
      <c r="M12" s="1511"/>
    </row>
    <row r="13" spans="2:32" ht="13.5" customHeight="1">
      <c r="B13" s="1553"/>
      <c r="C13" s="1554"/>
      <c r="D13" s="376" t="s">
        <v>817</v>
      </c>
      <c r="E13" s="377" t="s">
        <v>288</v>
      </c>
      <c r="F13" s="378" t="s">
        <v>288</v>
      </c>
      <c r="G13" s="434" t="s">
        <v>288</v>
      </c>
      <c r="I13" s="1559"/>
      <c r="J13" s="1511"/>
      <c r="K13" s="1511"/>
      <c r="L13" s="1511"/>
      <c r="M13" s="1511"/>
    </row>
    <row r="14" spans="2:32" ht="13.5" customHeight="1">
      <c r="B14" s="435" t="s">
        <v>612</v>
      </c>
      <c r="C14" s="379"/>
      <c r="D14" s="380">
        <f>VLOOKUP(I3,Pop_2011,5,FALSE)</f>
        <v>1135992</v>
      </c>
      <c r="E14" s="373"/>
      <c r="F14" s="381"/>
      <c r="G14" s="436"/>
      <c r="I14" s="1559"/>
      <c r="J14" s="1560"/>
      <c r="K14" s="1560"/>
      <c r="L14" s="1560"/>
      <c r="M14" s="1560"/>
    </row>
    <row r="15" spans="2:32" ht="13.5" customHeight="1">
      <c r="B15" s="437" t="s">
        <v>813</v>
      </c>
      <c r="C15" s="166"/>
      <c r="D15" s="382"/>
      <c r="E15" s="167"/>
      <c r="F15" s="383"/>
      <c r="G15" s="438"/>
      <c r="I15" s="1544">
        <f>VLOOKUP(I3,Poverty_AllAges,14,FALSE)</f>
        <v>6.7652399342249744E-2</v>
      </c>
      <c r="J15" s="1511" t="s">
        <v>1088</v>
      </c>
      <c r="K15" s="1511"/>
      <c r="L15" s="1511"/>
      <c r="M15" s="1511"/>
    </row>
    <row r="16" spans="2:32" ht="13.5" customHeight="1">
      <c r="B16" s="1517" t="s">
        <v>814</v>
      </c>
      <c r="C16" s="1518"/>
      <c r="D16" s="384">
        <f>VLOOKUP(I3,Pop_2011,13,FALSE)</f>
        <v>272968</v>
      </c>
      <c r="E16" s="286">
        <f>VLOOKUP(I3,Pop_2011,26,FALSE)</f>
        <v>0.2402904245804548</v>
      </c>
      <c r="F16" s="385">
        <f>VLOOKUP(K3,Pop_2011,26,FALSE)</f>
        <v>0.24513611318949319</v>
      </c>
      <c r="G16" s="439">
        <f>'2011 Population'!Z5</f>
        <v>0.22892882003368326</v>
      </c>
      <c r="I16" s="1544"/>
      <c r="J16" s="1511"/>
      <c r="K16" s="1511"/>
      <c r="L16" s="1511"/>
      <c r="M16" s="1511"/>
    </row>
    <row r="17" spans="2:13" ht="13.5" customHeight="1">
      <c r="B17" s="1517" t="s">
        <v>961</v>
      </c>
      <c r="C17" s="1518"/>
      <c r="D17" s="384">
        <f>VLOOKUP(I3,Pop_2011,17,FALSE)</f>
        <v>746491</v>
      </c>
      <c r="E17" s="286">
        <f>VLOOKUP(I3,Pop_2011,27,FALSE)</f>
        <v>0.65712698680976622</v>
      </c>
      <c r="F17" s="385">
        <f>VLOOKUP(K3,Pop_2011,27,FALSE)</f>
        <v>0.65564626896624323</v>
      </c>
      <c r="G17" s="439">
        <f>'2011 Population'!AA5</f>
        <v>0.64619623239570567</v>
      </c>
      <c r="I17" s="1544"/>
      <c r="J17" s="1511"/>
      <c r="K17" s="1511"/>
      <c r="L17" s="1511"/>
      <c r="M17" s="1511"/>
    </row>
    <row r="18" spans="2:13" ht="13.5" customHeight="1">
      <c r="B18" s="1517" t="s">
        <v>999</v>
      </c>
      <c r="C18" s="1518"/>
      <c r="D18" s="384">
        <f>VLOOKUP(I3,Pop_2011,21,FALSE)</f>
        <v>116533</v>
      </c>
      <c r="E18" s="286">
        <f>VLOOKUP(I3,Pop_2011,28,FALSE)</f>
        <v>0.10258258860977894</v>
      </c>
      <c r="F18" s="385">
        <f>VLOOKUP(K3,Pop_2011,28,FALSE)</f>
        <v>9.9217617844263598E-2</v>
      </c>
      <c r="G18" s="439">
        <f>'2011 Population'!AB5</f>
        <v>0.12487494757061109</v>
      </c>
      <c r="I18" s="1545">
        <f>VLOOKUP(I3,Poverty_Child,14,FALSE)</f>
        <v>24059</v>
      </c>
      <c r="J18" s="1541" t="s">
        <v>1089</v>
      </c>
      <c r="K18" s="1541"/>
      <c r="L18" s="1541"/>
      <c r="M18" s="1541"/>
    </row>
    <row r="19" spans="2:13" ht="13.5" customHeight="1">
      <c r="B19" s="440" t="s">
        <v>815</v>
      </c>
      <c r="C19" s="168"/>
      <c r="D19" s="386"/>
      <c r="E19" s="287"/>
      <c r="F19" s="387"/>
      <c r="G19" s="441"/>
      <c r="I19" s="1545"/>
      <c r="J19" s="1511"/>
      <c r="K19" s="1511"/>
      <c r="L19" s="1511"/>
      <c r="M19" s="1511"/>
    </row>
    <row r="20" spans="2:13" ht="13.5" customHeight="1">
      <c r="B20" s="1517" t="s">
        <v>2</v>
      </c>
      <c r="C20" s="1518"/>
      <c r="D20" s="388">
        <f>VLOOKUP(I3,Pop_2011,6,FALSE)</f>
        <v>795089</v>
      </c>
      <c r="E20" s="286">
        <f>VLOOKUP(I3,Pop_2011,23,FALSE)</f>
        <v>0.69990721765646235</v>
      </c>
      <c r="F20" s="385">
        <f>VLOOKUP(K3,Pop_2011,23,FALSE)</f>
        <v>0.7507051966135434</v>
      </c>
      <c r="G20" s="439">
        <f>'2011 Population'!W5</f>
        <v>0.72546934492535387</v>
      </c>
      <c r="I20" s="1545"/>
      <c r="J20" s="1542"/>
      <c r="K20" s="1542"/>
      <c r="L20" s="1542"/>
      <c r="M20" s="1542"/>
    </row>
    <row r="21" spans="2:13" ht="13.5" customHeight="1">
      <c r="B21" s="1517" t="s">
        <v>986</v>
      </c>
      <c r="C21" s="1518"/>
      <c r="D21" s="388">
        <f>VLOOKUP(I3,Pop_2011,7,FALSE)</f>
        <v>117043</v>
      </c>
      <c r="E21" s="286">
        <f>VLOOKUP(I3,Pop_2011,24,FALSE)</f>
        <v>0.10303153543334813</v>
      </c>
      <c r="F21" s="385">
        <f>VLOOKUP(K3,Pop_2011,24,FALSE)</f>
        <v>0.12785726757507546</v>
      </c>
      <c r="G21" s="439">
        <f>'2011 Population'!X5</f>
        <v>0.20555753992661616</v>
      </c>
      <c r="I21" s="1544">
        <f>VLOOKUP(I3,Poverty_Child,27,FALSE)</f>
        <v>8.9207187298385601E-2</v>
      </c>
      <c r="J21" s="1543" t="s">
        <v>1090</v>
      </c>
      <c r="K21" s="1543"/>
      <c r="L21" s="1543"/>
      <c r="M21" s="1543"/>
    </row>
    <row r="22" spans="2:13" ht="13.5" customHeight="1">
      <c r="B22" s="1517" t="s">
        <v>759</v>
      </c>
      <c r="C22" s="1518"/>
      <c r="D22" s="388">
        <f>VLOOKUP(I3,Pop_2011,8,FALSE)</f>
        <v>223860</v>
      </c>
      <c r="E22" s="286">
        <f>VLOOKUP(I3,Pop_2011,25,FALSE)</f>
        <v>0.1970612469101895</v>
      </c>
      <c r="F22" s="385">
        <f>VLOOKUP(K3,Pop_2011,25,FALSE)</f>
        <v>0.1214375358113811</v>
      </c>
      <c r="G22" s="439">
        <f>'2011 Population'!Y5</f>
        <v>6.8973115148029965E-2</v>
      </c>
      <c r="I22" s="1544"/>
      <c r="J22" s="1511"/>
      <c r="K22" s="1511"/>
      <c r="L22" s="1511"/>
      <c r="M22" s="1511"/>
    </row>
    <row r="23" spans="2:13" ht="13.5" customHeight="1">
      <c r="B23" s="1519" t="s">
        <v>816</v>
      </c>
      <c r="C23" s="1520"/>
      <c r="D23" s="442">
        <f>VLOOKUP(I3,Pop_2011,41,FALSE)</f>
        <v>178683</v>
      </c>
      <c r="E23" s="443">
        <f>VLOOKUP(I3,Pop_2011,43,FALSE)</f>
        <v>0.15729248093296433</v>
      </c>
      <c r="F23" s="444">
        <f>VLOOKUP(K3,Pop_2011,43,FALSE)</f>
        <v>0.13989493437180298</v>
      </c>
      <c r="G23" s="445">
        <f>'2011 Population'!AQ5</f>
        <v>8.1605818933468896E-2</v>
      </c>
      <c r="H23" s="78"/>
      <c r="I23" s="1544"/>
      <c r="J23" s="1511"/>
      <c r="K23" s="1511"/>
      <c r="L23" s="1511"/>
      <c r="M23" s="1511"/>
    </row>
    <row r="24" spans="2:13" ht="13.5" customHeight="1">
      <c r="B24" s="1493" t="s">
        <v>1000</v>
      </c>
      <c r="C24" s="1493"/>
      <c r="D24" s="1493"/>
      <c r="E24" s="1493"/>
      <c r="F24" s="1493"/>
      <c r="G24" s="1493"/>
      <c r="H24" s="288"/>
      <c r="I24" s="288"/>
      <c r="J24" s="1514" t="s">
        <v>1086</v>
      </c>
      <c r="K24" s="1514"/>
      <c r="L24" s="1514"/>
      <c r="M24" s="1514"/>
    </row>
    <row r="25" spans="2:13" ht="13.5" customHeight="1">
      <c r="B25" s="1493"/>
      <c r="C25" s="1493"/>
      <c r="D25" s="1493"/>
      <c r="E25" s="1493"/>
      <c r="F25" s="1493"/>
      <c r="G25" s="1493"/>
      <c r="H25" s="288"/>
      <c r="I25" s="288"/>
      <c r="J25" s="1514"/>
      <c r="K25" s="1514"/>
      <c r="L25" s="1514"/>
      <c r="M25" s="1514"/>
    </row>
    <row r="26" spans="2:13" ht="13.5" customHeight="1">
      <c r="B26" s="1493"/>
      <c r="C26" s="1493"/>
      <c r="D26" s="1493"/>
      <c r="E26" s="1493"/>
      <c r="F26" s="1493"/>
      <c r="G26" s="1493"/>
      <c r="H26" s="288"/>
      <c r="I26" s="288"/>
    </row>
    <row r="27" spans="2:13" ht="13.5" customHeight="1">
      <c r="B27" s="1479" t="s">
        <v>1003</v>
      </c>
      <c r="C27" s="1481" t="str">
        <f>D3</f>
        <v>Fairfax Co./ Fairfax City/ Falls Church</v>
      </c>
      <c r="D27" s="1482"/>
      <c r="E27" s="1481" t="str">
        <f>K3</f>
        <v>Northern</v>
      </c>
      <c r="F27" s="1482"/>
      <c r="G27" s="1485" t="s">
        <v>9</v>
      </c>
      <c r="H27" s="1486"/>
      <c r="J27" s="176"/>
    </row>
    <row r="28" spans="2:13" ht="13.5" customHeight="1">
      <c r="B28" s="1480"/>
      <c r="C28" s="1483"/>
      <c r="D28" s="1484"/>
      <c r="E28" s="1483"/>
      <c r="F28" s="1484"/>
      <c r="G28" s="1487"/>
      <c r="H28" s="1488"/>
      <c r="J28" s="176"/>
    </row>
    <row r="29" spans="2:13" ht="13.5" customHeight="1">
      <c r="B29" s="1480"/>
      <c r="C29" s="456" t="s">
        <v>1004</v>
      </c>
      <c r="D29" s="457" t="s">
        <v>7</v>
      </c>
      <c r="E29" s="456" t="s">
        <v>1004</v>
      </c>
      <c r="F29" s="457" t="s">
        <v>7</v>
      </c>
      <c r="G29" s="456" t="s">
        <v>1004</v>
      </c>
      <c r="H29" s="457" t="s">
        <v>7</v>
      </c>
    </row>
    <row r="30" spans="2:13" ht="13.5" customHeight="1">
      <c r="B30" s="430">
        <v>2000</v>
      </c>
      <c r="C30" s="447">
        <f>VLOOKUP(I3,Poverty_AllAges,3,FALSE)</f>
        <v>4.0999999999999995E-2</v>
      </c>
      <c r="D30" s="448">
        <f>VLOOKUP(I3,Poverty_Child,16,FALSE)</f>
        <v>5.6980692580757518E-2</v>
      </c>
      <c r="E30" s="447">
        <f>VLOOKUP(K3,Poverty_AllAges,3,FALSE)</f>
        <v>5.3819970982672265E-2</v>
      </c>
      <c r="F30" s="448">
        <f>VLOOKUP(K3,Poverty_Child,16,FALSE)</f>
        <v>7.229427008031622E-2</v>
      </c>
      <c r="G30" s="453">
        <f>'Poverty_All ages'!C4</f>
        <v>8.8499999999999995E-2</v>
      </c>
      <c r="H30" s="454">
        <f>Poverty_Child!P5</f>
        <v>0.12155565230837527</v>
      </c>
    </row>
    <row r="31" spans="2:13" ht="13.5" customHeight="1">
      <c r="B31" s="431">
        <v>2001</v>
      </c>
      <c r="C31" s="449">
        <f>VLOOKUP(I3,Poverty_AllAges,4,FALSE)</f>
        <v>4.3899999999999995E-2</v>
      </c>
      <c r="D31" s="450">
        <f>VLOOKUP(I3,Poverty_Child,17,FALSE)</f>
        <v>5.4791857402856935E-2</v>
      </c>
      <c r="E31" s="449">
        <f>VLOOKUP(K3,Poverty_AllAges,4,FALSE)</f>
        <v>5.4187387148898883E-2</v>
      </c>
      <c r="F31" s="450">
        <f>VLOOKUP(K3,Poverty_Child,17,FALSE)</f>
        <v>6.6414265061775515E-2</v>
      </c>
      <c r="G31" s="449">
        <f>'Poverty_All ages'!D4</f>
        <v>8.77E-2</v>
      </c>
      <c r="H31" s="455">
        <f>Poverty_Child!Q5</f>
        <v>0.112</v>
      </c>
    </row>
    <row r="32" spans="2:13" ht="13.5" customHeight="1">
      <c r="B32" s="432">
        <v>2002</v>
      </c>
      <c r="C32" s="447">
        <f>VLOOKUP(I3,Poverty_AllAges,5,FALSE)</f>
        <v>0.05</v>
      </c>
      <c r="D32" s="448">
        <f>VLOOKUP(I3,Poverty_Child,18,FALSE)</f>
        <v>6.0754586948858096E-2</v>
      </c>
      <c r="E32" s="447">
        <f>VLOOKUP(K3,Poverty_AllAges,5,FALSE)</f>
        <v>5.9488325891117154E-2</v>
      </c>
      <c r="F32" s="448">
        <f>VLOOKUP(K3,Poverty_Child,18,FALSE)</f>
        <v>7.3938992511423066E-2</v>
      </c>
      <c r="G32" s="447">
        <f>'Poverty_All ages'!E4</f>
        <v>9.5899999999999999E-2</v>
      </c>
      <c r="H32" s="454">
        <f>Poverty_Child!R5</f>
        <v>0.12495566815144066</v>
      </c>
    </row>
    <row r="33" spans="2:8" ht="13.5" customHeight="1">
      <c r="B33" s="431">
        <v>2003</v>
      </c>
      <c r="C33" s="449">
        <f>VLOOKUP(I3,Poverty_AllAges,6,FALSE)</f>
        <v>5.7599999999999998E-2</v>
      </c>
      <c r="D33" s="450">
        <f>VLOOKUP(I3,Poverty_Child,19,FALSE)</f>
        <v>6.8447406952050621E-2</v>
      </c>
      <c r="E33" s="449">
        <f>VLOOKUP(K3,Poverty_AllAges,6,FALSE)</f>
        <v>6.5356715447867419E-2</v>
      </c>
      <c r="F33" s="450">
        <f>VLOOKUP(K3,Poverty_Child,19,FALSE)</f>
        <v>8.177442932261339E-2</v>
      </c>
      <c r="G33" s="449">
        <f>'Poverty_All ages'!F4</f>
        <v>9.9399999999999988E-2</v>
      </c>
      <c r="H33" s="455">
        <f>Poverty_Child!S5</f>
        <v>0.13600000000000001</v>
      </c>
    </row>
    <row r="34" spans="2:8" ht="13.5" customHeight="1">
      <c r="B34" s="432">
        <v>2004</v>
      </c>
      <c r="C34" s="447">
        <f>VLOOKUP(I3,Poverty_AllAges,7,FALSE)</f>
        <v>5.2699999999999997E-2</v>
      </c>
      <c r="D34" s="448">
        <f>VLOOKUP(I3,Poverty_Child,20,FALSE)</f>
        <v>6.3557765840483643E-2</v>
      </c>
      <c r="E34" s="447">
        <f>VLOOKUP(K3,Poverty_AllAges,7,FALSE)</f>
        <v>6.1376226711921139E-2</v>
      </c>
      <c r="F34" s="448">
        <f>VLOOKUP(K3,Poverty_Child,20,FALSE)</f>
        <v>7.4358945134250495E-2</v>
      </c>
      <c r="G34" s="447">
        <f>'Poverty_All ages'!G4</f>
        <v>9.5199999999999993E-2</v>
      </c>
      <c r="H34" s="454">
        <f>Poverty_Child!T5</f>
        <v>0.12190485917712804</v>
      </c>
    </row>
    <row r="35" spans="2:8" ht="13.5" customHeight="1">
      <c r="B35" s="431">
        <v>2005</v>
      </c>
      <c r="C35" s="449">
        <f>VLOOKUP(I3,Poverty_AllAges,8,FALSE)</f>
        <v>5.0799999999999998E-2</v>
      </c>
      <c r="D35" s="450">
        <f>VLOOKUP(I3,Poverty_Child,21,FALSE)</f>
        <v>6.3590983205997847E-2</v>
      </c>
      <c r="E35" s="449">
        <f>VLOOKUP(K3,Poverty_AllAges,8,FALSE)</f>
        <v>6.0904658056330392E-2</v>
      </c>
      <c r="F35" s="450">
        <f>VLOOKUP(K3,Poverty_Child,21,FALSE)</f>
        <v>7.5334011674221046E-2</v>
      </c>
      <c r="G35" s="449">
        <f>'Poverty_All ages'!H4</f>
        <v>9.9600000000000008E-2</v>
      </c>
      <c r="H35" s="455">
        <f>Poverty_Child!U5</f>
        <v>0.13300000000000001</v>
      </c>
    </row>
    <row r="36" spans="2:8" ht="13.5" customHeight="1">
      <c r="B36" s="432">
        <v>2006</v>
      </c>
      <c r="C36" s="447">
        <f>VLOOKUP(I3,Poverty_AllAges,9,FALSE)</f>
        <v>5.1799999999999999E-2</v>
      </c>
      <c r="D36" s="448">
        <f>VLOOKUP(I3,Poverty_Child,22,FALSE)</f>
        <v>5.775728967223534E-2</v>
      </c>
      <c r="E36" s="447">
        <f>VLOOKUP(K3,Poverty_AllAges,9,FALSE)</f>
        <v>6.0991227226495109E-2</v>
      </c>
      <c r="F36" s="448">
        <f>VLOOKUP(K3,Poverty_Child,22,FALSE)</f>
        <v>7.0720655244210451E-2</v>
      </c>
      <c r="G36" s="447">
        <f>'Poverty_All ages'!I4</f>
        <v>9.6199999999999994E-2</v>
      </c>
      <c r="H36" s="454">
        <f>Poverty_Child!V5</f>
        <v>0.12322064717116948</v>
      </c>
    </row>
    <row r="37" spans="2:8" ht="13.5" customHeight="1">
      <c r="B37" s="431">
        <v>2007</v>
      </c>
      <c r="C37" s="449">
        <f>VLOOKUP(I3,Poverty_AllAges,10,FALSE)</f>
        <v>4.8899999999999999E-2</v>
      </c>
      <c r="D37" s="450">
        <f>VLOOKUP(I3,Poverty_Child,23,FALSE)</f>
        <v>6.1628252698446059E-2</v>
      </c>
      <c r="E37" s="449">
        <f>VLOOKUP(K3,Poverty_AllAges,10,FALSE)</f>
        <v>5.9939990840376267E-2</v>
      </c>
      <c r="F37" s="450">
        <f>VLOOKUP(K3,Poverty_Child,23,FALSE)</f>
        <v>7.3652194922933914E-2</v>
      </c>
      <c r="G37" s="449">
        <f>'Poverty_All ages'!J4</f>
        <v>9.9000000000000005E-2</v>
      </c>
      <c r="H37" s="455">
        <f>Poverty_Child!W5</f>
        <v>0.12930216566469369</v>
      </c>
    </row>
    <row r="38" spans="2:8" ht="13.5" customHeight="1">
      <c r="B38" s="432">
        <v>2008</v>
      </c>
      <c r="C38" s="447">
        <f>VLOOKUP(I3,Poverty_AllAges,11,FALSE)</f>
        <v>4.8899999999999999E-2</v>
      </c>
      <c r="D38" s="448">
        <f>VLOOKUP(I3,Poverty_Child,24,FALSE)</f>
        <v>6.3773625796764905E-2</v>
      </c>
      <c r="E38" s="447">
        <f>VLOOKUP(K3,Poverty_AllAges,11,FALSE)</f>
        <v>6.2179277100436824E-2</v>
      </c>
      <c r="F38" s="448">
        <f>VLOOKUP(K3,Poverty_Child,24,FALSE)</f>
        <v>7.9660030975978874E-2</v>
      </c>
      <c r="G38" s="447">
        <f>'Poverty_All ages'!K4</f>
        <v>0.10210000000000001</v>
      </c>
      <c r="H38" s="454">
        <f>Poverty_Child!X5</f>
        <v>0.13580226821250407</v>
      </c>
    </row>
    <row r="39" spans="2:8" ht="13.5" customHeight="1">
      <c r="B39" s="431">
        <v>2009</v>
      </c>
      <c r="C39" s="449">
        <f>VLOOKUP(I3,Poverty_AllAges,12,FALSE)</f>
        <v>5.5999999999999994E-2</v>
      </c>
      <c r="D39" s="450">
        <f>VLOOKUP(I3,Poverty_Child,25,FALSE)</f>
        <v>6.8738335644825926E-2</v>
      </c>
      <c r="E39" s="449">
        <f>VLOOKUP(K3,Poverty_AllAges,12,FALSE)</f>
        <v>6.816119052357604E-2</v>
      </c>
      <c r="F39" s="450">
        <f>VLOOKUP(K3,Poverty_Child,25,FALSE)</f>
        <v>8.6977603003554796E-2</v>
      </c>
      <c r="G39" s="449">
        <f>'Poverty_All ages'!L4</f>
        <v>0.1057</v>
      </c>
      <c r="H39" s="455">
        <f>Poverty_Child!Y5</f>
        <v>0.14000000000000001</v>
      </c>
    </row>
    <row r="40" spans="2:8" ht="13.5" customHeight="1">
      <c r="B40" s="432">
        <v>2010</v>
      </c>
      <c r="C40" s="447">
        <f>VLOOKUP(I3,Poverty_AllAges,13,FALSE)</f>
        <v>5.8925506050903943E-2</v>
      </c>
      <c r="D40" s="448">
        <f>VLOOKUP(I3,Poverty_Child,26,FALSE)</f>
        <v>7.2617408043070833E-2</v>
      </c>
      <c r="E40" s="447">
        <f>VLOOKUP(K3,Poverty_AllAges,13,FALSE)</f>
        <v>7.2466232957629648E-2</v>
      </c>
      <c r="F40" s="448">
        <f>VLOOKUP(K3,Poverty_Child,26,FALSE)</f>
        <v>9.0973422945788876E-2</v>
      </c>
      <c r="G40" s="447">
        <f>'Poverty_All ages'!M4</f>
        <v>0.11118840014389482</v>
      </c>
      <c r="H40" s="454">
        <f>Poverty_Child!Z5</f>
        <v>0.14555376556266278</v>
      </c>
    </row>
    <row r="41" spans="2:8" ht="13.5" customHeight="1">
      <c r="B41" s="433">
        <v>2011</v>
      </c>
      <c r="C41" s="451">
        <f>VLOOKUP(I3,Poverty_AllAges,14,FALSE)</f>
        <v>6.7652399342249744E-2</v>
      </c>
      <c r="D41" s="452">
        <f>VLOOKUP(I3,Poverty_Child,27,FALSE)</f>
        <v>8.9207187298385601E-2</v>
      </c>
      <c r="E41" s="451">
        <f>VLOOKUP(K3,Poverty_AllAges,14,FALSE)</f>
        <v>7.6399225436204074E-2</v>
      </c>
      <c r="F41" s="452">
        <f>VLOOKUP(K3,Poverty_Child,27,FALSE)</f>
        <v>0.10121861724938444</v>
      </c>
      <c r="G41" s="451">
        <f>'Poverty_All ages'!N4</f>
        <v>0.11600000000000001</v>
      </c>
      <c r="H41" s="452">
        <f>Poverty_Child!AA5</f>
        <v>0.156</v>
      </c>
    </row>
    <row r="42" spans="2:8" ht="13.5" customHeight="1">
      <c r="B42" s="289" t="s">
        <v>1002</v>
      </c>
      <c r="C42" s="90"/>
    </row>
    <row r="43" spans="2:8" ht="13.5" customHeight="1">
      <c r="B43" s="1502" t="s">
        <v>1005</v>
      </c>
      <c r="C43" s="1504" t="str">
        <f>D3</f>
        <v>Fairfax Co./ Fairfax City/ Falls Church</v>
      </c>
      <c r="D43" s="1504"/>
      <c r="E43" s="1504" t="str">
        <f>K3</f>
        <v>Northern</v>
      </c>
      <c r="F43" s="1504" t="s">
        <v>9</v>
      </c>
      <c r="G43" s="1506"/>
      <c r="H43" s="1506"/>
    </row>
    <row r="44" spans="2:8" ht="13.5" customHeight="1">
      <c r="B44" s="1503"/>
      <c r="C44" s="1505"/>
      <c r="D44" s="1505"/>
      <c r="E44" s="1505"/>
      <c r="F44" s="1505"/>
      <c r="G44" s="1506"/>
      <c r="H44" s="1506"/>
    </row>
    <row r="45" spans="2:8" ht="13.5" customHeight="1">
      <c r="B45" s="1503"/>
      <c r="C45" s="466" t="s">
        <v>836</v>
      </c>
      <c r="D45" s="446" t="s">
        <v>1006</v>
      </c>
      <c r="E45" s="458" t="s">
        <v>1006</v>
      </c>
      <c r="F45" s="459" t="s">
        <v>1006</v>
      </c>
      <c r="G45" s="324"/>
      <c r="H45" s="324"/>
    </row>
    <row r="46" spans="2:8" ht="13.5" customHeight="1">
      <c r="B46" s="426">
        <v>2000</v>
      </c>
      <c r="C46" s="467">
        <f>VLOOKUP(I3,Employment,19,FALSE)</f>
        <v>60</v>
      </c>
      <c r="D46" s="454">
        <f>VLOOKUP($I$3,Employment,20,FALSE)</f>
        <v>2.4115755627009645E-2</v>
      </c>
      <c r="E46" s="461">
        <f>VLOOKUP(K3,Employment,20,FALSE)</f>
        <v>2.1842972317669983E-2</v>
      </c>
      <c r="F46" s="460">
        <f>Unemployment!D5</f>
        <v>2.2743347794679576E-2</v>
      </c>
      <c r="G46" s="325"/>
      <c r="H46" s="325"/>
    </row>
    <row r="47" spans="2:8" ht="13.5" customHeight="1">
      <c r="B47" s="427">
        <v>2001</v>
      </c>
      <c r="C47" s="468">
        <f>VLOOKUP(I3,Employment,22,FALSE)</f>
        <v>14355</v>
      </c>
      <c r="D47" s="455">
        <f>VLOOKUP($I$3,Employment,23,FALSE)</f>
        <v>2.5071257911724022E-2</v>
      </c>
      <c r="E47" s="463">
        <f>VLOOKUP($K$3,Employment,23,FALSE)</f>
        <v>2.5097361051548011E-2</v>
      </c>
      <c r="F47" s="462">
        <f>Unemployment!E5</f>
        <v>3.2187783912701044E-2</v>
      </c>
      <c r="G47" s="326"/>
      <c r="H47" s="325"/>
    </row>
    <row r="48" spans="2:8" ht="13.5" customHeight="1">
      <c r="B48" s="428">
        <v>2002</v>
      </c>
      <c r="C48" s="467">
        <f>VLOOKUP(I3,Employment,25,FALSE)</f>
        <v>19212</v>
      </c>
      <c r="D48" s="454">
        <f>VLOOKUP($I$3,Employment,26,FALSE)</f>
        <v>3.3457909420529626E-2</v>
      </c>
      <c r="E48" s="461">
        <f>VLOOKUP($K$3,Employment,26,FALSE)</f>
        <v>3.4157529216219347E-2</v>
      </c>
      <c r="F48" s="460">
        <f>Unemployment!F5</f>
        <v>4.1810282554885593E-2</v>
      </c>
      <c r="G48" s="326"/>
      <c r="H48" s="325"/>
    </row>
    <row r="49" spans="2:24" ht="13.5" customHeight="1">
      <c r="B49" s="427">
        <v>2003</v>
      </c>
      <c r="C49" s="468">
        <f>VLOOKUP(I3,Employment,28,FALSE)</f>
        <v>17595</v>
      </c>
      <c r="D49" s="455">
        <f>VLOOKUP($I$3,Employment,29,FALSE)</f>
        <v>3.0671264015172645E-2</v>
      </c>
      <c r="E49" s="463">
        <f>VLOOKUP($K$3,Employment,29,FALSE)</f>
        <v>3.2218112314505103E-2</v>
      </c>
      <c r="F49" s="462">
        <f>Unemployment!G5</f>
        <v>4.0951027325666245E-2</v>
      </c>
      <c r="G49" s="326"/>
      <c r="H49" s="325"/>
    </row>
    <row r="50" spans="2:24" ht="13.5" customHeight="1">
      <c r="B50" s="428">
        <v>2004</v>
      </c>
      <c r="C50" s="467">
        <f>VLOOKUP(I3,Employment,31,FALSE)</f>
        <v>15719</v>
      </c>
      <c r="D50" s="454">
        <f>VLOOKUP($I$3,Employment,32,FALSE)</f>
        <v>2.6978136364962577E-2</v>
      </c>
      <c r="E50" s="461">
        <f>VLOOKUP($K$3,Employment,32,FALSE)</f>
        <v>2.8120733230688783E-2</v>
      </c>
      <c r="F50" s="460">
        <f>Unemployment!H5</f>
        <v>3.6983564098822252E-2</v>
      </c>
      <c r="G50" s="326"/>
      <c r="H50" s="325"/>
    </row>
    <row r="51" spans="2:24" ht="13.5" customHeight="1">
      <c r="B51" s="427">
        <v>2005</v>
      </c>
      <c r="C51" s="468">
        <f>VLOOKUP(I3,Employment,34,FALSE)</f>
        <v>15034</v>
      </c>
      <c r="D51" s="455">
        <f>VLOOKUP($I$3,Employment,35,FALSE)</f>
        <v>2.5340650894356085E-2</v>
      </c>
      <c r="E51" s="463">
        <f>VLOOKUP($K$3,Employment,35,FALSE)</f>
        <v>2.6503664293188598E-2</v>
      </c>
      <c r="F51" s="462">
        <f>Unemployment!I5</f>
        <v>3.5006670478368591E-2</v>
      </c>
      <c r="G51" s="326"/>
      <c r="H51" s="325"/>
    </row>
    <row r="52" spans="2:24" ht="13.5" customHeight="1">
      <c r="B52" s="428">
        <v>2006</v>
      </c>
      <c r="C52" s="467">
        <f>VLOOKUP(I3,Employment,37,FALSE)</f>
        <v>13144</v>
      </c>
      <c r="D52" s="454">
        <f>VLOOKUP($I$3,Employment,38,FALSE)</f>
        <v>2.1827868062959385E-2</v>
      </c>
      <c r="E52" s="461">
        <f>VLOOKUP(K3,Employment,38,FALSE)</f>
        <v>2.315471133252801E-2</v>
      </c>
      <c r="F52" s="460">
        <f>Unemployment!J5</f>
        <v>3.0047576742774661E-2</v>
      </c>
      <c r="G52" s="326"/>
      <c r="H52" s="325"/>
    </row>
    <row r="53" spans="2:24" ht="13.5" customHeight="1">
      <c r="B53" s="427">
        <v>2007</v>
      </c>
      <c r="C53" s="468">
        <f>VLOOKUP(I3,Employment,40,FALSE)</f>
        <v>13105</v>
      </c>
      <c r="D53" s="455">
        <f>VLOOKUP($I$3,Employment,41,FALSE)</f>
        <v>2.1617136673748663E-2</v>
      </c>
      <c r="E53" s="463">
        <f>VLOOKUP($K$3,Employment,41,FALSE)</f>
        <v>2.3592388661050432E-2</v>
      </c>
      <c r="F53" s="462">
        <f>Unemployment!K5</f>
        <v>2.9970898696468237E-2</v>
      </c>
      <c r="G53" s="326"/>
      <c r="H53" s="325"/>
    </row>
    <row r="54" spans="2:24" ht="13.5" customHeight="1">
      <c r="B54" s="428">
        <v>2008</v>
      </c>
      <c r="C54" s="467">
        <f>VLOOKUP(I3,Employment,43,FALSE)</f>
        <v>17499</v>
      </c>
      <c r="D54" s="454">
        <f>VLOOKUP($I$3,Employment,44,FALSE)</f>
        <v>2.8507289323165694E-2</v>
      </c>
      <c r="E54" s="461">
        <f>VLOOKUP($K$3,Employment,44,FALSE)</f>
        <v>3.1751926851734683E-2</v>
      </c>
      <c r="F54" s="460">
        <f>Unemployment!L5</f>
        <v>3.9293121325249841E-2</v>
      </c>
      <c r="G54" s="326"/>
      <c r="H54" s="325"/>
    </row>
    <row r="55" spans="2:24" ht="13.5" customHeight="1">
      <c r="B55" s="427">
        <v>2009</v>
      </c>
      <c r="C55" s="468">
        <f>VLOOKUP(I3,Employment,46,FALSE)</f>
        <v>29546</v>
      </c>
      <c r="D55" s="455">
        <f>VLOOKUP($I$3,Employment,47,FALSE)</f>
        <v>4.7375248332822903E-2</v>
      </c>
      <c r="E55" s="463">
        <f>VLOOKUP($K$3,Employment,47,FALSE)</f>
        <v>5.2937712018661119E-2</v>
      </c>
      <c r="F55" s="462">
        <f>Unemployment!M5</f>
        <v>6.6504174435482052E-2</v>
      </c>
      <c r="G55" s="326"/>
      <c r="H55" s="325"/>
    </row>
    <row r="56" spans="2:24" ht="13.5" customHeight="1">
      <c r="B56" s="428">
        <v>2010</v>
      </c>
      <c r="C56" s="467">
        <f>VLOOKUP(I3,Employment,49,FALSE)</f>
        <v>30913</v>
      </c>
      <c r="D56" s="454">
        <f>VLOOKUP($I$3,Employment,50,FALSE)</f>
        <v>4.9474177817681902E-2</v>
      </c>
      <c r="E56" s="461">
        <f>VLOOKUP($K$3,Employment,50,FALSE)</f>
        <v>5.4895064290584474E-2</v>
      </c>
      <c r="F56" s="460">
        <f>Unemployment!N5</f>
        <v>6.9088302581042094E-2</v>
      </c>
      <c r="G56" s="326"/>
      <c r="H56" s="325"/>
    </row>
    <row r="57" spans="2:24" ht="13.5" customHeight="1">
      <c r="B57" s="427">
        <v>2011</v>
      </c>
      <c r="C57" s="468">
        <f>VLOOKUP(I3,Employment,52,FALSE)</f>
        <v>28869</v>
      </c>
      <c r="D57" s="455">
        <f>VLOOKUP($I$3,Employment,53,FALSE)</f>
        <v>4.3690069737033273E-2</v>
      </c>
      <c r="E57" s="463">
        <f>VLOOKUP($K$3,Employment,53,FALSE)</f>
        <v>4.9149237976582744E-2</v>
      </c>
      <c r="F57" s="462">
        <f>Unemployment!O5</f>
        <v>6.2429897166254779E-2</v>
      </c>
      <c r="G57" s="326"/>
      <c r="H57" s="324"/>
    </row>
    <row r="58" spans="2:24" ht="13.5" customHeight="1">
      <c r="B58" s="429" t="s">
        <v>1059</v>
      </c>
      <c r="C58" s="469">
        <f>VLOOKUP(I3,Employment,56,FALSE)</f>
        <v>27303.363636363636</v>
      </c>
      <c r="D58" s="470">
        <f>VLOOKUP($I$3,Employment,57,FALSE)</f>
        <v>4.0666898298158484E-2</v>
      </c>
      <c r="E58" s="465">
        <f>VLOOKUP($K$3,Employment,57,FALSE)</f>
        <v>4.5189958274933523E-2</v>
      </c>
      <c r="F58" s="464">
        <f>Unemployment!P5</f>
        <v>5.7201809277476895E-2</v>
      </c>
      <c r="G58" s="326"/>
      <c r="H58" s="324"/>
    </row>
    <row r="59" spans="2:24" ht="14.25" customHeight="1">
      <c r="B59" s="1493" t="s">
        <v>1060</v>
      </c>
      <c r="C59" s="1493"/>
      <c r="D59" s="1493"/>
      <c r="E59" s="1493"/>
      <c r="F59" s="1493"/>
    </row>
    <row r="60" spans="2:24" ht="13.5" customHeight="1">
      <c r="B60" s="1494"/>
      <c r="C60" s="1494"/>
      <c r="D60" s="1494"/>
      <c r="E60" s="1494"/>
      <c r="F60" s="1494"/>
    </row>
    <row r="61" spans="2:24" ht="13.5" customHeight="1">
      <c r="B61" s="289"/>
      <c r="C61" s="90"/>
    </row>
    <row r="62" spans="2:24" ht="13.5" customHeight="1">
      <c r="B62" s="1509" t="s">
        <v>1053</v>
      </c>
      <c r="C62" s="1510"/>
      <c r="D62" s="1565" t="s">
        <v>762</v>
      </c>
      <c r="E62" s="1546" t="s">
        <v>1021</v>
      </c>
      <c r="F62" s="1547"/>
      <c r="G62" s="1547"/>
      <c r="H62" s="1546" t="s">
        <v>961</v>
      </c>
      <c r="I62" s="1547"/>
      <c r="J62" s="1548"/>
      <c r="K62" s="1546" t="s">
        <v>963</v>
      </c>
      <c r="L62" s="1547"/>
      <c r="M62" s="1548"/>
      <c r="O62" s="78"/>
      <c r="P62" s="176"/>
      <c r="T62" s="75"/>
      <c r="U62" s="76"/>
      <c r="V62" s="76"/>
      <c r="W62" s="77"/>
      <c r="X62" s="76"/>
    </row>
    <row r="63" spans="2:24" ht="13.5" customHeight="1">
      <c r="B63" s="1509"/>
      <c r="C63" s="1510"/>
      <c r="D63" s="1565"/>
      <c r="E63" s="483" t="s">
        <v>2</v>
      </c>
      <c r="F63" s="484" t="s">
        <v>608</v>
      </c>
      <c r="G63" s="485" t="s">
        <v>609</v>
      </c>
      <c r="H63" s="483" t="s">
        <v>2</v>
      </c>
      <c r="I63" s="484" t="s">
        <v>608</v>
      </c>
      <c r="J63" s="486" t="s">
        <v>609</v>
      </c>
      <c r="K63" s="483" t="s">
        <v>2</v>
      </c>
      <c r="L63" s="484" t="s">
        <v>608</v>
      </c>
      <c r="M63" s="486" t="s">
        <v>609</v>
      </c>
      <c r="O63" s="78"/>
      <c r="P63" s="285"/>
      <c r="T63" s="75"/>
      <c r="U63" s="76"/>
      <c r="V63" s="76"/>
      <c r="W63" s="77"/>
      <c r="X63" s="76"/>
    </row>
    <row r="64" spans="2:24" ht="13.5" customHeight="1">
      <c r="B64" s="471" t="s">
        <v>962</v>
      </c>
      <c r="C64" s="357"/>
      <c r="D64" s="358"/>
      <c r="E64" s="359"/>
      <c r="F64" s="360"/>
      <c r="G64" s="361"/>
      <c r="H64" s="362"/>
      <c r="I64" s="363"/>
      <c r="J64" s="364"/>
      <c r="K64" s="362"/>
      <c r="L64" s="363"/>
      <c r="M64" s="364"/>
      <c r="O64" s="78"/>
      <c r="P64" s="277"/>
      <c r="T64" s="75"/>
      <c r="U64" s="76"/>
      <c r="V64" s="76"/>
      <c r="W64" s="77"/>
      <c r="X64" s="76"/>
    </row>
    <row r="65" spans="1:24" ht="13.5" customHeight="1">
      <c r="B65" s="472" t="s">
        <v>345</v>
      </c>
      <c r="C65" s="355"/>
      <c r="D65" s="346">
        <f>VLOOKUP($I$3,SNAP_Demo,16,FALSE)</f>
        <v>78793</v>
      </c>
      <c r="E65" s="346">
        <f>VLOOKUP($I$3,SNAP_Demo,5,FALSE)</f>
        <v>16178</v>
      </c>
      <c r="F65" s="265">
        <f>VLOOKUP($I$3,SNAP_Demo,6,FALSE)</f>
        <v>7027</v>
      </c>
      <c r="G65" s="266">
        <f>VLOOKUP($I$3,SNAP_Demo,7,FALSE)</f>
        <v>10212</v>
      </c>
      <c r="H65" s="346">
        <f>VLOOKUP($I$3,SNAP_Demo,9,FALSE)</f>
        <v>17612</v>
      </c>
      <c r="I65" s="265">
        <f>VLOOKUP($I$3,SNAP_Demo,10,FALSE)</f>
        <v>8262</v>
      </c>
      <c r="J65" s="266">
        <f>VLOOKUP($I$3,SNAP_Demo,11,FALSE)</f>
        <v>11687</v>
      </c>
      <c r="K65" s="350">
        <f>VLOOKUP($I$3,SNAP_Demo,13,FALSE)</f>
        <v>2305</v>
      </c>
      <c r="L65" s="328">
        <f>VLOOKUP($I$3,SNAP_Demo,14,FALSE)</f>
        <v>656</v>
      </c>
      <c r="M65" s="473">
        <f>VLOOKUP($I$3,SNAP_Demo,15,FALSE)</f>
        <v>4849</v>
      </c>
      <c r="O65" s="78"/>
      <c r="P65" s="165"/>
      <c r="R65" s="79"/>
      <c r="S65" s="79"/>
      <c r="T65" s="79"/>
      <c r="U65" s="79"/>
      <c r="V65" s="79"/>
      <c r="W65" s="79"/>
      <c r="X65" s="79"/>
    </row>
    <row r="66" spans="1:24" ht="13.5" customHeight="1">
      <c r="B66" s="472" t="s">
        <v>1026</v>
      </c>
      <c r="C66" s="355"/>
      <c r="D66" s="345">
        <f>VLOOKUP(I3,Medicaid_Demographics,19,FALSE)</f>
        <v>81349</v>
      </c>
      <c r="E66" s="346">
        <f>VLOOKUP(I3,Medicaid_Demographics,37,FALSE)</f>
        <v>32378</v>
      </c>
      <c r="F66" s="265">
        <f>VLOOKUP(I3,Medicaid_Demographics,38,FALSE)</f>
        <v>11268</v>
      </c>
      <c r="G66" s="266">
        <f>VLOOKUP(I3,Medicaid_Demographics,39,FALSE)</f>
        <v>14205</v>
      </c>
      <c r="H66" s="346">
        <f>VLOOKUP(I3,Medicaid_Demographics,34,FALSE)</f>
        <v>6335</v>
      </c>
      <c r="I66" s="265">
        <f>VLOOKUP(I3,Medicaid_Demographics,35,FALSE)</f>
        <v>3498</v>
      </c>
      <c r="J66" s="266">
        <f>VLOOKUP(I3,Medicaid_Demographics,36,FALSE)</f>
        <v>2593</v>
      </c>
      <c r="K66" s="350">
        <f>VLOOKUP(I3,Medicaid_Demographics,31,FALSE)</f>
        <v>4992</v>
      </c>
      <c r="L66" s="328">
        <f>VLOOKUP(I3,Medicaid_Demographics,32,FALSE)</f>
        <v>1024</v>
      </c>
      <c r="M66" s="473">
        <f>VLOOKUP(I3,Medicaid_Demographics,33,FALSE)</f>
        <v>5134</v>
      </c>
      <c r="O66" s="78"/>
      <c r="P66" s="165"/>
      <c r="T66" s="75"/>
      <c r="U66" s="76"/>
      <c r="V66" s="76"/>
      <c r="W66" s="77"/>
      <c r="X66" s="76"/>
    </row>
    <row r="67" spans="1:24" ht="13.5" customHeight="1">
      <c r="B67" s="472" t="s">
        <v>539</v>
      </c>
      <c r="C67" s="355"/>
      <c r="D67" s="345">
        <f>VLOOKUP($I$3,TANF_Demo,16,FALSE)</f>
        <v>8654</v>
      </c>
      <c r="E67" s="346">
        <f>VLOOKUP($I$3,TANF_Demo,5,FALSE)</f>
        <v>1837</v>
      </c>
      <c r="F67" s="265">
        <f>VLOOKUP($I$3,TANF_Demo,6,FALSE)</f>
        <v>1998</v>
      </c>
      <c r="G67" s="266">
        <f>VLOOKUP($I$3,TANF_Demo,7,FALSE)</f>
        <v>1417</v>
      </c>
      <c r="H67" s="346">
        <f>VLOOKUP($I$3,TANF_Demo,9,FALSE)</f>
        <v>1337</v>
      </c>
      <c r="I67" s="265">
        <f>VLOOKUP($I$3,TANF_Demo,10,FALSE)</f>
        <v>1206</v>
      </c>
      <c r="J67" s="266">
        <f>VLOOKUP($I$3,TANF_Demo,11,FALSE)</f>
        <v>839</v>
      </c>
      <c r="K67" s="350">
        <f>VLOOKUP($I$3,TANF_Demo,13,FALSE)</f>
        <v>5</v>
      </c>
      <c r="L67" s="328">
        <f>VLOOKUP($I$3,TANF_Demo,14,FALSE)</f>
        <v>8</v>
      </c>
      <c r="M67" s="473">
        <f>VLOOKUP($I$3,TANF_Demo,15,FALSE)</f>
        <v>7</v>
      </c>
      <c r="O67" s="78"/>
      <c r="P67" s="165"/>
      <c r="T67" s="75"/>
      <c r="U67" s="76"/>
      <c r="V67" s="76"/>
      <c r="W67" s="77"/>
      <c r="X67" s="76"/>
    </row>
    <row r="68" spans="1:24" ht="13.5" customHeight="1">
      <c r="B68" s="1534" t="s">
        <v>1046</v>
      </c>
      <c r="C68" s="1535"/>
      <c r="D68" s="365"/>
      <c r="E68" s="359"/>
      <c r="F68" s="360"/>
      <c r="G68" s="361"/>
      <c r="H68" s="359"/>
      <c r="I68" s="360"/>
      <c r="J68" s="361"/>
      <c r="K68" s="359"/>
      <c r="L68" s="360"/>
      <c r="M68" s="361"/>
      <c r="O68" s="78"/>
      <c r="P68" s="277"/>
      <c r="S68" s="80"/>
      <c r="T68" s="80"/>
      <c r="U68" s="80"/>
      <c r="V68" s="80"/>
      <c r="W68" s="80"/>
      <c r="X68" s="80"/>
    </row>
    <row r="69" spans="1:24" ht="13.5" customHeight="1">
      <c r="B69" s="472" t="s">
        <v>345</v>
      </c>
      <c r="C69" s="355"/>
      <c r="D69" s="356">
        <f>IF((D65/VLOOKUP($I$3,Pop_2011,5,FALSE))&gt;1,1,D65/VLOOKUP($I$3,Pop_2011,5,FALSE))</f>
        <v>6.9360523665659618E-2</v>
      </c>
      <c r="E69" s="347">
        <f>IF((E65/VLOOKUP($I$3,Pop_2011,10,FALSE))&gt;1,1,E65/VLOOKUP($I$3,Pop_2011,10,FALSE))</f>
        <v>8.819953659533869E-2</v>
      </c>
      <c r="F69" s="348">
        <f>IF((F65/VLOOKUP($I$3,Pop_2011,11,FALSE))&gt;1,1,F65/VLOOKUP($I$3,Pop_2011,11,FALSE))</f>
        <v>0.20831233510212552</v>
      </c>
      <c r="G69" s="349">
        <f>IF((G65/VLOOKUP($I$3,Pop_2011,12,FALSE))&gt;1,1,G65/VLOOKUP($I$3,Pop_2011,12,FALSE))</f>
        <v>0.18297796093889984</v>
      </c>
      <c r="H69" s="347">
        <f>IF((H65/VLOOKUP($I$3,Pop_2011,14,FALSE))&gt;1,1,H65/VLOOKUP($I$3,Pop_2011,14,FALSE))</f>
        <v>3.3862328063894664E-2</v>
      </c>
      <c r="I69" s="348">
        <f>IF((I65/VLOOKUP($I$3,Pop_2011,15,FALSE))&gt;1,1,I65/VLOOKUP($I$3,Pop_2011,15,FALSE))</f>
        <v>0.10806215339541697</v>
      </c>
      <c r="J69" s="349">
        <f>IF((J65/VLOOKUP($I$3,Pop_2011,16,FALSE))&gt;1,1,J65/VLOOKUP($I$3,Pop_2011,16,FALSE))</f>
        <v>7.7950229775427038E-2</v>
      </c>
      <c r="K69" s="351">
        <f>IF((K65/VLOOKUP($I$3,Pop_2011,18,FALSE))&gt;1,1,K65/VLOOKUP($I$3,Pop_2011,18,FALSE))</f>
        <v>2.5175298717752682E-2</v>
      </c>
      <c r="L69" s="329">
        <f>IF((L65/VLOOKUP($I$3,Pop_2011,19,FALSE))&gt;1,1,L65/VLOOKUP($I$3,Pop_2011,19,FALSE))</f>
        <v>9.571053399474759E-2</v>
      </c>
      <c r="M69" s="286">
        <f>IF((M65/VLOOKUP($I$3,Pop_2011,20,FALSE))&gt;1,1,M65/VLOOKUP($I$3,Pop_2011,20,FALSE))</f>
        <v>0.26759008884719387</v>
      </c>
      <c r="O69" s="78"/>
      <c r="P69" s="276"/>
    </row>
    <row r="70" spans="1:24" ht="13.5" customHeight="1">
      <c r="B70" s="472" t="s">
        <v>610</v>
      </c>
      <c r="C70" s="355"/>
      <c r="D70" s="356">
        <f>IF((D66/VLOOKUP($I$3,Pop_2011,5,FALSE))&gt;1,1,D66/VLOOKUP($I$3,Pop_2011,5,FALSE))</f>
        <v>7.161053951084162E-2</v>
      </c>
      <c r="E70" s="347">
        <f>IF((E66/VLOOKUP($I$3,Pop_2011,10,FALSE))&gt;1,1,E66/VLOOKUP($I$3,Pop_2011,10,FALSE))</f>
        <v>0.17651901322066241</v>
      </c>
      <c r="F70" s="348">
        <f>IF((F66/VLOOKUP($I$3,Pop_2011,11,FALSE))&gt;1,1,F66/VLOOKUP($I$3,Pop_2011,11,FALSE))</f>
        <v>0.33403492129368867</v>
      </c>
      <c r="G70" s="349">
        <f>IF((G66/VLOOKUP($I$3,Pop_2011,12,FALSE))&gt;1,1,G66/VLOOKUP($I$3,Pop_2011,12,FALSE))</f>
        <v>0.25452427880308187</v>
      </c>
      <c r="H70" s="347">
        <f>IF((H66/VLOOKUP($I$3,Pop_2011,14,FALSE))&gt;1,1,H66/VLOOKUP($I$3,Pop_2011,14,FALSE))</f>
        <v>1.2180209418849234E-2</v>
      </c>
      <c r="I70" s="348">
        <f>IF((I66/VLOOKUP($I$3,Pop_2011,15,FALSE))&gt;1,1,I66/VLOOKUP($I$3,Pop_2011,15,FALSE))</f>
        <v>4.5751804959715391E-2</v>
      </c>
      <c r="J70" s="349">
        <f>IF((J66/VLOOKUP($I$3,Pop_2011,16,FALSE))&gt;1,1,J66/VLOOKUP($I$3,Pop_2011,16,FALSE))</f>
        <v>1.7294852897037933E-2</v>
      </c>
      <c r="K70" s="351">
        <f>IF((K66/VLOOKUP($I$3,Pop_2011,18,FALSE))&gt;1,1,K66/VLOOKUP($I$3,Pop_2011,18,FALSE))</f>
        <v>5.4522816138404075E-2</v>
      </c>
      <c r="L70" s="329">
        <f>IF((L66/VLOOKUP($I$3,Pop_2011,19,FALSE))&gt;1,1,L66/VLOOKUP($I$3,Pop_2011,19,FALSE))</f>
        <v>0.14940180916253282</v>
      </c>
      <c r="M70" s="474">
        <f>IF((M66/VLOOKUP($I$3,Pop_2011,20,FALSE))&gt;1,1,M66/VLOOKUP($I$3,Pop_2011,20,FALSE))</f>
        <v>0.2833176976988025</v>
      </c>
      <c r="O70" s="78"/>
      <c r="P70" s="276"/>
    </row>
    <row r="71" spans="1:24" ht="13.5" customHeight="1">
      <c r="B71" s="429" t="s">
        <v>539</v>
      </c>
      <c r="C71" s="475"/>
      <c r="D71" s="476">
        <f>IF((D67/VLOOKUP($I$3,Pop_2011,5,FALSE))&gt;1,1,D67/VLOOKUP($I$3,Pop_2011,5,FALSE))</f>
        <v>7.61801139444644E-3</v>
      </c>
      <c r="E71" s="477">
        <f>IF((E67/VLOOKUP($I$3,Pop_2011,10,FALSE))&gt;1,1,E67/VLOOKUP($I$3,Pop_2011,10,FALSE))</f>
        <v>1.0014992503748125E-2</v>
      </c>
      <c r="F71" s="478">
        <f>IF((F67/VLOOKUP($I$3,Pop_2011,11,FALSE))&gt;1,1,F67/VLOOKUP($I$3,Pop_2011,11,FALSE))</f>
        <v>5.9229834286900068E-2</v>
      </c>
      <c r="G71" s="479">
        <f>IF((G67/VLOOKUP($I$3,Pop_2011,12,FALSE))&gt;1,1,G67/VLOOKUP($I$3,Pop_2011,12,FALSE))</f>
        <v>2.5389715104819924E-2</v>
      </c>
      <c r="H71" s="477">
        <f>IF((H67/VLOOKUP($I$3,Pop_2011,14,FALSE))&gt;1,1,H67/VLOOKUP($I$3,Pop_2011,14,FALSE))</f>
        <v>2.5706298331493963E-3</v>
      </c>
      <c r="I71" s="478">
        <f>IF((I67/VLOOKUP($I$3,Pop_2011,15,FALSE))&gt;1,1,I67/VLOOKUP($I$3,Pop_2011,15,FALSE))</f>
        <v>1.5773778382337553E-2</v>
      </c>
      <c r="J71" s="479">
        <f>IF((J67/VLOOKUP($I$3,Pop_2011,16,FALSE))&gt;1,1,J67/VLOOKUP($I$3,Pop_2011,16,FALSE))</f>
        <v>5.5959820981931448E-3</v>
      </c>
      <c r="K71" s="480">
        <f>IF((K67/VLOOKUP($I$3,Pop_2011,18,FALSE))&gt;1,1,K67/VLOOKUP($I$3,Pop_2011,18,FALSE))</f>
        <v>5.461019244631818E-5</v>
      </c>
      <c r="L71" s="481">
        <f>IF((L67/VLOOKUP($I$3,Pop_2011,19,FALSE))&gt;1,1,L67/VLOOKUP($I$3,Pop_2011,19,FALSE))</f>
        <v>1.1672016340822876E-3</v>
      </c>
      <c r="M71" s="482">
        <f>IF((M67/VLOOKUP($I$3,Pop_2011,20,FALSE))&gt;1,1,M67/VLOOKUP($I$3,Pop_2011,20,FALSE))</f>
        <v>3.8629214723249268E-4</v>
      </c>
      <c r="O71" s="78"/>
      <c r="P71" s="276"/>
    </row>
    <row r="72" spans="1:24" ht="13.5" customHeight="1">
      <c r="B72" s="1501" t="s">
        <v>1097</v>
      </c>
      <c r="C72" s="1501"/>
      <c r="D72" s="1501"/>
      <c r="E72" s="1501"/>
      <c r="F72" s="1501"/>
      <c r="G72" s="1501"/>
      <c r="H72" s="1501"/>
      <c r="I72" s="1501"/>
      <c r="J72" s="1501"/>
      <c r="K72" s="1501"/>
      <c r="L72" s="1501"/>
      <c r="M72" s="1501"/>
      <c r="N72" s="1501"/>
      <c r="O72" s="290"/>
      <c r="P72" s="276"/>
    </row>
    <row r="73" spans="1:24" ht="12" customHeight="1">
      <c r="B73" s="1501"/>
      <c r="C73" s="1501"/>
      <c r="D73" s="1501"/>
      <c r="E73" s="1501"/>
      <c r="F73" s="1501"/>
      <c r="G73" s="1501"/>
      <c r="H73" s="1501"/>
      <c r="I73" s="1501"/>
      <c r="J73" s="1501"/>
      <c r="K73" s="1501"/>
      <c r="L73" s="1501"/>
      <c r="M73" s="1501"/>
      <c r="N73" s="1501"/>
      <c r="O73" s="290"/>
      <c r="P73" s="276"/>
    </row>
    <row r="74" spans="1:24" ht="13.5" customHeight="1">
      <c r="B74" s="1501" t="s">
        <v>1047</v>
      </c>
      <c r="C74" s="1501"/>
      <c r="D74" s="1501"/>
      <c r="E74" s="1501"/>
      <c r="F74" s="1501"/>
      <c r="G74" s="1501"/>
      <c r="H74" s="1501"/>
      <c r="I74" s="1501"/>
      <c r="J74" s="1501"/>
      <c r="K74" s="1501"/>
      <c r="L74" s="1501"/>
      <c r="M74" s="1501"/>
      <c r="N74" s="1501"/>
      <c r="O74" s="290"/>
      <c r="P74" s="276"/>
    </row>
    <row r="75" spans="1:24" ht="13.5" customHeight="1">
      <c r="B75" s="1495" t="s">
        <v>1040</v>
      </c>
      <c r="C75" s="1496"/>
      <c r="D75" s="1538" t="s">
        <v>706</v>
      </c>
      <c r="E75" s="1539"/>
      <c r="F75" s="1539"/>
      <c r="G75" s="1540"/>
      <c r="K75" s="87"/>
      <c r="L75" s="87"/>
      <c r="M75" s="87"/>
      <c r="N75" s="87"/>
      <c r="O75" s="87"/>
      <c r="P75" s="87"/>
      <c r="Q75" s="87"/>
      <c r="R75" s="80"/>
    </row>
    <row r="76" spans="1:24" ht="13.5" customHeight="1">
      <c r="B76" s="1497"/>
      <c r="C76" s="1498"/>
      <c r="D76" s="1489" t="s">
        <v>345</v>
      </c>
      <c r="E76" s="1491" t="s">
        <v>539</v>
      </c>
      <c r="F76" s="1507" t="s">
        <v>1098</v>
      </c>
      <c r="G76" s="1621" t="s">
        <v>1062</v>
      </c>
      <c r="K76" s="87"/>
      <c r="L76" s="87"/>
      <c r="M76" s="87"/>
      <c r="N76" s="87"/>
      <c r="O76" s="87"/>
      <c r="P76" s="87"/>
      <c r="Q76" s="87"/>
      <c r="R76" s="80"/>
    </row>
    <row r="77" spans="1:24" ht="13.5" customHeight="1">
      <c r="B77" s="1499"/>
      <c r="C77" s="1500"/>
      <c r="D77" s="1490"/>
      <c r="E77" s="1492"/>
      <c r="F77" s="1508"/>
      <c r="G77" s="1622"/>
      <c r="K77" s="87"/>
      <c r="L77" s="87"/>
      <c r="M77" s="87"/>
      <c r="N77" s="87"/>
      <c r="O77" s="87"/>
      <c r="P77" s="87"/>
      <c r="Q77" s="87"/>
      <c r="R77" s="80"/>
    </row>
    <row r="78" spans="1:24" ht="13.5" customHeight="1">
      <c r="A78" s="133"/>
      <c r="B78" s="1532" t="s">
        <v>286</v>
      </c>
      <c r="C78" s="1533"/>
      <c r="D78" s="344">
        <f>VLOOKUP($I$3,snapcl,8,FALSE)</f>
        <v>46488</v>
      </c>
      <c r="E78" s="332">
        <f>VLOOKUP($I$3,TANFCL,8,FALSE)</f>
        <v>7822</v>
      </c>
      <c r="F78" s="368">
        <f>VLOOKUP(I3,MedicaidClientsSFY,4,FALSE)</f>
        <v>66499</v>
      </c>
      <c r="G78" s="420">
        <f>VLOOKUP(I3,BenefitRecip,4,FALSE)</f>
        <v>95151</v>
      </c>
      <c r="K78" s="87"/>
      <c r="L78" s="87"/>
      <c r="M78" s="87"/>
      <c r="N78" s="87"/>
      <c r="O78" s="87"/>
      <c r="P78" s="87"/>
      <c r="Q78" s="87"/>
      <c r="R78" s="80"/>
    </row>
    <row r="79" spans="1:24" ht="13.5" customHeight="1">
      <c r="A79" s="133"/>
      <c r="B79" s="1530" t="s">
        <v>607</v>
      </c>
      <c r="C79" s="1531"/>
      <c r="D79" s="366">
        <f>VLOOKUP($I$3,snapcl,9,FALSE)</f>
        <v>59949</v>
      </c>
      <c r="E79" s="367">
        <f>VLOOKUP($I$3,TANFCL,9,FALSE)</f>
        <v>8890</v>
      </c>
      <c r="F79" s="369">
        <f>VLOOKUP(I3,MedicaidClientsSFY,5,FALSE)</f>
        <v>76482</v>
      </c>
      <c r="G79" s="421">
        <f>VLOOKUP(I3,BenefitRecip,5,FALSE)</f>
        <v>111490</v>
      </c>
      <c r="K79" s="87"/>
      <c r="L79" s="87"/>
      <c r="M79" s="87"/>
      <c r="N79" s="87"/>
      <c r="O79" s="87"/>
      <c r="P79" s="87"/>
      <c r="Q79" s="87"/>
      <c r="R79" s="80"/>
    </row>
    <row r="80" spans="1:24" ht="13.5" customHeight="1">
      <c r="A80" s="133"/>
      <c r="B80" s="1532" t="s">
        <v>768</v>
      </c>
      <c r="C80" s="1533"/>
      <c r="D80" s="344">
        <f>VLOOKUP($I$3,snapcl,10,FALSE)</f>
        <v>70180</v>
      </c>
      <c r="E80" s="332">
        <f>VLOOKUP($I$3,TANFCL,10,FALSE)</f>
        <v>9227</v>
      </c>
      <c r="F80" s="368">
        <f>VLOOKUP(I3,MedicaidClientsSFY,6,FALSE)</f>
        <v>82225</v>
      </c>
      <c r="G80" s="420">
        <f>VLOOKUP(I3,BenefitRecip,6,FALSE)</f>
        <v>121522</v>
      </c>
      <c r="K80" s="87"/>
      <c r="L80" s="87"/>
      <c r="M80" s="87"/>
      <c r="N80" s="87"/>
      <c r="O80" s="87"/>
      <c r="P80" s="87"/>
      <c r="Q80" s="87"/>
      <c r="R80" s="80"/>
    </row>
    <row r="81" spans="1:25" ht="13.5" customHeight="1">
      <c r="A81" s="133"/>
      <c r="B81" s="1536">
        <v>2012</v>
      </c>
      <c r="C81" s="1537"/>
      <c r="D81" s="422">
        <f>VLOOKUP($I$3,snapcl,11,FALSE)</f>
        <v>78793</v>
      </c>
      <c r="E81" s="423">
        <f>VLOOKUP($I$3,TANFCL,11,FALSE)</f>
        <v>8654</v>
      </c>
      <c r="F81" s="424">
        <f>VLOOKUP(I3,MedicaidClientsSFY,7,FALSE)</f>
        <v>81349</v>
      </c>
      <c r="G81" s="425">
        <f>VLOOKUP(I3,BenefitRecip,7,FALSE)</f>
        <v>126600</v>
      </c>
      <c r="K81" s="87"/>
      <c r="L81" s="87"/>
      <c r="M81" s="87"/>
      <c r="N81" s="87"/>
      <c r="O81" s="87"/>
      <c r="P81" s="87"/>
      <c r="Q81" s="87"/>
      <c r="R81" s="80"/>
    </row>
    <row r="82" spans="1:25" ht="13.5" customHeight="1">
      <c r="B82" s="1493" t="s">
        <v>1100</v>
      </c>
      <c r="C82" s="1493"/>
      <c r="D82" s="1493"/>
      <c r="E82" s="1493"/>
      <c r="F82" s="1493"/>
      <c r="G82" s="1493"/>
      <c r="H82" s="1493"/>
      <c r="I82" s="126"/>
      <c r="J82" s="126"/>
      <c r="K82" s="87"/>
      <c r="L82" s="87"/>
      <c r="M82" s="87"/>
      <c r="N82" s="87"/>
      <c r="O82" s="87"/>
      <c r="P82" s="87"/>
      <c r="Q82" s="87"/>
      <c r="R82" s="80"/>
    </row>
    <row r="83" spans="1:25" ht="13.5" customHeight="1">
      <c r="B83" s="1493"/>
      <c r="C83" s="1493"/>
      <c r="D83" s="1493"/>
      <c r="E83" s="1493"/>
      <c r="F83" s="1493"/>
      <c r="G83" s="1493"/>
      <c r="H83" s="1493"/>
      <c r="I83" s="126"/>
      <c r="J83" s="126"/>
      <c r="K83" s="87"/>
      <c r="L83" s="87"/>
      <c r="M83" s="87"/>
      <c r="N83" s="87"/>
      <c r="O83" s="87"/>
      <c r="P83" s="87"/>
      <c r="Q83" s="87"/>
      <c r="R83" s="80"/>
    </row>
    <row r="84" spans="1:25" ht="13.5" customHeight="1">
      <c r="B84" s="1631" t="s">
        <v>1061</v>
      </c>
      <c r="C84" s="1632"/>
      <c r="D84" s="1632"/>
      <c r="E84" s="1568" t="s">
        <v>762</v>
      </c>
      <c r="F84" s="1584" t="s">
        <v>814</v>
      </c>
      <c r="G84" s="1585"/>
      <c r="H84" s="1586"/>
      <c r="J84" s="275"/>
      <c r="K84" s="275"/>
      <c r="L84" s="275"/>
      <c r="M84" s="78"/>
      <c r="N84" s="78"/>
      <c r="O84" s="85"/>
      <c r="P84" s="276"/>
    </row>
    <row r="85" spans="1:25" ht="13.5" customHeight="1">
      <c r="B85" s="1631"/>
      <c r="C85" s="1632"/>
      <c r="D85" s="1632"/>
      <c r="E85" s="1568"/>
      <c r="F85" s="487" t="s">
        <v>2</v>
      </c>
      <c r="G85" s="488" t="s">
        <v>608</v>
      </c>
      <c r="H85" s="489" t="s">
        <v>609</v>
      </c>
      <c r="J85" s="277"/>
      <c r="K85" s="277"/>
      <c r="L85" s="277"/>
      <c r="M85" s="277"/>
      <c r="N85" s="277"/>
      <c r="O85" s="277"/>
      <c r="P85" s="277"/>
      <c r="X85" s="81"/>
    </row>
    <row r="86" spans="1:25" ht="13.5" customHeight="1">
      <c r="B86" s="1582" t="s">
        <v>766</v>
      </c>
      <c r="C86" s="1583"/>
      <c r="D86" s="1583"/>
      <c r="E86" s="345">
        <f>VLOOKUP(I3,CPSInvestigations,4,FALSE)</f>
        <v>6718</v>
      </c>
      <c r="F86" s="346">
        <f>VLOOKUP(I3,CPSInvestigations,15,FALSE)</f>
        <v>4226</v>
      </c>
      <c r="G86" s="265">
        <f>VLOOKUP(I3,CPSInvestigations,16,FALSE)</f>
        <v>1395</v>
      </c>
      <c r="H86" s="419">
        <f>VLOOKUP(I3,CPSInvestigations,17,FALSE)</f>
        <v>773</v>
      </c>
      <c r="J86" s="279"/>
      <c r="K86" s="279"/>
      <c r="L86" s="277"/>
      <c r="M86" s="278"/>
      <c r="N86" s="277"/>
      <c r="O86" s="277"/>
      <c r="P86" s="165"/>
      <c r="T86" s="82"/>
      <c r="U86" s="81"/>
      <c r="V86" s="81"/>
      <c r="W86" s="81"/>
      <c r="X86" s="81"/>
    </row>
    <row r="87" spans="1:25" ht="13.5" customHeight="1">
      <c r="B87" s="1582" t="s">
        <v>1045</v>
      </c>
      <c r="C87" s="1583"/>
      <c r="D87" s="1583"/>
      <c r="E87" s="346">
        <f>VLOOKUP(I3,FC_DEMO_2012,4,FALSE)</f>
        <v>336</v>
      </c>
      <c r="F87" s="346">
        <f>VLOOKUP(I3,FC_DEMO_2012,5,FALSE)</f>
        <v>185</v>
      </c>
      <c r="G87" s="265">
        <f>VLOOKUP(I3,FC_DEMO_2012,6,FALSE)</f>
        <v>115</v>
      </c>
      <c r="H87" s="419">
        <f>VLOOKUP(I3,FC_DEMO_2012,7,FALSE)</f>
        <v>36</v>
      </c>
      <c r="J87" s="279"/>
      <c r="K87" s="279"/>
      <c r="L87" s="284"/>
      <c r="M87" s="278"/>
      <c r="N87" s="277"/>
      <c r="O87" s="277"/>
      <c r="P87" s="165"/>
      <c r="T87" s="82"/>
      <c r="U87" s="81"/>
      <c r="V87" s="81"/>
      <c r="W87" s="81"/>
      <c r="X87" s="81"/>
    </row>
    <row r="88" spans="1:25" ht="13.5" customHeight="1">
      <c r="B88" s="1633" t="s">
        <v>1001</v>
      </c>
      <c r="C88" s="1634"/>
      <c r="D88" s="1634"/>
      <c r="E88" s="417">
        <f>VLOOKUP(I3,AdoptionServices,4,FALSE)</f>
        <v>543</v>
      </c>
      <c r="F88" s="417">
        <f>VLOOKUP(I3,AdoptionServices,5,FALSE)</f>
        <v>226</v>
      </c>
      <c r="G88" s="417">
        <f>VLOOKUP(I3,AdoptionServices,6,FALSE)</f>
        <v>229</v>
      </c>
      <c r="H88" s="417">
        <f>VLOOKUP(I3,AdoptionServices,7,FALSE)</f>
        <v>88</v>
      </c>
      <c r="J88" s="273"/>
      <c r="K88" s="273"/>
      <c r="L88" s="277"/>
      <c r="M88" s="277"/>
      <c r="N88" s="277"/>
      <c r="O88" s="277"/>
      <c r="P88" s="165"/>
      <c r="T88" s="82"/>
      <c r="U88" s="81"/>
      <c r="V88" s="81"/>
      <c r="W88" s="81"/>
      <c r="X88" s="81"/>
    </row>
    <row r="89" spans="1:25" ht="13.5" customHeight="1">
      <c r="B89" s="1501" t="s">
        <v>1149</v>
      </c>
      <c r="C89" s="1501"/>
      <c r="D89" s="1501"/>
      <c r="E89" s="1501"/>
      <c r="F89" s="1501"/>
      <c r="G89" s="1501"/>
      <c r="H89" s="1501"/>
      <c r="I89" s="290"/>
      <c r="J89" s="273"/>
      <c r="K89" s="273"/>
      <c r="L89" s="277"/>
      <c r="M89" s="277"/>
      <c r="N89" s="277"/>
      <c r="O89" s="277"/>
      <c r="P89" s="165"/>
      <c r="T89" s="82"/>
      <c r="U89" s="81"/>
      <c r="V89" s="81"/>
      <c r="W89" s="81"/>
      <c r="X89" s="81"/>
    </row>
    <row r="90" spans="1:25" ht="13.5" customHeight="1">
      <c r="B90" s="1501"/>
      <c r="C90" s="1501"/>
      <c r="D90" s="1501"/>
      <c r="E90" s="1501"/>
      <c r="F90" s="1501"/>
      <c r="G90" s="1501"/>
      <c r="H90" s="1501"/>
      <c r="I90" s="290"/>
      <c r="J90" s="164"/>
      <c r="K90" s="164"/>
      <c r="L90" s="277"/>
      <c r="M90" s="277"/>
      <c r="N90" s="277"/>
      <c r="O90" s="277"/>
      <c r="P90" s="165"/>
      <c r="T90" s="82"/>
      <c r="U90" s="81"/>
      <c r="V90" s="81"/>
      <c r="W90" s="81"/>
      <c r="X90" s="81"/>
    </row>
    <row r="91" spans="1:25" ht="13.5" customHeight="1">
      <c r="B91" s="1587" t="s">
        <v>1041</v>
      </c>
      <c r="C91" s="1588"/>
      <c r="D91" s="1588"/>
      <c r="E91" s="1627" t="s">
        <v>762</v>
      </c>
      <c r="F91" s="1579" t="s">
        <v>1065</v>
      </c>
      <c r="G91" s="1580"/>
      <c r="H91" s="1591"/>
      <c r="I91" s="1579" t="s">
        <v>1066</v>
      </c>
      <c r="J91" s="1580"/>
      <c r="K91" s="1581"/>
      <c r="M91" s="277"/>
      <c r="N91" s="277"/>
      <c r="O91" s="277"/>
      <c r="P91" s="165"/>
      <c r="T91" s="82"/>
      <c r="U91" s="81"/>
      <c r="V91" s="81"/>
      <c r="W91" s="81"/>
      <c r="X91" s="81"/>
    </row>
    <row r="92" spans="1:25" ht="13.5" customHeight="1">
      <c r="B92" s="1589"/>
      <c r="C92" s="1590"/>
      <c r="D92" s="1590"/>
      <c r="E92" s="1628"/>
      <c r="F92" s="394" t="s">
        <v>2</v>
      </c>
      <c r="G92" s="395" t="s">
        <v>608</v>
      </c>
      <c r="H92" s="396" t="s">
        <v>609</v>
      </c>
      <c r="I92" s="394" t="s">
        <v>1064</v>
      </c>
      <c r="J92" s="395" t="s">
        <v>1082</v>
      </c>
      <c r="K92" s="414" t="s">
        <v>1084</v>
      </c>
      <c r="M92" s="277"/>
      <c r="N92" s="277"/>
      <c r="O92" s="277"/>
      <c r="P92" s="277"/>
      <c r="T92" s="82"/>
      <c r="U92" s="81"/>
      <c r="V92" s="81"/>
      <c r="W92" s="81"/>
      <c r="X92" s="81"/>
    </row>
    <row r="93" spans="1:25" ht="13.5" customHeight="1">
      <c r="B93" s="412" t="s">
        <v>959</v>
      </c>
      <c r="C93" s="273"/>
      <c r="D93" s="273"/>
      <c r="E93" s="345">
        <f>VLOOKUP(I3,APS_Reports,4,FALSE)</f>
        <v>1034</v>
      </c>
      <c r="F93" s="345">
        <f>VLOOKUP(I3,APS_Reports,5,FALSE)</f>
        <v>706</v>
      </c>
      <c r="G93" s="345">
        <f>VLOOKUP(I3,APS_Reports,6,FALSE)</f>
        <v>103</v>
      </c>
      <c r="H93" s="345">
        <f>VLOOKUP(I3,APS_Reports,7,FALSE)</f>
        <v>225</v>
      </c>
      <c r="I93" s="345">
        <f>VLOOKUP(I3,APS_Reports,8,FALSE)</f>
        <v>88</v>
      </c>
      <c r="J93" s="345">
        <f>VLOOKUP(I3,APS_Reports,9,FALSE)</f>
        <v>124</v>
      </c>
      <c r="K93" s="415">
        <f>VLOOKUP(I3,APS_Reports,10,FALSE)</f>
        <v>822</v>
      </c>
      <c r="M93" s="78"/>
      <c r="N93" s="78"/>
      <c r="O93" s="78"/>
      <c r="P93" s="165"/>
      <c r="T93" s="82"/>
      <c r="U93" s="81"/>
      <c r="V93" s="81"/>
      <c r="W93" s="81"/>
      <c r="X93" s="81"/>
    </row>
    <row r="94" spans="1:25" ht="13.5" customHeight="1">
      <c r="B94" s="413" t="s">
        <v>960</v>
      </c>
      <c r="C94" s="416"/>
      <c r="D94" s="416"/>
      <c r="E94" s="417">
        <f>VLOOKUP(I3,AuxGrant,4,FALSE)</f>
        <v>248</v>
      </c>
      <c r="F94" s="417">
        <f>VLOOKUP(I3,AuxGrant,5,FALSE)</f>
        <v>162</v>
      </c>
      <c r="G94" s="417">
        <f>VLOOKUP(I3,AuxGrant,6,FALSE)</f>
        <v>41</v>
      </c>
      <c r="H94" s="417">
        <f>VLOOKUP(I3,AuxGrant,7,FALSE)</f>
        <v>45</v>
      </c>
      <c r="I94" s="417">
        <f>VLOOKUP(I3,AuxGrant,8,FALSE)</f>
        <v>20</v>
      </c>
      <c r="J94" s="417">
        <f>VLOOKUP(I3,AuxGrant,9,FALSE)</f>
        <v>98</v>
      </c>
      <c r="K94" s="418">
        <f>VLOOKUP(I3,AuxGrant,10,FALSE)</f>
        <v>132</v>
      </c>
      <c r="M94" s="78"/>
      <c r="N94" s="78"/>
      <c r="O94" s="78"/>
      <c r="P94" s="165"/>
      <c r="T94" s="82"/>
      <c r="U94" s="81"/>
      <c r="V94" s="81"/>
      <c r="W94" s="81"/>
      <c r="X94" s="81"/>
    </row>
    <row r="95" spans="1:25" ht="13.5" customHeight="1">
      <c r="B95" s="1501" t="s">
        <v>1091</v>
      </c>
      <c r="C95" s="1501"/>
      <c r="D95" s="1501"/>
      <c r="E95" s="1501"/>
      <c r="F95" s="1501"/>
      <c r="G95" s="1501"/>
      <c r="H95" s="1501"/>
      <c r="I95" s="1501"/>
      <c r="J95" s="1501"/>
      <c r="K95" s="1501"/>
      <c r="L95" s="1501"/>
      <c r="M95" s="1501"/>
      <c r="N95" s="125"/>
      <c r="O95" s="125"/>
      <c r="P95" s="83"/>
      <c r="Q95" s="83"/>
      <c r="T95" s="82"/>
      <c r="U95" s="81"/>
      <c r="V95" s="81"/>
      <c r="W95" s="81"/>
      <c r="X95" s="81"/>
    </row>
    <row r="96" spans="1:25" ht="13.5" customHeight="1">
      <c r="G96" s="1597" t="s">
        <v>991</v>
      </c>
      <c r="H96" s="1598"/>
      <c r="I96" s="1598"/>
      <c r="J96" s="1566" t="s">
        <v>336</v>
      </c>
      <c r="K96" s="1619" t="s">
        <v>337</v>
      </c>
      <c r="L96" s="1623" t="s">
        <v>338</v>
      </c>
      <c r="M96" s="1625" t="s">
        <v>289</v>
      </c>
      <c r="N96" s="78"/>
      <c r="O96" s="83"/>
      <c r="T96" s="82"/>
      <c r="U96" s="92"/>
      <c r="V96" s="127"/>
      <c r="W96" s="80"/>
      <c r="X96" s="80"/>
      <c r="Y96" s="87"/>
    </row>
    <row r="97" spans="7:25" ht="13.5" customHeight="1">
      <c r="G97" s="1599"/>
      <c r="H97" s="1600"/>
      <c r="I97" s="1600"/>
      <c r="J97" s="1567"/>
      <c r="K97" s="1620"/>
      <c r="L97" s="1624"/>
      <c r="M97" s="1626"/>
      <c r="N97" s="78"/>
      <c r="O97" s="83"/>
      <c r="T97" s="82"/>
      <c r="U97" s="92"/>
      <c r="V97" s="127"/>
      <c r="W97" s="80"/>
      <c r="X97" s="80"/>
      <c r="Y97" s="87"/>
    </row>
    <row r="98" spans="7:25" ht="13.5" customHeight="1">
      <c r="G98" s="1521" t="s">
        <v>339</v>
      </c>
      <c r="H98" s="1522"/>
      <c r="I98" s="1522"/>
      <c r="J98" s="397"/>
      <c r="K98" s="398"/>
      <c r="L98" s="398"/>
      <c r="M98" s="490"/>
      <c r="N98" s="78"/>
      <c r="O98" s="83"/>
      <c r="T98" s="82"/>
      <c r="V98" s="87"/>
      <c r="W98" s="87"/>
      <c r="X98" s="87"/>
      <c r="Y98" s="87"/>
    </row>
    <row r="99" spans="7:25" ht="13.5" customHeight="1">
      <c r="G99" s="1610" t="s">
        <v>340</v>
      </c>
      <c r="H99" s="1611"/>
      <c r="I99" s="1611"/>
      <c r="J99" s="374">
        <f>VLOOKUP(I3,Eligibility_2011,4,FALSE)</f>
        <v>10808758.52</v>
      </c>
      <c r="K99" s="319">
        <f>VLOOKUP(I3,Eligibility_2011,5,FALSE)</f>
        <v>3095088.18</v>
      </c>
      <c r="L99" s="319">
        <f>VLOOKUP(I3,Eligibility_2011,6,FALSE)</f>
        <v>8204380.6699999999</v>
      </c>
      <c r="M99" s="491">
        <f>+L99+K99+J99</f>
        <v>22108227.369999997</v>
      </c>
      <c r="N99" s="78"/>
      <c r="O99" s="83"/>
      <c r="T99" s="82"/>
      <c r="V99" s="128"/>
      <c r="W99" s="80"/>
      <c r="X99" s="80"/>
      <c r="Y99" s="87"/>
    </row>
    <row r="100" spans="7:25" ht="13.5" customHeight="1">
      <c r="G100" s="1610" t="s">
        <v>341</v>
      </c>
      <c r="H100" s="1611"/>
      <c r="I100" s="1611"/>
      <c r="J100" s="374">
        <f>VLOOKUP(I3,Serv_Staff_2011,4,FALSE)</f>
        <v>9605554.8300000001</v>
      </c>
      <c r="K100" s="319">
        <f>VLOOKUP(I3,Serv_Staff_2011,5,FALSE)</f>
        <v>2621684.17</v>
      </c>
      <c r="L100" s="319">
        <f>VLOOKUP(I3,Serv_Staff_2011,6,FALSE)</f>
        <v>28390186.09</v>
      </c>
      <c r="M100" s="491">
        <f>+L100+K100+J100</f>
        <v>40617425.089999996</v>
      </c>
      <c r="N100" s="78"/>
      <c r="O100" s="83"/>
      <c r="T100" s="82"/>
      <c r="U100" s="81"/>
      <c r="V100" s="81"/>
      <c r="W100" s="81"/>
      <c r="X100" s="81"/>
    </row>
    <row r="101" spans="7:25" ht="13.5" customHeight="1">
      <c r="G101" s="1610" t="s">
        <v>342</v>
      </c>
      <c r="H101" s="1611"/>
      <c r="I101" s="1611"/>
      <c r="J101" s="374">
        <f>VLOOKUP(I3,OT_EXP_LASER_2011,4,FALSE)</f>
        <v>1326560.08</v>
      </c>
      <c r="K101" s="319">
        <f>VLOOKUP(I3,OT_EXP_LASER_2011,5,FALSE)</f>
        <v>0</v>
      </c>
      <c r="L101" s="319">
        <f>VLOOKUP(I3,OT_EXP_LASER_2011,6,FALSE)</f>
        <v>1326560.08</v>
      </c>
      <c r="M101" s="491">
        <f>+L101+K101+J101</f>
        <v>2653120.16</v>
      </c>
      <c r="P101" s="331"/>
      <c r="Q101" s="331"/>
      <c r="R101" s="317"/>
      <c r="S101" s="316"/>
      <c r="T101" s="82"/>
      <c r="U101" s="81"/>
      <c r="V101" s="81"/>
      <c r="W101" s="81"/>
      <c r="X101" s="81"/>
    </row>
    <row r="102" spans="7:25" ht="13.5" customHeight="1">
      <c r="G102" s="1563" t="s">
        <v>761</v>
      </c>
      <c r="H102" s="1564"/>
      <c r="I102" s="1564"/>
      <c r="J102" s="375">
        <f>+J101+J100+J99</f>
        <v>21740873.43</v>
      </c>
      <c r="K102" s="320">
        <f>+K101+K100+K99</f>
        <v>5716772.3499999996</v>
      </c>
      <c r="L102" s="320">
        <f>+L101+L100+L99</f>
        <v>37921126.840000004</v>
      </c>
      <c r="M102" s="492">
        <f>+M101+M100+M99</f>
        <v>65378772.619999997</v>
      </c>
      <c r="P102" s="331"/>
      <c r="Q102" s="331"/>
      <c r="R102" s="317"/>
      <c r="S102" s="316"/>
      <c r="T102" s="82"/>
    </row>
    <row r="103" spans="7:25" ht="13.5" customHeight="1">
      <c r="G103" s="1601" t="s">
        <v>760</v>
      </c>
      <c r="H103" s="1602"/>
      <c r="I103" s="1602"/>
      <c r="J103" s="399">
        <f>+J102/J115</f>
        <v>6.9126860014334782E-2</v>
      </c>
      <c r="K103" s="400">
        <f>+K102/K115</f>
        <v>2.3668151150008747E-2</v>
      </c>
      <c r="L103" s="400">
        <f>+L102/L115</f>
        <v>0.5364673952613277</v>
      </c>
      <c r="M103" s="493">
        <f>+M102/M115</f>
        <v>0.10431691513534767</v>
      </c>
      <c r="P103" s="331"/>
      <c r="Q103" s="331"/>
      <c r="R103" s="318"/>
      <c r="S103" s="316"/>
      <c r="T103" s="82"/>
    </row>
    <row r="104" spans="7:25" ht="13.5" customHeight="1">
      <c r="G104" s="1593" t="s">
        <v>343</v>
      </c>
      <c r="H104" s="1594"/>
      <c r="I104" s="1594"/>
      <c r="J104" s="403">
        <f>VLOOKUP(I3,CL_SERV_LASER_2011,4,FALSE)</f>
        <v>12722434.689999999</v>
      </c>
      <c r="K104" s="404">
        <f>VLOOKUP(I3,CL_SERV_LASER_2011,5,FALSE)</f>
        <v>5237207.1500000004</v>
      </c>
      <c r="L104" s="404">
        <f>VLOOKUP(I3,CL_SERV_LASER_2011,6,FALSE)</f>
        <v>12227657.720000001</v>
      </c>
      <c r="M104" s="494">
        <f>+L104+K104+J104</f>
        <v>30187299.560000002</v>
      </c>
      <c r="P104" s="331"/>
      <c r="Q104" s="331"/>
      <c r="R104" s="318"/>
      <c r="S104" s="316"/>
      <c r="T104" s="82"/>
      <c r="U104" s="81"/>
      <c r="V104" s="81" t="s">
        <v>825</v>
      </c>
      <c r="W104" s="81" t="s">
        <v>859</v>
      </c>
      <c r="X104" s="81"/>
    </row>
    <row r="105" spans="7:25" ht="13.5" customHeight="1">
      <c r="G105" s="1595" t="s">
        <v>857</v>
      </c>
      <c r="H105" s="1596"/>
      <c r="I105" s="1596"/>
      <c r="J105" s="405">
        <f>J104/J115</f>
        <v>4.0452006893319493E-2</v>
      </c>
      <c r="K105" s="405">
        <f>K104/K115</f>
        <v>2.168269135819385E-2</v>
      </c>
      <c r="L105" s="405">
        <f>L104/L115</f>
        <v>0.17298377537336559</v>
      </c>
      <c r="M105" s="495">
        <f>M104/M115</f>
        <v>4.8166183612362815E-2</v>
      </c>
      <c r="P105" s="330"/>
      <c r="Q105" s="330"/>
      <c r="T105" s="82"/>
      <c r="U105" s="81" t="s">
        <v>336</v>
      </c>
      <c r="V105" s="87">
        <f>J102/J115</f>
        <v>6.9126860014334782E-2</v>
      </c>
      <c r="W105" s="87">
        <f>(J104+J113)/J115</f>
        <v>0.93087313998566523</v>
      </c>
      <c r="X105" s="87"/>
      <c r="Y105" s="87"/>
    </row>
    <row r="106" spans="7:25" ht="13.5" customHeight="1">
      <c r="G106" s="1563" t="s">
        <v>842</v>
      </c>
      <c r="H106" s="1564"/>
      <c r="I106" s="1564"/>
      <c r="J106" s="401"/>
      <c r="K106" s="402"/>
      <c r="L106" s="402"/>
      <c r="M106" s="492"/>
      <c r="P106" s="330"/>
      <c r="Q106" s="330"/>
      <c r="T106" s="82"/>
      <c r="U106" s="81" t="s">
        <v>337</v>
      </c>
      <c r="V106" s="87">
        <f>K102/K115</f>
        <v>2.3668151150008747E-2</v>
      </c>
      <c r="W106" s="87">
        <f>(K104+K113)/K115</f>
        <v>0.97633184884999125</v>
      </c>
      <c r="X106" s="87"/>
      <c r="Y106" s="87"/>
    </row>
    <row r="107" spans="7:25" ht="13.5" customHeight="1">
      <c r="G107" s="1610" t="s">
        <v>344</v>
      </c>
      <c r="H107" s="1611"/>
      <c r="I107" s="1611"/>
      <c r="J107" s="374">
        <f>VLOOKUP(I3,Medicaid_LASER_2011,5,FALSE)</f>
        <v>202622400.51900002</v>
      </c>
      <c r="K107" s="319">
        <f>VLOOKUP(I3,Medicaid_LASER_2011,6,FALSE)</f>
        <v>196116445.34100002</v>
      </c>
      <c r="L107" s="319">
        <v>0</v>
      </c>
      <c r="M107" s="491">
        <f t="shared" ref="M107:M112" si="0">+L107+K107+J107</f>
        <v>398738845.86000001</v>
      </c>
      <c r="P107" s="330"/>
      <c r="Q107" s="330"/>
      <c r="T107" s="82"/>
      <c r="U107" s="81" t="s">
        <v>338</v>
      </c>
      <c r="V107" s="87">
        <f>L102/L115</f>
        <v>0.5364673952613277</v>
      </c>
      <c r="W107" s="87">
        <f>(L104+L113)/L115</f>
        <v>0.46353260473867214</v>
      </c>
      <c r="X107" s="87"/>
      <c r="Y107" s="87"/>
    </row>
    <row r="108" spans="7:25" ht="13.5" customHeight="1">
      <c r="G108" s="1610" t="s">
        <v>345</v>
      </c>
      <c r="H108" s="1611"/>
      <c r="I108" s="1611"/>
      <c r="J108" s="374">
        <f>VLOOKUP(I3,SNAP_LASER_2011,5,FALSE)</f>
        <v>70334606</v>
      </c>
      <c r="K108" s="319">
        <v>0</v>
      </c>
      <c r="L108" s="319">
        <v>0</v>
      </c>
      <c r="M108" s="491">
        <f t="shared" si="0"/>
        <v>70334606</v>
      </c>
      <c r="N108" s="78"/>
      <c r="O108" s="83"/>
      <c r="P108" s="83"/>
      <c r="Q108" s="83"/>
      <c r="T108" s="82"/>
      <c r="U108" s="81" t="s">
        <v>289</v>
      </c>
      <c r="V108" s="87">
        <f>M102/M115</f>
        <v>0.10431691513534767</v>
      </c>
      <c r="W108" s="87">
        <f>(M104+M113)/M115</f>
        <v>0.89568308486465231</v>
      </c>
      <c r="X108" s="87"/>
      <c r="Y108" s="87"/>
    </row>
    <row r="109" spans="7:25" ht="13.5" customHeight="1">
      <c r="G109" s="1610" t="s">
        <v>346</v>
      </c>
      <c r="H109" s="1611"/>
      <c r="I109" s="1611"/>
      <c r="J109" s="374">
        <f>VLOOKUP(I3,LIHEAP_LASER_2011,5,FALSE)</f>
        <v>705977.39</v>
      </c>
      <c r="K109" s="319">
        <v>0</v>
      </c>
      <c r="L109" s="319">
        <v>0</v>
      </c>
      <c r="M109" s="491">
        <f t="shared" si="0"/>
        <v>705977.39</v>
      </c>
      <c r="N109" s="78"/>
      <c r="O109" s="83"/>
      <c r="P109" s="83"/>
      <c r="Q109" s="83"/>
      <c r="T109" s="82"/>
      <c r="U109" s="81"/>
      <c r="V109" s="81"/>
      <c r="W109" s="81"/>
      <c r="X109" s="81"/>
    </row>
    <row r="110" spans="7:25" ht="13.5" customHeight="1">
      <c r="G110" s="1610" t="s">
        <v>347</v>
      </c>
      <c r="H110" s="1611"/>
      <c r="I110" s="1611"/>
      <c r="J110" s="374">
        <f>VLOOKUP(I3,FC_Adop_LASER_2011,4,FALSE)</f>
        <v>2921790.0700000003</v>
      </c>
      <c r="K110" s="319">
        <f>VLOOKUP(I3,FC_Adop_LASER_2011,5,FALSE)</f>
        <v>30301252.540000003</v>
      </c>
      <c r="L110" s="319">
        <f>VLOOKUP(I3,FC_Adop_LASER_2011,6,FALSE)</f>
        <v>19118685.919999998</v>
      </c>
      <c r="M110" s="491">
        <f t="shared" si="0"/>
        <v>52341728.530000001</v>
      </c>
      <c r="N110" s="78"/>
      <c r="O110" s="83"/>
      <c r="P110" s="83"/>
      <c r="Q110" s="83"/>
      <c r="T110" s="82"/>
      <c r="U110" s="81"/>
      <c r="V110" s="81"/>
      <c r="W110" s="81"/>
      <c r="X110" s="81"/>
    </row>
    <row r="111" spans="7:25" ht="13.5" customHeight="1">
      <c r="G111" s="1610" t="s">
        <v>539</v>
      </c>
      <c r="H111" s="1611"/>
      <c r="I111" s="1611"/>
      <c r="J111" s="374">
        <f>VLOOKUP(I3,TANF_LASER_2011,4,FALSE)</f>
        <v>3217615.1477999999</v>
      </c>
      <c r="K111" s="319">
        <f>VLOOKUP(I3,TANF_LASER_2011,5,FALSE)</f>
        <v>3155785.5422</v>
      </c>
      <c r="L111" s="319">
        <f>VLOOKUP(I3,TANF_LASER_2011,6,FALSE)</f>
        <v>38.92</v>
      </c>
      <c r="M111" s="491">
        <f t="shared" si="0"/>
        <v>6373439.6099999994</v>
      </c>
      <c r="N111" s="78"/>
      <c r="O111" s="83"/>
      <c r="P111" s="83"/>
      <c r="Q111" s="83"/>
      <c r="T111" s="82"/>
      <c r="U111" s="81"/>
      <c r="V111" s="81"/>
      <c r="W111" s="81"/>
      <c r="X111" s="81"/>
    </row>
    <row r="112" spans="7:25" ht="13.5" customHeight="1">
      <c r="G112" s="1610" t="s">
        <v>348</v>
      </c>
      <c r="H112" s="1611"/>
      <c r="I112" s="1611"/>
      <c r="J112" s="374">
        <f>VLOOKUP(I3,OT_BENE_LASER_2011,4,FALSE)</f>
        <v>241188</v>
      </c>
      <c r="K112" s="319">
        <f>VLOOKUP(I3,OT_BENE_LASER_2011,5,FALSE)</f>
        <v>1011147.92</v>
      </c>
      <c r="L112" s="319">
        <f>VLOOKUP(I3,OT_BENE_LASER_2011,6,FALSE)</f>
        <v>1419222.31</v>
      </c>
      <c r="M112" s="491">
        <f t="shared" si="0"/>
        <v>2671558.23</v>
      </c>
      <c r="N112" s="78"/>
      <c r="O112" s="83"/>
      <c r="P112" s="83"/>
      <c r="Q112" s="83"/>
      <c r="T112" s="82"/>
      <c r="U112" s="81"/>
      <c r="V112" s="81"/>
      <c r="W112" s="81"/>
      <c r="X112" s="81"/>
    </row>
    <row r="113" spans="2:25" ht="13.5" customHeight="1">
      <c r="G113" s="1563" t="s">
        <v>854</v>
      </c>
      <c r="H113" s="1564"/>
      <c r="I113" s="1564"/>
      <c r="J113" s="375">
        <f>SUM(J107:J112)</f>
        <v>280043577.12680006</v>
      </c>
      <c r="K113" s="375">
        <f>SUM(K107:K112)</f>
        <v>230584631.3432</v>
      </c>
      <c r="L113" s="375">
        <f>SUM(L107:L112)</f>
        <v>20537947.149999999</v>
      </c>
      <c r="M113" s="496">
        <f>SUM(M107:M112)</f>
        <v>531166155.62</v>
      </c>
      <c r="N113" s="78"/>
      <c r="O113" s="83"/>
      <c r="P113" s="83"/>
      <c r="Q113" s="83"/>
      <c r="T113" s="82"/>
      <c r="U113" s="81"/>
      <c r="V113" s="81"/>
      <c r="W113" s="81"/>
      <c r="X113" s="81"/>
    </row>
    <row r="114" spans="2:25" ht="13.5" customHeight="1">
      <c r="G114" s="1601" t="s">
        <v>855</v>
      </c>
      <c r="H114" s="1602"/>
      <c r="I114" s="1602"/>
      <c r="J114" s="406">
        <f>J113/J115</f>
        <v>0.89042113309234572</v>
      </c>
      <c r="K114" s="406">
        <f>K113/K115</f>
        <v>0.95464915749179735</v>
      </c>
      <c r="L114" s="406">
        <f>L113/L115</f>
        <v>0.29054882936530657</v>
      </c>
      <c r="M114" s="497">
        <f>M113/M115</f>
        <v>0.8475169012522894</v>
      </c>
      <c r="N114" s="78"/>
      <c r="O114" s="83"/>
      <c r="P114" s="83"/>
      <c r="Q114" s="83"/>
      <c r="T114" s="82"/>
      <c r="U114" s="81"/>
      <c r="V114" s="81"/>
      <c r="W114" s="81"/>
      <c r="X114" s="81"/>
    </row>
    <row r="115" spans="2:25" ht="13.5" customHeight="1">
      <c r="G115" s="1612" t="s">
        <v>856</v>
      </c>
      <c r="H115" s="1613"/>
      <c r="I115" s="1613"/>
      <c r="J115" s="407">
        <f>SUM(J107:J112)+J104+J102</f>
        <v>314506885.24680007</v>
      </c>
      <c r="K115" s="408">
        <f>SUM(K107:K112)+K104+K102</f>
        <v>241538610.8432</v>
      </c>
      <c r="L115" s="408">
        <f>SUM(L107:L112)+L104+L102</f>
        <v>70686731.710000008</v>
      </c>
      <c r="M115" s="498">
        <f>SUM(M107:M112)+M104+M102</f>
        <v>626732227.80000007</v>
      </c>
      <c r="N115" s="92"/>
      <c r="O115" s="92"/>
      <c r="P115" s="83"/>
      <c r="Q115" s="83"/>
      <c r="T115" s="82"/>
      <c r="U115" s="81"/>
      <c r="V115" s="81"/>
      <c r="W115" s="81"/>
      <c r="X115" s="81"/>
    </row>
    <row r="116" spans="2:25" ht="13.5" customHeight="1">
      <c r="G116" s="499" t="s">
        <v>858</v>
      </c>
      <c r="H116" s="500"/>
      <c r="I116" s="501"/>
      <c r="J116" s="502">
        <f>J115/$M115</f>
        <v>0.50182018938264028</v>
      </c>
      <c r="K116" s="503">
        <f>K115/$M115</f>
        <v>0.38539363404219051</v>
      </c>
      <c r="L116" s="503">
        <f>L115/$M115</f>
        <v>0.11278617657516925</v>
      </c>
      <c r="M116" s="504">
        <f>SUM(J116:L116)</f>
        <v>1</v>
      </c>
      <c r="N116" s="92"/>
      <c r="O116" s="92"/>
      <c r="Q116" s="83"/>
      <c r="T116" s="82"/>
      <c r="U116" s="81"/>
      <c r="V116" s="81"/>
      <c r="W116" s="81"/>
      <c r="X116" s="81"/>
    </row>
    <row r="117" spans="2:25" ht="13.5" customHeight="1">
      <c r="C117" s="91"/>
      <c r="D117" s="91"/>
      <c r="E117" s="133"/>
      <c r="F117" s="133"/>
      <c r="G117" s="91" t="s">
        <v>1153</v>
      </c>
      <c r="H117" s="133"/>
      <c r="N117" s="92"/>
      <c r="O117" s="92"/>
      <c r="P117" s="83"/>
      <c r="Q117" s="83"/>
      <c r="T117" s="82"/>
      <c r="U117" s="81"/>
      <c r="V117" s="81"/>
      <c r="W117" s="81"/>
      <c r="X117" s="81"/>
    </row>
    <row r="118" spans="2:25" ht="13.5" customHeight="1">
      <c r="C118" s="91"/>
      <c r="D118" s="91"/>
      <c r="E118" s="133"/>
      <c r="F118" s="133"/>
      <c r="G118" s="91"/>
      <c r="H118" s="133"/>
      <c r="N118" s="92"/>
      <c r="O118" s="92"/>
      <c r="P118" s="83"/>
      <c r="Q118" s="83"/>
      <c r="T118" s="82"/>
      <c r="U118" s="81"/>
      <c r="V118" s="81"/>
      <c r="W118" s="81"/>
      <c r="X118" s="81"/>
    </row>
    <row r="119" spans="2:25" ht="13.5" customHeight="1">
      <c r="B119" s="1614"/>
      <c r="C119" s="1614"/>
      <c r="D119" s="1614"/>
      <c r="E119" s="1592" t="s">
        <v>1023</v>
      </c>
      <c r="F119" s="1592"/>
      <c r="G119" s="91"/>
      <c r="H119" s="133"/>
      <c r="J119" s="1592" t="s">
        <v>1027</v>
      </c>
      <c r="K119" s="1592"/>
      <c r="N119" s="92"/>
      <c r="O119" s="92"/>
      <c r="P119" s="83"/>
      <c r="Q119" s="83"/>
      <c r="T119" s="82"/>
      <c r="U119" s="81"/>
      <c r="V119" s="81"/>
      <c r="W119" s="81"/>
      <c r="X119" s="81"/>
    </row>
    <row r="120" spans="2:25" ht="13.5" customHeight="1">
      <c r="B120" s="1614"/>
      <c r="C120" s="1614"/>
      <c r="D120" s="1614"/>
      <c r="E120" s="1592"/>
      <c r="F120" s="1592"/>
      <c r="G120" s="91"/>
      <c r="H120" s="133"/>
      <c r="J120" s="1592"/>
      <c r="K120" s="1592"/>
      <c r="N120" s="92"/>
      <c r="O120" s="92"/>
      <c r="P120" s="83"/>
      <c r="Q120" s="83"/>
      <c r="T120" s="82"/>
      <c r="U120" s="81"/>
      <c r="V120" s="81"/>
      <c r="W120" s="81"/>
      <c r="X120" s="81"/>
    </row>
    <row r="121" spans="2:25" ht="13.5" customHeight="1">
      <c r="B121" s="1614"/>
      <c r="C121" s="1614"/>
      <c r="D121" s="1614"/>
      <c r="E121" s="1592"/>
      <c r="F121" s="1592"/>
      <c r="G121" s="91"/>
      <c r="H121" s="133"/>
      <c r="J121" s="1592"/>
      <c r="K121" s="1592"/>
      <c r="N121" s="92"/>
      <c r="O121" s="92"/>
      <c r="P121" s="83"/>
      <c r="Q121" s="83"/>
      <c r="T121" s="82"/>
      <c r="U121" s="81"/>
      <c r="V121" s="81"/>
      <c r="W121" s="81"/>
      <c r="X121" s="81"/>
    </row>
    <row r="122" spans="2:25" ht="13.5" customHeight="1">
      <c r="B122" s="1614"/>
      <c r="C122" s="1614"/>
      <c r="D122" s="1614"/>
      <c r="E122" s="1592"/>
      <c r="F122" s="1592"/>
      <c r="G122" s="91"/>
      <c r="H122" s="133"/>
      <c r="J122" s="1592"/>
      <c r="K122" s="1592"/>
      <c r="N122" s="92"/>
      <c r="O122" s="92"/>
      <c r="P122" s="83"/>
      <c r="Q122" s="83"/>
      <c r="T122" s="82"/>
      <c r="U122" s="81"/>
      <c r="V122" s="81"/>
      <c r="W122" s="81"/>
      <c r="X122" s="81"/>
    </row>
    <row r="123" spans="2:25" ht="13.5" customHeight="1">
      <c r="C123" s="91"/>
      <c r="D123" s="91"/>
      <c r="E123" s="133"/>
      <c r="F123" s="133"/>
      <c r="G123" s="91"/>
      <c r="H123" s="133"/>
      <c r="N123" s="92"/>
      <c r="O123" s="92"/>
      <c r="P123" s="83"/>
      <c r="Q123" s="83"/>
      <c r="T123" s="82"/>
      <c r="U123" s="81"/>
      <c r="V123" s="81"/>
      <c r="W123" s="81"/>
      <c r="X123" s="81"/>
    </row>
    <row r="124" spans="2:25" ht="13.5" customHeight="1">
      <c r="B124" s="1569" t="s">
        <v>1042</v>
      </c>
      <c r="C124" s="1570"/>
      <c r="D124" s="1571"/>
      <c r="E124" s="1575" t="s">
        <v>939</v>
      </c>
      <c r="F124" s="1577" t="s">
        <v>940</v>
      </c>
      <c r="G124" s="1577" t="s">
        <v>941</v>
      </c>
      <c r="H124" s="1577" t="s">
        <v>942</v>
      </c>
      <c r="I124" s="1577" t="s">
        <v>946</v>
      </c>
      <c r="J124" s="1577" t="s">
        <v>314</v>
      </c>
      <c r="K124" s="1561" t="s">
        <v>833</v>
      </c>
      <c r="L124" s="1615" t="s">
        <v>807</v>
      </c>
      <c r="U124" s="161"/>
    </row>
    <row r="125" spans="2:25" ht="13.5" customHeight="1">
      <c r="B125" s="1572"/>
      <c r="C125" s="1573"/>
      <c r="D125" s="1574"/>
      <c r="E125" s="1576"/>
      <c r="F125" s="1578"/>
      <c r="G125" s="1578"/>
      <c r="H125" s="1578"/>
      <c r="I125" s="1578"/>
      <c r="J125" s="1578"/>
      <c r="K125" s="1562"/>
      <c r="L125" s="1616"/>
      <c r="U125" s="69"/>
      <c r="V125" s="69"/>
      <c r="W125" s="69"/>
      <c r="X125" s="69"/>
      <c r="Y125" s="69"/>
    </row>
    <row r="126" spans="2:25" ht="13.5" customHeight="1">
      <c r="B126" s="409" t="s">
        <v>992</v>
      </c>
      <c r="C126" s="181"/>
      <c r="D126" s="181"/>
      <c r="E126" s="291">
        <f>VLOOKUP($I$3,Positions,5,FALSE)</f>
        <v>213</v>
      </c>
      <c r="F126" s="292">
        <f>VLOOKUP($I$3,Positions,6,FALSE)</f>
        <v>79</v>
      </c>
      <c r="G126" s="292">
        <f>VLOOKUP($I$3,Positions,9,FALSE)</f>
        <v>244</v>
      </c>
      <c r="H126" s="292">
        <f>VLOOKUP($I$3,Positions,10,FALSE)</f>
        <v>86</v>
      </c>
      <c r="I126" s="292">
        <f>VLOOKUP($I$3,Positions,7,FALSE)</f>
        <v>148</v>
      </c>
      <c r="J126" s="292">
        <f>VLOOKUP($I$3,Positions,8,FALSE)</f>
        <v>115</v>
      </c>
      <c r="K126" s="293">
        <f>E126+F126+G126+H126+I126+J126</f>
        <v>885</v>
      </c>
      <c r="L126" s="410">
        <f>K126/K128</f>
        <v>0.91995841995841998</v>
      </c>
      <c r="U126" s="86"/>
      <c r="V126" s="86"/>
      <c r="W126" s="86"/>
      <c r="X126" s="86"/>
      <c r="Y126" s="86"/>
    </row>
    <row r="127" spans="2:25" ht="13.5" customHeight="1">
      <c r="B127" s="409" t="s">
        <v>993</v>
      </c>
      <c r="C127" s="181"/>
      <c r="D127" s="181"/>
      <c r="E127" s="291">
        <f>VLOOKUP($I$3,Positions,12,FALSE)</f>
        <v>26</v>
      </c>
      <c r="F127" s="292">
        <f>VLOOKUP($I$3,Positions,13,FALSE)</f>
        <v>0</v>
      </c>
      <c r="G127" s="292">
        <f>VLOOKUP($I$3,Positions,16,FALSE)</f>
        <v>21</v>
      </c>
      <c r="H127" s="292">
        <f>VLOOKUP($I$3,Positions,17,FALSE)</f>
        <v>5</v>
      </c>
      <c r="I127" s="292">
        <f>VLOOKUP($I$3,Positions,14,FALSE)</f>
        <v>9</v>
      </c>
      <c r="J127" s="292">
        <f>VLOOKUP($I$3,Positions,15,FALSE)</f>
        <v>16</v>
      </c>
      <c r="K127" s="293">
        <f>E127+F127+G127+H127+I127+J127</f>
        <v>77</v>
      </c>
      <c r="L127" s="411">
        <f>K127/K128</f>
        <v>8.0041580041580046E-2</v>
      </c>
      <c r="U127" s="86"/>
      <c r="V127" s="86"/>
      <c r="W127" s="86"/>
      <c r="X127" s="86"/>
      <c r="Y127" s="86"/>
    </row>
    <row r="128" spans="2:25" ht="13.5" customHeight="1">
      <c r="B128" s="409" t="s">
        <v>994</v>
      </c>
      <c r="C128" s="181"/>
      <c r="D128" s="181"/>
      <c r="E128" s="291">
        <f>+E127+E126</f>
        <v>239</v>
      </c>
      <c r="F128" s="292">
        <f t="shared" ref="F128:K128" si="1">+F127+F126</f>
        <v>79</v>
      </c>
      <c r="G128" s="292">
        <f t="shared" si="1"/>
        <v>265</v>
      </c>
      <c r="H128" s="292">
        <f t="shared" si="1"/>
        <v>91</v>
      </c>
      <c r="I128" s="292">
        <f t="shared" si="1"/>
        <v>157</v>
      </c>
      <c r="J128" s="292">
        <f t="shared" si="1"/>
        <v>131</v>
      </c>
      <c r="K128" s="293">
        <f t="shared" si="1"/>
        <v>962</v>
      </c>
      <c r="L128" s="410">
        <f>K128/K128</f>
        <v>1</v>
      </c>
      <c r="U128" s="86"/>
      <c r="V128" s="86"/>
      <c r="W128" s="86"/>
      <c r="X128" s="86"/>
      <c r="Y128" s="86"/>
    </row>
    <row r="129" spans="2:18" ht="13.5" customHeight="1">
      <c r="B129" s="1607" t="s">
        <v>826</v>
      </c>
      <c r="C129" s="1608"/>
      <c r="D129" s="1609"/>
      <c r="E129" s="370">
        <f t="shared" ref="E129:K129" si="2">IF(E128=0,"NA",(E127/E128))</f>
        <v>0.10878661087866109</v>
      </c>
      <c r="F129" s="371">
        <f t="shared" si="2"/>
        <v>0</v>
      </c>
      <c r="G129" s="371">
        <f t="shared" si="2"/>
        <v>7.9245283018867921E-2</v>
      </c>
      <c r="H129" s="371">
        <f t="shared" si="2"/>
        <v>5.4945054945054944E-2</v>
      </c>
      <c r="I129" s="371">
        <f t="shared" si="2"/>
        <v>5.7324840764331211E-2</v>
      </c>
      <c r="J129" s="371">
        <f t="shared" si="2"/>
        <v>0.12213740458015267</v>
      </c>
      <c r="K129" s="372">
        <f t="shared" si="2"/>
        <v>8.0041580041580046E-2</v>
      </c>
      <c r="L129" s="1629"/>
    </row>
    <row r="130" spans="2:18" ht="13.5" customHeight="1">
      <c r="B130" s="1607" t="s">
        <v>827</v>
      </c>
      <c r="C130" s="1608"/>
      <c r="D130" s="1609"/>
      <c r="E130" s="370">
        <f>Staffing!AD6</f>
        <v>0.18099819603126879</v>
      </c>
      <c r="F130" s="370">
        <f>Staffing!AE6</f>
        <v>0.11397058823529412</v>
      </c>
      <c r="G130" s="370">
        <f>Staffing!AF6</f>
        <v>0.21357466063348415</v>
      </c>
      <c r="H130" s="370">
        <f>Staffing!AG6</f>
        <v>0.11041009463722397</v>
      </c>
      <c r="I130" s="370">
        <f>Staffing!AH6</f>
        <v>0.22873900293255131</v>
      </c>
      <c r="J130" s="370">
        <f>Staffing!AI6</f>
        <v>0.30194805194805197</v>
      </c>
      <c r="K130" s="370">
        <f>Staffing!AJ6</f>
        <v>0.19689373832694387</v>
      </c>
      <c r="L130" s="1630"/>
      <c r="O130" s="87"/>
      <c r="P130" s="87"/>
      <c r="R130" s="80"/>
    </row>
    <row r="131" spans="2:18" ht="13.5" customHeight="1">
      <c r="B131" s="1617" t="s">
        <v>1152</v>
      </c>
      <c r="C131" s="1617"/>
      <c r="D131" s="1617"/>
      <c r="E131" s="1617"/>
      <c r="F131" s="1617"/>
      <c r="G131" s="1617"/>
      <c r="H131" s="1617"/>
      <c r="I131" s="1617"/>
      <c r="J131" s="1617"/>
      <c r="K131" s="1617"/>
      <c r="L131" s="1617"/>
      <c r="O131" s="87"/>
      <c r="P131" s="87"/>
      <c r="R131" s="80"/>
    </row>
    <row r="132" spans="2:18" ht="13.5" customHeight="1">
      <c r="B132" s="1514"/>
      <c r="C132" s="1514"/>
      <c r="D132" s="1514"/>
      <c r="E132" s="1514"/>
      <c r="F132" s="1514"/>
      <c r="G132" s="1514"/>
      <c r="H132" s="1514"/>
      <c r="I132" s="1514"/>
      <c r="J132" s="1514"/>
      <c r="K132" s="1514"/>
      <c r="L132" s="1514"/>
      <c r="O132" s="87"/>
      <c r="P132" s="87"/>
      <c r="R132" s="80"/>
    </row>
    <row r="133" spans="2:18">
      <c r="B133" s="70" t="s">
        <v>1052</v>
      </c>
      <c r="C133" s="70"/>
      <c r="D133" s="70"/>
      <c r="E133" s="70"/>
      <c r="F133" s="70"/>
      <c r="G133" s="70"/>
      <c r="H133" s="70"/>
    </row>
    <row r="134" spans="2:18" ht="24.75" customHeight="1">
      <c r="B134" s="1618" t="s">
        <v>749</v>
      </c>
      <c r="C134" s="1618"/>
      <c r="D134" s="1618"/>
      <c r="E134" s="1618"/>
      <c r="F134" s="1618"/>
      <c r="G134" s="1618"/>
      <c r="H134" s="1618"/>
      <c r="I134" s="1618"/>
      <c r="J134" s="1618"/>
      <c r="K134" s="1618"/>
      <c r="L134" s="1618"/>
      <c r="M134" s="1618"/>
      <c r="N134" s="1618"/>
      <c r="O134" s="507"/>
    </row>
    <row r="135" spans="2:18" ht="12" customHeight="1">
      <c r="B135" s="1618" t="s">
        <v>732</v>
      </c>
      <c r="C135" s="1618"/>
      <c r="D135" s="1618"/>
      <c r="E135" s="1618"/>
      <c r="F135" s="1618"/>
      <c r="G135" s="1618"/>
      <c r="H135" s="1618"/>
      <c r="I135" s="1618"/>
      <c r="J135" s="1618"/>
      <c r="K135" s="1618"/>
      <c r="L135" s="1618"/>
      <c r="M135" s="1618"/>
      <c r="N135" s="1618"/>
      <c r="O135" s="507"/>
    </row>
    <row r="136" spans="2:18" ht="12" customHeight="1">
      <c r="B136" s="1618"/>
      <c r="C136" s="1618"/>
      <c r="D136" s="1618"/>
      <c r="E136" s="1618"/>
      <c r="F136" s="1618"/>
      <c r="G136" s="1618"/>
      <c r="H136" s="1618"/>
      <c r="I136" s="1618"/>
      <c r="J136" s="1618"/>
      <c r="K136" s="1618"/>
      <c r="L136" s="1618"/>
      <c r="M136" s="1618"/>
      <c r="N136" s="1618"/>
      <c r="O136" s="507"/>
    </row>
    <row r="137" spans="2:18">
      <c r="B137" s="1605" t="s">
        <v>731</v>
      </c>
      <c r="C137" s="1605"/>
      <c r="D137" s="1605"/>
      <c r="E137" s="1605"/>
      <c r="F137" s="1605"/>
      <c r="G137" s="1605"/>
      <c r="H137" s="1605"/>
      <c r="I137" s="1606"/>
      <c r="J137" s="1606"/>
      <c r="K137" s="1606"/>
      <c r="L137" s="1606"/>
      <c r="M137" s="1606"/>
      <c r="N137" s="1606"/>
      <c r="O137" s="1606"/>
    </row>
    <row r="138" spans="2:18" ht="23.25" customHeight="1">
      <c r="B138" s="1605" t="s">
        <v>784</v>
      </c>
      <c r="C138" s="1605"/>
      <c r="D138" s="1605"/>
      <c r="E138" s="1605"/>
      <c r="F138" s="1605"/>
      <c r="G138" s="1605"/>
      <c r="H138" s="1605"/>
      <c r="I138" s="1605"/>
      <c r="J138" s="1605"/>
      <c r="K138" s="1605"/>
      <c r="L138" s="1605"/>
      <c r="M138" s="1605"/>
      <c r="N138" s="1605"/>
      <c r="O138" s="508"/>
    </row>
    <row r="139" spans="2:18">
      <c r="B139" s="131"/>
      <c r="C139" s="131"/>
      <c r="D139" s="131"/>
      <c r="E139" s="131"/>
      <c r="F139" s="131"/>
      <c r="G139" s="131"/>
      <c r="H139" s="131"/>
      <c r="I139" s="132"/>
      <c r="J139" s="132"/>
      <c r="K139" s="132"/>
      <c r="L139" s="132"/>
      <c r="M139" s="132"/>
      <c r="N139" s="132"/>
      <c r="O139" s="132"/>
    </row>
    <row r="140" spans="2:18">
      <c r="B140" s="70" t="s">
        <v>991</v>
      </c>
      <c r="C140" s="70"/>
      <c r="D140" s="70"/>
      <c r="E140" s="70"/>
      <c r="F140" s="70"/>
      <c r="G140" s="70"/>
      <c r="H140" s="70"/>
      <c r="I140" s="67"/>
      <c r="J140" s="67"/>
      <c r="K140" s="67"/>
      <c r="L140" s="67"/>
      <c r="M140" s="67"/>
    </row>
    <row r="141" spans="2:18">
      <c r="B141" s="66" t="s">
        <v>734</v>
      </c>
      <c r="I141" s="67"/>
      <c r="J141" s="67"/>
      <c r="K141" s="67"/>
      <c r="L141" s="67"/>
      <c r="M141" s="67"/>
    </row>
    <row r="142" spans="2:18" s="133" customFormat="1">
      <c r="B142" s="1604" t="s">
        <v>735</v>
      </c>
      <c r="C142" s="1604"/>
      <c r="D142" s="1604"/>
      <c r="E142" s="1604"/>
      <c r="F142" s="1604"/>
      <c r="G142" s="1604"/>
      <c r="H142" s="1604"/>
      <c r="I142" s="1604"/>
      <c r="J142" s="1604"/>
      <c r="K142" s="1604"/>
      <c r="L142" s="1604"/>
      <c r="M142" s="1604"/>
      <c r="N142" s="1604"/>
      <c r="O142" s="1604"/>
    </row>
    <row r="143" spans="2:18">
      <c r="B143" s="1604" t="s">
        <v>733</v>
      </c>
      <c r="C143" s="1604"/>
      <c r="D143" s="1604"/>
      <c r="E143" s="1604"/>
      <c r="F143" s="1604"/>
      <c r="G143" s="1604"/>
      <c r="H143" s="1604"/>
      <c r="I143" s="1604"/>
      <c r="J143" s="1604"/>
      <c r="K143" s="1604"/>
      <c r="L143" s="1604"/>
      <c r="M143" s="1604"/>
      <c r="N143" s="1604"/>
      <c r="O143" s="1604"/>
    </row>
    <row r="144" spans="2:18">
      <c r="B144" s="1604" t="s">
        <v>736</v>
      </c>
      <c r="C144" s="1604"/>
      <c r="D144" s="1604"/>
      <c r="E144" s="1604"/>
      <c r="F144" s="1604"/>
      <c r="G144" s="1604"/>
      <c r="H144" s="1604"/>
      <c r="I144" s="1604"/>
      <c r="J144" s="1604"/>
      <c r="K144" s="1604"/>
      <c r="L144" s="1604"/>
      <c r="M144" s="1604"/>
      <c r="N144" s="1604"/>
      <c r="O144" s="1604"/>
    </row>
    <row r="145" spans="2:15" ht="23.25" customHeight="1">
      <c r="B145" s="1604" t="s">
        <v>1145</v>
      </c>
      <c r="C145" s="1604"/>
      <c r="D145" s="1604"/>
      <c r="E145" s="1604"/>
      <c r="F145" s="1604"/>
      <c r="G145" s="1604"/>
      <c r="H145" s="1604"/>
      <c r="I145" s="1604"/>
      <c r="J145" s="1604"/>
      <c r="K145" s="1604"/>
      <c r="L145" s="1604"/>
      <c r="M145" s="1604"/>
      <c r="N145" s="1604"/>
      <c r="O145" s="1604"/>
    </row>
    <row r="146" spans="2:15">
      <c r="B146" s="1604" t="s">
        <v>738</v>
      </c>
      <c r="C146" s="1604"/>
      <c r="D146" s="1604"/>
      <c r="E146" s="1604"/>
      <c r="F146" s="1604"/>
      <c r="G146" s="1604"/>
      <c r="H146" s="1604"/>
      <c r="I146" s="1604"/>
      <c r="J146" s="1604"/>
      <c r="K146" s="1604"/>
      <c r="L146" s="1604"/>
      <c r="M146" s="1604"/>
      <c r="N146" s="1604"/>
      <c r="O146" s="1604"/>
    </row>
    <row r="147" spans="2:15">
      <c r="B147" s="1604" t="s">
        <v>737</v>
      </c>
      <c r="C147" s="1604"/>
      <c r="D147" s="1604"/>
      <c r="E147" s="1604"/>
      <c r="F147" s="1604"/>
      <c r="G147" s="1604"/>
      <c r="H147" s="1604"/>
      <c r="I147" s="1604"/>
      <c r="J147" s="1604"/>
      <c r="K147" s="1604"/>
      <c r="L147" s="1604"/>
      <c r="M147" s="1604"/>
      <c r="N147" s="1604"/>
      <c r="O147" s="1604"/>
    </row>
    <row r="148" spans="2:15">
      <c r="B148" s="1604" t="s">
        <v>739</v>
      </c>
      <c r="C148" s="1604"/>
      <c r="D148" s="1604"/>
      <c r="E148" s="1604"/>
      <c r="F148" s="1604"/>
      <c r="G148" s="1604"/>
      <c r="H148" s="1604"/>
      <c r="I148" s="1604"/>
      <c r="J148" s="1604"/>
      <c r="K148" s="1604"/>
      <c r="L148" s="1604"/>
      <c r="M148" s="1604"/>
      <c r="N148" s="1604"/>
      <c r="O148" s="1604"/>
    </row>
    <row r="149" spans="2:15">
      <c r="B149" s="1604" t="s">
        <v>740</v>
      </c>
      <c r="C149" s="1604"/>
      <c r="D149" s="1604"/>
      <c r="E149" s="1604"/>
      <c r="F149" s="1604"/>
      <c r="G149" s="1604"/>
      <c r="H149" s="1604"/>
      <c r="I149" s="1604"/>
      <c r="J149" s="1604"/>
      <c r="K149" s="1604"/>
      <c r="L149" s="1604"/>
      <c r="M149" s="1604"/>
      <c r="N149" s="1604"/>
      <c r="O149" s="1604"/>
    </row>
    <row r="150" spans="2:15">
      <c r="B150" s="1604" t="s">
        <v>741</v>
      </c>
      <c r="C150" s="1604"/>
      <c r="D150" s="1604"/>
      <c r="E150" s="1604"/>
      <c r="F150" s="1604"/>
      <c r="G150" s="1604"/>
      <c r="H150" s="1604"/>
      <c r="I150" s="1604"/>
      <c r="J150" s="1604"/>
      <c r="K150" s="1604"/>
      <c r="L150" s="1604"/>
      <c r="M150" s="1604"/>
      <c r="N150" s="1604"/>
      <c r="O150" s="1604"/>
    </row>
    <row r="151" spans="2:15">
      <c r="B151" s="1604" t="s">
        <v>742</v>
      </c>
      <c r="C151" s="1604"/>
      <c r="D151" s="1604"/>
      <c r="E151" s="1604"/>
      <c r="F151" s="1604"/>
      <c r="G151" s="1604"/>
      <c r="H151" s="1604"/>
      <c r="I151" s="1604"/>
      <c r="J151" s="1604"/>
      <c r="K151" s="1604"/>
      <c r="L151" s="1604"/>
      <c r="M151" s="1604"/>
      <c r="N151" s="1604"/>
      <c r="O151" s="1604"/>
    </row>
    <row r="152" spans="2:15">
      <c r="B152" s="70"/>
      <c r="C152" s="70"/>
      <c r="D152" s="70"/>
      <c r="E152" s="70"/>
      <c r="F152" s="70"/>
      <c r="G152" s="70"/>
      <c r="H152" s="70"/>
      <c r="I152" s="67"/>
      <c r="J152" s="67"/>
      <c r="K152" s="67"/>
      <c r="L152" s="67"/>
      <c r="M152" s="67"/>
    </row>
    <row r="157" spans="2:15" ht="12.75" customHeight="1">
      <c r="B157" s="269"/>
      <c r="C157" s="269"/>
      <c r="D157" s="269"/>
      <c r="E157" s="269"/>
      <c r="F157" s="269"/>
      <c r="G157" s="269"/>
      <c r="H157" s="269"/>
      <c r="I157" s="269"/>
      <c r="J157" s="269"/>
      <c r="K157" s="269"/>
      <c r="L157" s="271"/>
      <c r="M157" s="271"/>
      <c r="N157" s="271"/>
    </row>
    <row r="158" spans="2:15" ht="12.75" customHeight="1">
      <c r="B158" s="268"/>
      <c r="C158" s="268"/>
      <c r="D158" s="268"/>
      <c r="E158" s="268"/>
      <c r="F158" s="268"/>
      <c r="G158" s="268"/>
      <c r="H158" s="268"/>
      <c r="I158" s="269"/>
      <c r="J158" s="269"/>
      <c r="K158" s="269"/>
      <c r="L158" s="130"/>
      <c r="M158" s="130"/>
      <c r="N158" s="130"/>
    </row>
    <row r="159" spans="2:15">
      <c r="B159" s="269"/>
      <c r="C159" s="269"/>
      <c r="D159" s="268"/>
      <c r="E159" s="268"/>
      <c r="F159" s="268"/>
      <c r="G159" s="268"/>
      <c r="H159" s="268"/>
      <c r="I159" s="269"/>
      <c r="J159" s="268"/>
      <c r="K159" s="268"/>
      <c r="L159" s="268"/>
      <c r="M159" s="268"/>
      <c r="N159" s="268"/>
      <c r="O159" s="268"/>
    </row>
    <row r="160" spans="2:15">
      <c r="B160" s="68"/>
      <c r="L160" s="73"/>
      <c r="M160" s="73"/>
      <c r="N160" s="88"/>
      <c r="O160" s="88"/>
    </row>
    <row r="161" spans="2:25">
      <c r="B161" s="73"/>
      <c r="C161" s="73"/>
      <c r="D161" s="73"/>
      <c r="E161" s="73"/>
      <c r="F161" s="73"/>
      <c r="G161" s="73"/>
      <c r="H161" s="73"/>
      <c r="I161" s="89"/>
      <c r="J161" s="88"/>
      <c r="K161" s="88"/>
      <c r="L161" s="73"/>
      <c r="M161" s="73"/>
      <c r="N161" s="88"/>
      <c r="O161" s="88"/>
    </row>
    <row r="162" spans="2:25">
      <c r="B162" s="73"/>
      <c r="C162" s="73"/>
      <c r="D162" s="73"/>
      <c r="E162" s="73"/>
      <c r="F162" s="73"/>
      <c r="G162" s="73"/>
      <c r="H162" s="73"/>
      <c r="I162" s="89"/>
      <c r="J162" s="88"/>
      <c r="K162" s="88"/>
      <c r="L162" s="73"/>
      <c r="M162" s="73"/>
      <c r="N162" s="88"/>
      <c r="O162" s="88"/>
    </row>
    <row r="163" spans="2:25">
      <c r="B163" s="73"/>
      <c r="C163" s="73"/>
      <c r="D163" s="73"/>
      <c r="E163" s="73"/>
      <c r="F163" s="73"/>
      <c r="G163" s="73"/>
      <c r="H163" s="73"/>
      <c r="I163" s="89"/>
      <c r="J163" s="88"/>
      <c r="K163" s="88"/>
      <c r="L163" s="73"/>
      <c r="M163" s="73"/>
      <c r="N163" s="88"/>
      <c r="O163" s="88"/>
    </row>
    <row r="164" spans="2:25">
      <c r="B164" s="73"/>
      <c r="C164" s="73"/>
      <c r="D164" s="73"/>
      <c r="E164" s="73"/>
      <c r="F164" s="73"/>
      <c r="G164" s="73"/>
      <c r="H164" s="73"/>
      <c r="I164" s="89"/>
      <c r="J164" s="88"/>
      <c r="K164" s="88"/>
      <c r="L164" s="73"/>
      <c r="M164" s="73"/>
      <c r="N164" s="88"/>
      <c r="O164" s="88"/>
    </row>
    <row r="165" spans="2:25">
      <c r="B165" s="73"/>
      <c r="C165" s="73"/>
      <c r="D165" s="73"/>
      <c r="E165" s="73"/>
      <c r="F165" s="73"/>
      <c r="G165" s="73"/>
      <c r="H165" s="73"/>
      <c r="I165" s="89"/>
      <c r="J165" s="88"/>
      <c r="K165" s="88"/>
      <c r="L165" s="73"/>
      <c r="M165" s="73"/>
      <c r="N165" s="88"/>
      <c r="O165" s="88"/>
    </row>
    <row r="166" spans="2:25">
      <c r="B166" s="73"/>
      <c r="C166" s="73"/>
      <c r="D166" s="73"/>
      <c r="E166" s="73"/>
      <c r="F166" s="73"/>
      <c r="G166" s="73"/>
      <c r="H166" s="73"/>
      <c r="I166" s="89"/>
      <c r="J166" s="88"/>
      <c r="K166" s="88"/>
      <c r="L166" s="73"/>
      <c r="M166" s="73"/>
      <c r="N166" s="88"/>
      <c r="O166" s="88"/>
    </row>
    <row r="167" spans="2:25">
      <c r="B167" s="73"/>
      <c r="C167" s="73"/>
      <c r="D167" s="73"/>
      <c r="E167" s="73"/>
      <c r="F167" s="73"/>
      <c r="G167" s="73"/>
      <c r="H167" s="73"/>
      <c r="I167" s="89"/>
      <c r="J167" s="88"/>
      <c r="K167" s="88"/>
      <c r="L167" s="73"/>
      <c r="M167" s="73"/>
      <c r="N167" s="88"/>
      <c r="O167" s="88"/>
    </row>
    <row r="168" spans="2:25">
      <c r="B168" s="73"/>
      <c r="C168" s="73"/>
      <c r="D168" s="73"/>
      <c r="E168" s="73"/>
      <c r="F168" s="73"/>
      <c r="G168" s="73"/>
      <c r="H168" s="73"/>
      <c r="I168" s="89"/>
      <c r="J168" s="88"/>
      <c r="K168" s="88"/>
      <c r="L168" s="73"/>
      <c r="M168" s="73"/>
      <c r="N168" s="88"/>
      <c r="O168" s="88"/>
    </row>
    <row r="169" spans="2:25">
      <c r="B169" s="73"/>
      <c r="C169" s="73"/>
      <c r="D169" s="73"/>
      <c r="E169" s="73"/>
      <c r="F169" s="73"/>
      <c r="G169" s="73"/>
      <c r="H169" s="73"/>
      <c r="I169" s="89"/>
      <c r="J169" s="88"/>
      <c r="K169" s="88"/>
      <c r="L169" s="73"/>
      <c r="M169" s="73"/>
      <c r="N169" s="88"/>
      <c r="O169" s="88"/>
    </row>
    <row r="170" spans="2:25">
      <c r="B170" s="73"/>
      <c r="C170" s="73"/>
      <c r="D170" s="73"/>
      <c r="E170" s="73"/>
      <c r="F170" s="73"/>
      <c r="G170" s="73"/>
      <c r="H170" s="73"/>
      <c r="I170" s="89"/>
      <c r="J170" s="88"/>
      <c r="K170" s="88"/>
      <c r="L170" s="73"/>
      <c r="M170" s="73"/>
      <c r="N170" s="88"/>
      <c r="O170" s="88"/>
    </row>
    <row r="171" spans="2:25">
      <c r="B171" s="73"/>
      <c r="C171" s="73"/>
      <c r="D171" s="73"/>
      <c r="E171" s="73"/>
      <c r="F171" s="73"/>
      <c r="G171" s="73"/>
      <c r="H171" s="73"/>
      <c r="I171" s="89"/>
      <c r="J171" s="88"/>
      <c r="K171" s="88"/>
    </row>
    <row r="175" spans="2:25">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row>
    <row r="176" spans="2:25">
      <c r="B176" s="78"/>
      <c r="C176" s="78"/>
      <c r="D176" s="78"/>
      <c r="E176" s="78"/>
      <c r="F176" s="78"/>
      <c r="G176" s="78"/>
      <c r="H176" s="78"/>
      <c r="I176" s="78"/>
      <c r="J176" s="78"/>
      <c r="K176" s="78"/>
      <c r="L176" s="78"/>
      <c r="M176" s="78"/>
      <c r="N176" s="78"/>
      <c r="O176" s="78"/>
      <c r="P176" s="78"/>
      <c r="Q176" s="78"/>
      <c r="R176" s="78"/>
      <c r="S176" s="1603"/>
      <c r="T176" s="1603"/>
      <c r="U176" s="1603"/>
      <c r="V176" s="1603"/>
      <c r="W176" s="1603"/>
      <c r="X176" s="1603"/>
      <c r="Y176" s="1603"/>
    </row>
    <row r="177" spans="2:25">
      <c r="B177" s="78"/>
      <c r="C177" s="78"/>
      <c r="D177" s="78"/>
      <c r="E177" s="78"/>
      <c r="F177" s="78"/>
      <c r="G177" s="78"/>
      <c r="H177" s="78"/>
      <c r="I177" s="78"/>
      <c r="J177" s="78"/>
      <c r="K177" s="78"/>
      <c r="L177" s="78"/>
      <c r="M177" s="78"/>
      <c r="N177" s="78"/>
      <c r="O177" s="78"/>
      <c r="P177" s="78"/>
      <c r="Q177" s="78"/>
      <c r="R177" s="78"/>
      <c r="S177" s="1603"/>
      <c r="T177" s="1603"/>
      <c r="U177" s="1603"/>
      <c r="V177" s="129"/>
      <c r="W177" s="1603"/>
      <c r="X177" s="1603"/>
      <c r="Y177" s="1603"/>
    </row>
    <row r="178" spans="2:25">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row>
    <row r="179" spans="2:25">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row>
    <row r="180" spans="2:25">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row>
    <row r="181" spans="2:25">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row>
    <row r="182" spans="2:25">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row>
    <row r="183" spans="2:25">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row>
    <row r="184" spans="2:25">
      <c r="B184" s="78"/>
      <c r="C184" s="78"/>
      <c r="D184" s="78"/>
      <c r="E184" s="78"/>
      <c r="F184" s="78"/>
      <c r="G184" s="78"/>
      <c r="H184" s="78"/>
      <c r="I184" s="78"/>
      <c r="J184" s="78"/>
      <c r="K184" s="78"/>
      <c r="L184" s="78"/>
      <c r="M184" s="78"/>
      <c r="N184" s="78"/>
      <c r="O184" s="78"/>
      <c r="P184" s="78"/>
      <c r="Q184" s="78"/>
      <c r="R184" s="78"/>
      <c r="S184" s="78"/>
      <c r="T184" s="78"/>
      <c r="U184" s="78"/>
      <c r="V184" s="78"/>
      <c r="W184" s="83"/>
      <c r="X184" s="83"/>
      <c r="Y184" s="83"/>
    </row>
    <row r="185" spans="2:25">
      <c r="B185" s="78"/>
      <c r="C185" s="78"/>
      <c r="D185" s="78"/>
      <c r="E185" s="78"/>
      <c r="F185" s="78"/>
      <c r="G185" s="78"/>
      <c r="H185" s="78"/>
      <c r="I185" s="78"/>
      <c r="J185" s="78"/>
      <c r="K185" s="78"/>
      <c r="L185" s="78"/>
      <c r="M185" s="78"/>
      <c r="N185" s="78"/>
      <c r="O185" s="78"/>
      <c r="P185" s="78"/>
      <c r="Q185" s="78"/>
      <c r="R185" s="78"/>
      <c r="S185" s="78"/>
      <c r="T185" s="78"/>
      <c r="U185" s="78"/>
      <c r="V185" s="78"/>
      <c r="W185" s="83"/>
      <c r="X185" s="83"/>
      <c r="Y185" s="83"/>
    </row>
    <row r="186" spans="2:25">
      <c r="B186" s="78"/>
      <c r="C186" s="78"/>
      <c r="D186" s="78"/>
      <c r="E186" s="78"/>
      <c r="F186" s="78"/>
      <c r="G186" s="78"/>
      <c r="H186" s="78"/>
      <c r="I186" s="78"/>
      <c r="J186" s="78"/>
      <c r="K186" s="78"/>
      <c r="L186" s="78"/>
      <c r="M186" s="78"/>
      <c r="N186" s="78"/>
      <c r="O186" s="78"/>
      <c r="P186" s="78"/>
      <c r="Q186" s="78"/>
      <c r="R186" s="78"/>
      <c r="S186" s="78"/>
      <c r="T186" s="78"/>
      <c r="U186" s="78"/>
      <c r="V186" s="78"/>
      <c r="W186" s="83"/>
      <c r="X186" s="83"/>
      <c r="Y186" s="83"/>
    </row>
    <row r="187" spans="2:25">
      <c r="N187" s="78"/>
    </row>
    <row r="188" spans="2:25">
      <c r="I188" s="84"/>
      <c r="J188" s="84"/>
      <c r="K188" s="84"/>
      <c r="L188" s="84"/>
      <c r="M188" s="84"/>
      <c r="N188" s="84"/>
      <c r="O188" s="84"/>
      <c r="P188" s="84"/>
      <c r="Q188" s="84"/>
      <c r="R188" s="84"/>
      <c r="S188" s="84"/>
      <c r="T188" s="84"/>
      <c r="U188" s="84"/>
      <c r="V188" s="84"/>
      <c r="W188" s="84"/>
      <c r="X188" s="84"/>
      <c r="Y188" s="84"/>
    </row>
  </sheetData>
  <mergeCells count="125">
    <mergeCell ref="K96:K97"/>
    <mergeCell ref="B142:O142"/>
    <mergeCell ref="B143:O143"/>
    <mergeCell ref="B144:O144"/>
    <mergeCell ref="B138:N138"/>
    <mergeCell ref="B135:N136"/>
    <mergeCell ref="G76:G77"/>
    <mergeCell ref="L96:L97"/>
    <mergeCell ref="M96:M97"/>
    <mergeCell ref="G101:I101"/>
    <mergeCell ref="G102:I102"/>
    <mergeCell ref="E91:E92"/>
    <mergeCell ref="G99:I99"/>
    <mergeCell ref="G100:I100"/>
    <mergeCell ref="L129:L130"/>
    <mergeCell ref="G107:I107"/>
    <mergeCell ref="G108:I108"/>
    <mergeCell ref="G109:I109"/>
    <mergeCell ref="G110:I110"/>
    <mergeCell ref="G111:I111"/>
    <mergeCell ref="B84:D85"/>
    <mergeCell ref="B86:D86"/>
    <mergeCell ref="B88:D88"/>
    <mergeCell ref="B95:M95"/>
    <mergeCell ref="G103:I103"/>
    <mergeCell ref="W177:Y177"/>
    <mergeCell ref="S176:Y176"/>
    <mergeCell ref="B151:O151"/>
    <mergeCell ref="S177:U177"/>
    <mergeCell ref="B137:O137"/>
    <mergeCell ref="B129:D129"/>
    <mergeCell ref="B130:D130"/>
    <mergeCell ref="G112:I112"/>
    <mergeCell ref="G113:I113"/>
    <mergeCell ref="G114:I114"/>
    <mergeCell ref="G115:I115"/>
    <mergeCell ref="B119:D122"/>
    <mergeCell ref="L124:L125"/>
    <mergeCell ref="B131:L132"/>
    <mergeCell ref="B149:O149"/>
    <mergeCell ref="B148:O148"/>
    <mergeCell ref="B145:O145"/>
    <mergeCell ref="B150:O150"/>
    <mergeCell ref="B147:O147"/>
    <mergeCell ref="B146:O146"/>
    <mergeCell ref="B134:N134"/>
    <mergeCell ref="E119:F122"/>
    <mergeCell ref="J124:J125"/>
    <mergeCell ref="K124:K125"/>
    <mergeCell ref="G106:I106"/>
    <mergeCell ref="D62:D63"/>
    <mergeCell ref="K62:M62"/>
    <mergeCell ref="J96:J97"/>
    <mergeCell ref="E84:E85"/>
    <mergeCell ref="B124:D125"/>
    <mergeCell ref="E124:E125"/>
    <mergeCell ref="F124:F125"/>
    <mergeCell ref="G124:G125"/>
    <mergeCell ref="H124:H125"/>
    <mergeCell ref="I124:I125"/>
    <mergeCell ref="I91:K91"/>
    <mergeCell ref="B87:D87"/>
    <mergeCell ref="B74:N74"/>
    <mergeCell ref="B89:H90"/>
    <mergeCell ref="F84:H84"/>
    <mergeCell ref="B91:D92"/>
    <mergeCell ref="F91:H91"/>
    <mergeCell ref="B82:H83"/>
    <mergeCell ref="J119:K122"/>
    <mergeCell ref="G104:I104"/>
    <mergeCell ref="G105:I105"/>
    <mergeCell ref="G96:I97"/>
    <mergeCell ref="G98:I98"/>
    <mergeCell ref="B1:N1"/>
    <mergeCell ref="D3:G3"/>
    <mergeCell ref="B5:C5"/>
    <mergeCell ref="F5:G5"/>
    <mergeCell ref="B3:C3"/>
    <mergeCell ref="B79:C79"/>
    <mergeCell ref="B80:C80"/>
    <mergeCell ref="B68:C68"/>
    <mergeCell ref="B81:C81"/>
    <mergeCell ref="D75:G75"/>
    <mergeCell ref="J18:M20"/>
    <mergeCell ref="J21:M23"/>
    <mergeCell ref="I15:I17"/>
    <mergeCell ref="I18:I20"/>
    <mergeCell ref="I21:I23"/>
    <mergeCell ref="B78:C78"/>
    <mergeCell ref="E62:G62"/>
    <mergeCell ref="H62:J62"/>
    <mergeCell ref="B11:C13"/>
    <mergeCell ref="F11:F12"/>
    <mergeCell ref="D11:E12"/>
    <mergeCell ref="I12:I14"/>
    <mergeCell ref="J12:M14"/>
    <mergeCell ref="J15:M17"/>
    <mergeCell ref="G11:G12"/>
    <mergeCell ref="J24:M25"/>
    <mergeCell ref="J5:K5"/>
    <mergeCell ref="M5:N5"/>
    <mergeCell ref="B16:C16"/>
    <mergeCell ref="B17:C17"/>
    <mergeCell ref="B18:C18"/>
    <mergeCell ref="B20:C20"/>
    <mergeCell ref="B21:C21"/>
    <mergeCell ref="B22:C22"/>
    <mergeCell ref="B23:C23"/>
    <mergeCell ref="B24:G26"/>
    <mergeCell ref="B27:B29"/>
    <mergeCell ref="C27:D28"/>
    <mergeCell ref="E27:F28"/>
    <mergeCell ref="G27:H28"/>
    <mergeCell ref="D76:D77"/>
    <mergeCell ref="E76:E77"/>
    <mergeCell ref="B59:F60"/>
    <mergeCell ref="B75:C77"/>
    <mergeCell ref="B72:N73"/>
    <mergeCell ref="B43:B45"/>
    <mergeCell ref="C43:D44"/>
    <mergeCell ref="G43:H44"/>
    <mergeCell ref="E43:E44"/>
    <mergeCell ref="F43:F44"/>
    <mergeCell ref="F76:F77"/>
    <mergeCell ref="B62:C63"/>
  </mergeCells>
  <dataValidations count="1">
    <dataValidation type="list" allowBlank="1" showInputMessage="1" showErrorMessage="1" sqref="D3">
      <formula1>Locality</formula1>
    </dataValidation>
  </dataValidations>
  <printOptions horizontalCentered="1"/>
  <pageMargins left="0.25" right="0.25" top="0.5" bottom="0.5" header="0.3" footer="0.3"/>
  <pageSetup orientation="landscape" r:id="rId1"/>
  <headerFooter>
    <oddFooter>&amp;L&amp;"Cambria,Regular"&amp;9Compiled by the VDSS Office of Research and Planning.  For more information, contact Gail.Jennings@dss.virginia.gov.&amp;R&amp;"Cambria,Regular"&amp;9&amp;P of &amp;N</oddFooter>
  </headerFooter>
  <rowBreaks count="3" manualBreakCount="3">
    <brk id="42" max="16383" man="1"/>
    <brk id="61" max="16383" man="1"/>
    <brk id="95" max="16383" man="1"/>
  </rowBreaks>
  <drawing r:id="rId2"/>
</worksheet>
</file>

<file path=xl/worksheets/sheet10.xml><?xml version="1.0" encoding="utf-8"?>
<worksheet xmlns="http://schemas.openxmlformats.org/spreadsheetml/2006/main" xmlns:r="http://schemas.openxmlformats.org/officeDocument/2006/relationships">
  <dimension ref="A1:S137"/>
  <sheetViews>
    <sheetView workbookViewId="0">
      <pane ySplit="5" topLeftCell="A16" activePane="bottomLeft" state="frozen"/>
      <selection pane="bottomLeft" activeCell="A6" sqref="A6:IV6"/>
    </sheetView>
  </sheetViews>
  <sheetFormatPr defaultColWidth="14.375" defaultRowHeight="15.75"/>
  <cols>
    <col min="1" max="1" width="14.375" style="688"/>
    <col min="2" max="2" width="32.25" style="688" customWidth="1"/>
    <col min="3" max="3" width="19.5" style="688" customWidth="1"/>
    <col min="4" max="16384" width="14.375" style="688"/>
  </cols>
  <sheetData>
    <row r="1" spans="1:19">
      <c r="A1" s="263" t="s">
        <v>982</v>
      </c>
    </row>
    <row r="2" spans="1:19">
      <c r="B2" s="689"/>
      <c r="C2" s="689"/>
      <c r="D2" s="690"/>
      <c r="E2" s="690"/>
      <c r="F2" s="690"/>
      <c r="G2" s="690"/>
    </row>
    <row r="3" spans="1:19" ht="23.25" customHeight="1">
      <c r="A3" s="691"/>
      <c r="B3" s="692"/>
      <c r="C3" s="891"/>
      <c r="D3" s="1648" t="s">
        <v>814</v>
      </c>
      <c r="E3" s="1649"/>
      <c r="F3" s="1649"/>
      <c r="G3" s="1650"/>
      <c r="H3" s="1648" t="s">
        <v>964</v>
      </c>
      <c r="I3" s="1649"/>
      <c r="J3" s="1649"/>
      <c r="K3" s="1650"/>
      <c r="L3" s="1648" t="s">
        <v>965</v>
      </c>
      <c r="M3" s="1649"/>
      <c r="N3" s="1649"/>
      <c r="O3" s="1649"/>
      <c r="P3" s="693"/>
    </row>
    <row r="4" spans="1:19" ht="35.25" customHeight="1">
      <c r="A4" s="694" t="s">
        <v>4</v>
      </c>
      <c r="B4" s="692" t="s">
        <v>5</v>
      </c>
      <c r="C4" s="891" t="s">
        <v>252</v>
      </c>
      <c r="D4" s="695" t="s">
        <v>613</v>
      </c>
      <c r="E4" s="696" t="s">
        <v>2</v>
      </c>
      <c r="F4" s="696" t="s">
        <v>986</v>
      </c>
      <c r="G4" s="697" t="s">
        <v>1022</v>
      </c>
      <c r="H4" s="695" t="s">
        <v>769</v>
      </c>
      <c r="I4" s="696" t="s">
        <v>2</v>
      </c>
      <c r="J4" s="696" t="s">
        <v>986</v>
      </c>
      <c r="K4" s="697" t="s">
        <v>1022</v>
      </c>
      <c r="L4" s="695" t="s">
        <v>981</v>
      </c>
      <c r="M4" s="696" t="s">
        <v>2</v>
      </c>
      <c r="N4" s="696" t="s">
        <v>708</v>
      </c>
      <c r="O4" s="697" t="s">
        <v>609</v>
      </c>
      <c r="P4" s="698" t="s">
        <v>770</v>
      </c>
    </row>
    <row r="5" spans="1:19">
      <c r="A5" s="877" t="s">
        <v>8</v>
      </c>
      <c r="B5" s="878" t="s">
        <v>9</v>
      </c>
      <c r="C5" s="894"/>
      <c r="D5" s="880">
        <f>SUM(D6:D125)</f>
        <v>543156</v>
      </c>
      <c r="E5" s="880">
        <f t="shared" ref="E5:P5" si="0">SUM(E6:E125)</f>
        <v>225982</v>
      </c>
      <c r="F5" s="880">
        <f t="shared" si="0"/>
        <v>223897</v>
      </c>
      <c r="G5" s="880">
        <f t="shared" si="0"/>
        <v>93277</v>
      </c>
      <c r="H5" s="880">
        <f t="shared" si="0"/>
        <v>738237</v>
      </c>
      <c r="I5" s="880">
        <f t="shared" si="0"/>
        <v>341737</v>
      </c>
      <c r="J5" s="880">
        <f t="shared" si="0"/>
        <v>292134</v>
      </c>
      <c r="K5" s="880">
        <f t="shared" si="0"/>
        <v>104366</v>
      </c>
      <c r="L5" s="880">
        <f t="shared" si="0"/>
        <v>61867</v>
      </c>
      <c r="M5" s="880">
        <f t="shared" si="0"/>
        <v>25907</v>
      </c>
      <c r="N5" s="880">
        <f t="shared" si="0"/>
        <v>19987</v>
      </c>
      <c r="O5" s="880">
        <f t="shared" si="0"/>
        <v>15973</v>
      </c>
      <c r="P5" s="880">
        <f t="shared" si="0"/>
        <v>1343290</v>
      </c>
      <c r="Q5" s="699"/>
      <c r="R5" s="699"/>
      <c r="S5" s="700"/>
    </row>
    <row r="6" spans="1:19" s="890" customFormat="1">
      <c r="A6" s="892" t="s">
        <v>10</v>
      </c>
      <c r="B6" s="885" t="s">
        <v>11</v>
      </c>
      <c r="C6" s="875" t="s">
        <v>271</v>
      </c>
      <c r="D6" s="886">
        <v>4153</v>
      </c>
      <c r="E6" s="887">
        <v>2121</v>
      </c>
      <c r="F6" s="887">
        <v>1910</v>
      </c>
      <c r="G6" s="893">
        <f t="shared" ref="G6:G37" si="1">D6-E6-F6</f>
        <v>122</v>
      </c>
      <c r="H6" s="886">
        <v>5404</v>
      </c>
      <c r="I6" s="887">
        <v>2790</v>
      </c>
      <c r="J6" s="887">
        <v>2424</v>
      </c>
      <c r="K6" s="893">
        <f t="shared" ref="K6:K37" si="2">H6-I6-J6</f>
        <v>190</v>
      </c>
      <c r="L6" s="886">
        <v>488</v>
      </c>
      <c r="M6" s="887">
        <v>190</v>
      </c>
      <c r="N6" s="887">
        <v>264</v>
      </c>
      <c r="O6" s="893">
        <f t="shared" ref="O6:O37" si="3">L6-M6-N6</f>
        <v>34</v>
      </c>
      <c r="P6" s="888">
        <v>10046</v>
      </c>
      <c r="Q6" s="889"/>
    </row>
    <row r="7" spans="1:19" s="890" customFormat="1">
      <c r="A7" s="892" t="s">
        <v>12</v>
      </c>
      <c r="B7" s="885" t="s">
        <v>13</v>
      </c>
      <c r="C7" s="875" t="s">
        <v>272</v>
      </c>
      <c r="D7" s="886">
        <v>4301</v>
      </c>
      <c r="E7" s="887">
        <v>1949</v>
      </c>
      <c r="F7" s="887">
        <v>1234</v>
      </c>
      <c r="G7" s="893">
        <f t="shared" si="1"/>
        <v>1118</v>
      </c>
      <c r="H7" s="886">
        <v>5793</v>
      </c>
      <c r="I7" s="887">
        <v>2998</v>
      </c>
      <c r="J7" s="887">
        <v>1519</v>
      </c>
      <c r="K7" s="893">
        <f t="shared" si="2"/>
        <v>1276</v>
      </c>
      <c r="L7" s="886">
        <v>432</v>
      </c>
      <c r="M7" s="887">
        <v>247</v>
      </c>
      <c r="N7" s="887">
        <v>81</v>
      </c>
      <c r="O7" s="893">
        <f t="shared" si="3"/>
        <v>104</v>
      </c>
      <c r="P7" s="888">
        <v>10527</v>
      </c>
      <c r="Q7" s="889"/>
    </row>
    <row r="8" spans="1:19" s="890" customFormat="1">
      <c r="A8" s="892" t="s">
        <v>16</v>
      </c>
      <c r="B8" s="885" t="s">
        <v>307</v>
      </c>
      <c r="C8" s="875" t="s">
        <v>272</v>
      </c>
      <c r="D8" s="886">
        <v>2096</v>
      </c>
      <c r="E8" s="887">
        <v>1615</v>
      </c>
      <c r="F8" s="887">
        <v>209</v>
      </c>
      <c r="G8" s="893">
        <f t="shared" si="1"/>
        <v>272</v>
      </c>
      <c r="H8" s="886">
        <v>3063</v>
      </c>
      <c r="I8" s="887">
        <v>2636</v>
      </c>
      <c r="J8" s="887">
        <v>314</v>
      </c>
      <c r="K8" s="893">
        <f t="shared" si="2"/>
        <v>113</v>
      </c>
      <c r="L8" s="886">
        <v>254</v>
      </c>
      <c r="M8" s="887">
        <v>214</v>
      </c>
      <c r="N8" s="887">
        <v>32</v>
      </c>
      <c r="O8" s="893">
        <f t="shared" si="3"/>
        <v>8</v>
      </c>
      <c r="P8" s="888">
        <v>5413</v>
      </c>
      <c r="Q8" s="889"/>
    </row>
    <row r="9" spans="1:19" s="890" customFormat="1">
      <c r="A9" s="892" t="s">
        <v>18</v>
      </c>
      <c r="B9" s="885" t="s">
        <v>19</v>
      </c>
      <c r="C9" s="875" t="s">
        <v>273</v>
      </c>
      <c r="D9" s="886">
        <v>1182</v>
      </c>
      <c r="E9" s="887">
        <v>726</v>
      </c>
      <c r="F9" s="887">
        <v>374</v>
      </c>
      <c r="G9" s="893">
        <f t="shared" si="1"/>
        <v>82</v>
      </c>
      <c r="H9" s="886">
        <v>1743</v>
      </c>
      <c r="I9" s="887">
        <v>1102</v>
      </c>
      <c r="J9" s="887">
        <v>573</v>
      </c>
      <c r="K9" s="893">
        <f t="shared" si="2"/>
        <v>68</v>
      </c>
      <c r="L9" s="886">
        <v>171</v>
      </c>
      <c r="M9" s="887">
        <v>55</v>
      </c>
      <c r="N9" s="887">
        <v>102</v>
      </c>
      <c r="O9" s="893">
        <f t="shared" si="3"/>
        <v>14</v>
      </c>
      <c r="P9" s="888">
        <v>3096</v>
      </c>
      <c r="Q9" s="889"/>
    </row>
    <row r="10" spans="1:19" s="890" customFormat="1">
      <c r="A10" s="892" t="s">
        <v>20</v>
      </c>
      <c r="B10" s="885" t="s">
        <v>21</v>
      </c>
      <c r="C10" s="875" t="s">
        <v>272</v>
      </c>
      <c r="D10" s="886">
        <v>2374</v>
      </c>
      <c r="E10" s="887">
        <v>1398</v>
      </c>
      <c r="F10" s="887">
        <v>658</v>
      </c>
      <c r="G10" s="893">
        <f t="shared" si="1"/>
        <v>318</v>
      </c>
      <c r="H10" s="886">
        <v>3393</v>
      </c>
      <c r="I10" s="887">
        <v>2146</v>
      </c>
      <c r="J10" s="887">
        <v>928</v>
      </c>
      <c r="K10" s="893">
        <f t="shared" si="2"/>
        <v>319</v>
      </c>
      <c r="L10" s="886">
        <v>314</v>
      </c>
      <c r="M10" s="887">
        <v>145</v>
      </c>
      <c r="N10" s="887">
        <v>116</v>
      </c>
      <c r="O10" s="893">
        <f t="shared" si="3"/>
        <v>53</v>
      </c>
      <c r="P10" s="888">
        <v>6082</v>
      </c>
      <c r="Q10" s="889"/>
    </row>
    <row r="11" spans="1:19" s="890" customFormat="1">
      <c r="A11" s="892" t="s">
        <v>22</v>
      </c>
      <c r="B11" s="885" t="s">
        <v>23</v>
      </c>
      <c r="C11" s="875" t="s">
        <v>272</v>
      </c>
      <c r="D11" s="886">
        <v>1392</v>
      </c>
      <c r="E11" s="887">
        <v>818</v>
      </c>
      <c r="F11" s="887">
        <v>503</v>
      </c>
      <c r="G11" s="893">
        <f t="shared" si="1"/>
        <v>71</v>
      </c>
      <c r="H11" s="886">
        <v>2112</v>
      </c>
      <c r="I11" s="887">
        <v>1317</v>
      </c>
      <c r="J11" s="887">
        <v>767</v>
      </c>
      <c r="K11" s="893">
        <f t="shared" si="2"/>
        <v>28</v>
      </c>
      <c r="L11" s="886">
        <v>177</v>
      </c>
      <c r="M11" s="887">
        <v>89</v>
      </c>
      <c r="N11" s="887">
        <v>84</v>
      </c>
      <c r="O11" s="893">
        <f t="shared" si="3"/>
        <v>4</v>
      </c>
      <c r="P11" s="888">
        <v>3681</v>
      </c>
      <c r="Q11" s="889"/>
    </row>
    <row r="12" spans="1:19" s="890" customFormat="1">
      <c r="A12" s="892" t="s">
        <v>24</v>
      </c>
      <c r="B12" s="885" t="s">
        <v>25</v>
      </c>
      <c r="C12" s="875" t="s">
        <v>274</v>
      </c>
      <c r="D12" s="886">
        <v>4776</v>
      </c>
      <c r="E12" s="887">
        <v>2409</v>
      </c>
      <c r="F12" s="887">
        <v>1164</v>
      </c>
      <c r="G12" s="893">
        <f t="shared" si="1"/>
        <v>1203</v>
      </c>
      <c r="H12" s="886">
        <v>6620</v>
      </c>
      <c r="I12" s="887">
        <v>2923</v>
      </c>
      <c r="J12" s="887">
        <v>2017</v>
      </c>
      <c r="K12" s="893">
        <f t="shared" si="2"/>
        <v>1680</v>
      </c>
      <c r="L12" s="886">
        <v>1385</v>
      </c>
      <c r="M12" s="887">
        <v>477</v>
      </c>
      <c r="N12" s="887">
        <v>261</v>
      </c>
      <c r="O12" s="893">
        <f t="shared" si="3"/>
        <v>647</v>
      </c>
      <c r="P12" s="888">
        <v>12781</v>
      </c>
      <c r="Q12" s="889"/>
    </row>
    <row r="13" spans="1:19" s="890" customFormat="1">
      <c r="A13" s="892" t="s">
        <v>26</v>
      </c>
      <c r="B13" s="885" t="s">
        <v>908</v>
      </c>
      <c r="C13" s="875" t="s">
        <v>272</v>
      </c>
      <c r="D13" s="886">
        <v>9098</v>
      </c>
      <c r="E13" s="887">
        <v>6569</v>
      </c>
      <c r="F13" s="887">
        <v>1361</v>
      </c>
      <c r="G13" s="893">
        <f t="shared" si="1"/>
        <v>1168</v>
      </c>
      <c r="H13" s="886">
        <v>13376</v>
      </c>
      <c r="I13" s="887">
        <v>10220</v>
      </c>
      <c r="J13" s="887">
        <v>1838</v>
      </c>
      <c r="K13" s="893">
        <f t="shared" si="2"/>
        <v>1318</v>
      </c>
      <c r="L13" s="886">
        <v>911</v>
      </c>
      <c r="M13" s="887">
        <v>698</v>
      </c>
      <c r="N13" s="887">
        <v>95</v>
      </c>
      <c r="O13" s="893">
        <f t="shared" si="3"/>
        <v>118</v>
      </c>
      <c r="P13" s="888">
        <v>23385</v>
      </c>
      <c r="Q13" s="889"/>
    </row>
    <row r="14" spans="1:19" s="890" customFormat="1">
      <c r="A14" s="892" t="s">
        <v>27</v>
      </c>
      <c r="B14" s="885" t="s">
        <v>28</v>
      </c>
      <c r="C14" s="875" t="s">
        <v>272</v>
      </c>
      <c r="D14" s="886">
        <v>245</v>
      </c>
      <c r="E14" s="887">
        <v>217</v>
      </c>
      <c r="F14" s="887">
        <v>10</v>
      </c>
      <c r="G14" s="893">
        <f t="shared" si="1"/>
        <v>18</v>
      </c>
      <c r="H14" s="886">
        <v>385</v>
      </c>
      <c r="I14" s="887">
        <v>353</v>
      </c>
      <c r="J14" s="887">
        <v>22</v>
      </c>
      <c r="K14" s="893">
        <f t="shared" si="2"/>
        <v>10</v>
      </c>
      <c r="L14" s="886">
        <v>63</v>
      </c>
      <c r="M14" s="887">
        <v>54</v>
      </c>
      <c r="N14" s="887">
        <v>9</v>
      </c>
      <c r="O14" s="893">
        <f t="shared" si="3"/>
        <v>0</v>
      </c>
      <c r="P14" s="888">
        <v>693</v>
      </c>
      <c r="Q14" s="889"/>
    </row>
    <row r="15" spans="1:19" s="890" customFormat="1">
      <c r="A15" s="892" t="s">
        <v>29</v>
      </c>
      <c r="B15" s="885" t="s">
        <v>309</v>
      </c>
      <c r="C15" s="875" t="s">
        <v>272</v>
      </c>
      <c r="D15" s="886">
        <v>4196</v>
      </c>
      <c r="E15" s="887">
        <v>3145</v>
      </c>
      <c r="F15" s="887">
        <v>633</v>
      </c>
      <c r="G15" s="893">
        <f t="shared" si="1"/>
        <v>418</v>
      </c>
      <c r="H15" s="886">
        <v>6097</v>
      </c>
      <c r="I15" s="887">
        <v>4575</v>
      </c>
      <c r="J15" s="887">
        <v>908</v>
      </c>
      <c r="K15" s="893">
        <f t="shared" si="2"/>
        <v>614</v>
      </c>
      <c r="L15" s="886">
        <v>424</v>
      </c>
      <c r="M15" s="887">
        <v>282</v>
      </c>
      <c r="N15" s="887">
        <v>72</v>
      </c>
      <c r="O15" s="893">
        <f t="shared" si="3"/>
        <v>70</v>
      </c>
      <c r="P15" s="888">
        <v>10717</v>
      </c>
      <c r="Q15" s="889"/>
    </row>
    <row r="16" spans="1:19" s="890" customFormat="1">
      <c r="A16" s="892" t="s">
        <v>31</v>
      </c>
      <c r="B16" s="885" t="s">
        <v>32</v>
      </c>
      <c r="C16" s="875" t="s">
        <v>275</v>
      </c>
      <c r="D16" s="886">
        <v>330</v>
      </c>
      <c r="E16" s="887">
        <v>287</v>
      </c>
      <c r="F16" s="887">
        <v>9</v>
      </c>
      <c r="G16" s="893">
        <f t="shared" si="1"/>
        <v>34</v>
      </c>
      <c r="H16" s="886">
        <v>558</v>
      </c>
      <c r="I16" s="887">
        <v>481</v>
      </c>
      <c r="J16" s="887">
        <v>6</v>
      </c>
      <c r="K16" s="893">
        <f t="shared" si="2"/>
        <v>71</v>
      </c>
      <c r="L16" s="886">
        <v>65</v>
      </c>
      <c r="M16" s="887">
        <v>52</v>
      </c>
      <c r="N16" s="887">
        <v>2</v>
      </c>
      <c r="O16" s="893">
        <f t="shared" si="3"/>
        <v>11</v>
      </c>
      <c r="P16" s="888">
        <v>953</v>
      </c>
      <c r="Q16" s="889"/>
    </row>
    <row r="17" spans="1:17" s="890" customFormat="1">
      <c r="A17" s="892" t="s">
        <v>33</v>
      </c>
      <c r="B17" s="885" t="s">
        <v>34</v>
      </c>
      <c r="C17" s="875" t="s">
        <v>272</v>
      </c>
      <c r="D17" s="886">
        <v>1086</v>
      </c>
      <c r="E17" s="887">
        <v>909</v>
      </c>
      <c r="F17" s="887">
        <v>53</v>
      </c>
      <c r="G17" s="893">
        <f t="shared" si="1"/>
        <v>124</v>
      </c>
      <c r="H17" s="886">
        <v>1553</v>
      </c>
      <c r="I17" s="887">
        <v>1371</v>
      </c>
      <c r="J17" s="887">
        <v>63</v>
      </c>
      <c r="K17" s="893">
        <f t="shared" si="2"/>
        <v>119</v>
      </c>
      <c r="L17" s="886">
        <v>125</v>
      </c>
      <c r="M17" s="887">
        <v>106</v>
      </c>
      <c r="N17" s="887">
        <v>12</v>
      </c>
      <c r="O17" s="893">
        <f t="shared" si="3"/>
        <v>7</v>
      </c>
      <c r="P17" s="888">
        <v>2764</v>
      </c>
      <c r="Q17" s="889"/>
    </row>
    <row r="18" spans="1:17" s="890" customFormat="1">
      <c r="A18" s="892" t="s">
        <v>37</v>
      </c>
      <c r="B18" s="885" t="s">
        <v>38</v>
      </c>
      <c r="C18" s="875" t="s">
        <v>271</v>
      </c>
      <c r="D18" s="886">
        <v>1913</v>
      </c>
      <c r="E18" s="887">
        <v>404</v>
      </c>
      <c r="F18" s="887">
        <v>1405</v>
      </c>
      <c r="G18" s="893">
        <f t="shared" si="1"/>
        <v>104</v>
      </c>
      <c r="H18" s="886">
        <v>2890</v>
      </c>
      <c r="I18" s="887">
        <v>716</v>
      </c>
      <c r="J18" s="887">
        <v>2087</v>
      </c>
      <c r="K18" s="893">
        <f t="shared" si="2"/>
        <v>87</v>
      </c>
      <c r="L18" s="886">
        <v>419</v>
      </c>
      <c r="M18" s="887">
        <v>78</v>
      </c>
      <c r="N18" s="887">
        <v>313</v>
      </c>
      <c r="O18" s="893">
        <f t="shared" si="3"/>
        <v>28</v>
      </c>
      <c r="P18" s="888">
        <v>5222</v>
      </c>
      <c r="Q18" s="889"/>
    </row>
    <row r="19" spans="1:17" s="890" customFormat="1">
      <c r="A19" s="892" t="s">
        <v>39</v>
      </c>
      <c r="B19" s="885" t="s">
        <v>40</v>
      </c>
      <c r="C19" s="875" t="s">
        <v>275</v>
      </c>
      <c r="D19" s="886">
        <v>2040</v>
      </c>
      <c r="E19" s="887">
        <v>1905</v>
      </c>
      <c r="F19" s="887">
        <v>11</v>
      </c>
      <c r="G19" s="893">
        <f t="shared" si="1"/>
        <v>124</v>
      </c>
      <c r="H19" s="886">
        <v>3836</v>
      </c>
      <c r="I19" s="887">
        <v>3671</v>
      </c>
      <c r="J19" s="887">
        <v>13</v>
      </c>
      <c r="K19" s="893">
        <f t="shared" si="2"/>
        <v>152</v>
      </c>
      <c r="L19" s="886">
        <v>290</v>
      </c>
      <c r="M19" s="887">
        <v>280</v>
      </c>
      <c r="N19" s="887">
        <v>0</v>
      </c>
      <c r="O19" s="893">
        <f t="shared" si="3"/>
        <v>10</v>
      </c>
      <c r="P19" s="888">
        <v>6166</v>
      </c>
      <c r="Q19" s="889"/>
    </row>
    <row r="20" spans="1:17" s="890" customFormat="1">
      <c r="A20" s="892" t="s">
        <v>41</v>
      </c>
      <c r="B20" s="885" t="s">
        <v>42</v>
      </c>
      <c r="C20" s="875" t="s">
        <v>273</v>
      </c>
      <c r="D20" s="886">
        <v>1641</v>
      </c>
      <c r="E20" s="887">
        <v>842</v>
      </c>
      <c r="F20" s="887">
        <v>659</v>
      </c>
      <c r="G20" s="893">
        <f t="shared" si="1"/>
        <v>140</v>
      </c>
      <c r="H20" s="886">
        <v>2848</v>
      </c>
      <c r="I20" s="887">
        <v>1357</v>
      </c>
      <c r="J20" s="887">
        <v>1290</v>
      </c>
      <c r="K20" s="893">
        <f t="shared" si="2"/>
        <v>201</v>
      </c>
      <c r="L20" s="886">
        <v>265</v>
      </c>
      <c r="M20" s="887">
        <v>101</v>
      </c>
      <c r="N20" s="887">
        <v>141</v>
      </c>
      <c r="O20" s="893">
        <f t="shared" si="3"/>
        <v>23</v>
      </c>
      <c r="P20" s="888">
        <v>4754</v>
      </c>
      <c r="Q20" s="889"/>
    </row>
    <row r="21" spans="1:17" s="890" customFormat="1">
      <c r="A21" s="892" t="s">
        <v>43</v>
      </c>
      <c r="B21" s="885" t="s">
        <v>44</v>
      </c>
      <c r="C21" s="875" t="s">
        <v>272</v>
      </c>
      <c r="D21" s="886">
        <v>4350</v>
      </c>
      <c r="E21" s="887">
        <v>2824</v>
      </c>
      <c r="F21" s="887">
        <v>1008</v>
      </c>
      <c r="G21" s="893">
        <f t="shared" si="1"/>
        <v>518</v>
      </c>
      <c r="H21" s="886">
        <v>6453</v>
      </c>
      <c r="I21" s="887">
        <v>4379</v>
      </c>
      <c r="J21" s="887">
        <v>1523</v>
      </c>
      <c r="K21" s="893">
        <f t="shared" si="2"/>
        <v>551</v>
      </c>
      <c r="L21" s="886">
        <v>535</v>
      </c>
      <c r="M21" s="887">
        <v>317</v>
      </c>
      <c r="N21" s="887">
        <v>151</v>
      </c>
      <c r="O21" s="893">
        <f t="shared" si="3"/>
        <v>67</v>
      </c>
      <c r="P21" s="888">
        <v>11338</v>
      </c>
      <c r="Q21" s="889"/>
    </row>
    <row r="22" spans="1:17" s="890" customFormat="1">
      <c r="A22" s="892" t="s">
        <v>45</v>
      </c>
      <c r="B22" s="885" t="s">
        <v>46</v>
      </c>
      <c r="C22" s="875" t="s">
        <v>273</v>
      </c>
      <c r="D22" s="886">
        <v>2944</v>
      </c>
      <c r="E22" s="887">
        <v>1468</v>
      </c>
      <c r="F22" s="887">
        <v>1018</v>
      </c>
      <c r="G22" s="893">
        <f t="shared" si="1"/>
        <v>458</v>
      </c>
      <c r="H22" s="886">
        <v>4087</v>
      </c>
      <c r="I22" s="887">
        <v>2114</v>
      </c>
      <c r="J22" s="887">
        <v>1556</v>
      </c>
      <c r="K22" s="893">
        <f t="shared" si="2"/>
        <v>417</v>
      </c>
      <c r="L22" s="886">
        <v>287</v>
      </c>
      <c r="M22" s="887">
        <v>107</v>
      </c>
      <c r="N22" s="887">
        <v>153</v>
      </c>
      <c r="O22" s="893">
        <f t="shared" si="3"/>
        <v>27</v>
      </c>
      <c r="P22" s="888">
        <v>7318</v>
      </c>
      <c r="Q22" s="889"/>
    </row>
    <row r="23" spans="1:17" s="890" customFormat="1">
      <c r="A23" s="892" t="s">
        <v>47</v>
      </c>
      <c r="B23" s="885" t="s">
        <v>48</v>
      </c>
      <c r="C23" s="875" t="s">
        <v>275</v>
      </c>
      <c r="D23" s="886">
        <v>2764</v>
      </c>
      <c r="E23" s="887">
        <v>2374</v>
      </c>
      <c r="F23" s="887">
        <v>64</v>
      </c>
      <c r="G23" s="893">
        <f t="shared" si="1"/>
        <v>326</v>
      </c>
      <c r="H23" s="886">
        <v>4546</v>
      </c>
      <c r="I23" s="887">
        <v>4007</v>
      </c>
      <c r="J23" s="887">
        <v>50</v>
      </c>
      <c r="K23" s="893">
        <f t="shared" si="2"/>
        <v>489</v>
      </c>
      <c r="L23" s="886">
        <v>532</v>
      </c>
      <c r="M23" s="887">
        <v>416</v>
      </c>
      <c r="N23" s="887">
        <v>5</v>
      </c>
      <c r="O23" s="893">
        <f t="shared" si="3"/>
        <v>111</v>
      </c>
      <c r="P23" s="888">
        <v>7844</v>
      </c>
      <c r="Q23" s="889"/>
    </row>
    <row r="24" spans="1:17" s="890" customFormat="1">
      <c r="A24" s="892" t="s">
        <v>49</v>
      </c>
      <c r="B24" s="885" t="s">
        <v>276</v>
      </c>
      <c r="C24" s="875" t="s">
        <v>273</v>
      </c>
      <c r="D24" s="886">
        <v>484</v>
      </c>
      <c r="E24" s="887">
        <v>132</v>
      </c>
      <c r="F24" s="887">
        <v>266</v>
      </c>
      <c r="G24" s="893">
        <f t="shared" si="1"/>
        <v>86</v>
      </c>
      <c r="H24" s="886">
        <v>901</v>
      </c>
      <c r="I24" s="887">
        <v>245</v>
      </c>
      <c r="J24" s="887">
        <v>467</v>
      </c>
      <c r="K24" s="893">
        <f t="shared" si="2"/>
        <v>189</v>
      </c>
      <c r="L24" s="886">
        <v>70</v>
      </c>
      <c r="M24" s="887">
        <v>7</v>
      </c>
      <c r="N24" s="887">
        <v>45</v>
      </c>
      <c r="O24" s="893">
        <f t="shared" si="3"/>
        <v>18</v>
      </c>
      <c r="P24" s="888">
        <v>1455</v>
      </c>
      <c r="Q24" s="889"/>
    </row>
    <row r="25" spans="1:17" s="890" customFormat="1">
      <c r="A25" s="892" t="s">
        <v>51</v>
      </c>
      <c r="B25" s="885" t="s">
        <v>52</v>
      </c>
      <c r="C25" s="875" t="s">
        <v>272</v>
      </c>
      <c r="D25" s="886">
        <v>1330</v>
      </c>
      <c r="E25" s="887">
        <v>579</v>
      </c>
      <c r="F25" s="887">
        <v>649</v>
      </c>
      <c r="G25" s="893">
        <f t="shared" si="1"/>
        <v>102</v>
      </c>
      <c r="H25" s="886">
        <v>1955</v>
      </c>
      <c r="I25" s="887">
        <v>932</v>
      </c>
      <c r="J25" s="887">
        <v>941</v>
      </c>
      <c r="K25" s="893">
        <f t="shared" si="2"/>
        <v>82</v>
      </c>
      <c r="L25" s="886">
        <v>267</v>
      </c>
      <c r="M25" s="887">
        <v>100</v>
      </c>
      <c r="N25" s="887">
        <v>153</v>
      </c>
      <c r="O25" s="893">
        <f t="shared" si="3"/>
        <v>14</v>
      </c>
      <c r="P25" s="888">
        <v>3552</v>
      </c>
      <c r="Q25" s="889"/>
    </row>
    <row r="26" spans="1:17" s="890" customFormat="1">
      <c r="A26" s="892" t="s">
        <v>57</v>
      </c>
      <c r="B26" s="885" t="s">
        <v>305</v>
      </c>
      <c r="C26" s="875" t="s">
        <v>273</v>
      </c>
      <c r="D26" s="886">
        <v>21858</v>
      </c>
      <c r="E26" s="887">
        <v>9584</v>
      </c>
      <c r="F26" s="887">
        <v>8229</v>
      </c>
      <c r="G26" s="893">
        <f t="shared" si="1"/>
        <v>4045</v>
      </c>
      <c r="H26" s="886">
        <v>26013</v>
      </c>
      <c r="I26" s="887">
        <v>12528</v>
      </c>
      <c r="J26" s="887">
        <v>9154</v>
      </c>
      <c r="K26" s="893">
        <f t="shared" si="2"/>
        <v>4331</v>
      </c>
      <c r="L26" s="886">
        <v>1350</v>
      </c>
      <c r="M26" s="887">
        <v>505</v>
      </c>
      <c r="N26" s="887">
        <v>350</v>
      </c>
      <c r="O26" s="893">
        <f t="shared" si="3"/>
        <v>495</v>
      </c>
      <c r="P26" s="888">
        <v>49222</v>
      </c>
      <c r="Q26" s="889"/>
    </row>
    <row r="27" spans="1:17" s="890" customFormat="1">
      <c r="A27" s="892" t="s">
        <v>59</v>
      </c>
      <c r="B27" s="885" t="s">
        <v>60</v>
      </c>
      <c r="C27" s="875" t="s">
        <v>274</v>
      </c>
      <c r="D27" s="886">
        <v>482</v>
      </c>
      <c r="E27" s="887">
        <v>342</v>
      </c>
      <c r="F27" s="887">
        <v>67</v>
      </c>
      <c r="G27" s="893">
        <f t="shared" si="1"/>
        <v>73</v>
      </c>
      <c r="H27" s="886">
        <v>729</v>
      </c>
      <c r="I27" s="887">
        <v>517</v>
      </c>
      <c r="J27" s="887">
        <v>110</v>
      </c>
      <c r="K27" s="893">
        <f t="shared" si="2"/>
        <v>102</v>
      </c>
      <c r="L27" s="886">
        <v>103</v>
      </c>
      <c r="M27" s="887">
        <v>71</v>
      </c>
      <c r="N27" s="887">
        <v>20</v>
      </c>
      <c r="O27" s="893">
        <f t="shared" si="3"/>
        <v>12</v>
      </c>
      <c r="P27" s="888">
        <v>1315</v>
      </c>
      <c r="Q27" s="889"/>
    </row>
    <row r="28" spans="1:17" s="890" customFormat="1">
      <c r="A28" s="892" t="s">
        <v>61</v>
      </c>
      <c r="B28" s="885" t="s">
        <v>62</v>
      </c>
      <c r="C28" s="875" t="s">
        <v>272</v>
      </c>
      <c r="D28" s="886">
        <v>359</v>
      </c>
      <c r="E28" s="887">
        <v>339</v>
      </c>
      <c r="F28" s="887">
        <v>4</v>
      </c>
      <c r="G28" s="893">
        <f t="shared" si="1"/>
        <v>16</v>
      </c>
      <c r="H28" s="886">
        <v>493</v>
      </c>
      <c r="I28" s="887">
        <v>475</v>
      </c>
      <c r="J28" s="887">
        <v>3</v>
      </c>
      <c r="K28" s="893">
        <f t="shared" si="2"/>
        <v>15</v>
      </c>
      <c r="L28" s="886">
        <v>59</v>
      </c>
      <c r="M28" s="887">
        <v>56</v>
      </c>
      <c r="N28" s="887">
        <v>0</v>
      </c>
      <c r="O28" s="893">
        <f t="shared" si="3"/>
        <v>3</v>
      </c>
      <c r="P28" s="888">
        <v>911</v>
      </c>
      <c r="Q28" s="889"/>
    </row>
    <row r="29" spans="1:17" s="890" customFormat="1">
      <c r="A29" s="892" t="s">
        <v>63</v>
      </c>
      <c r="B29" s="885" t="s">
        <v>64</v>
      </c>
      <c r="C29" s="875" t="s">
        <v>274</v>
      </c>
      <c r="D29" s="886">
        <v>3639</v>
      </c>
      <c r="E29" s="887">
        <v>1786</v>
      </c>
      <c r="F29" s="887">
        <v>1079</v>
      </c>
      <c r="G29" s="893">
        <f t="shared" si="1"/>
        <v>774</v>
      </c>
      <c r="H29" s="886">
        <v>4642</v>
      </c>
      <c r="I29" s="887">
        <v>2657</v>
      </c>
      <c r="J29" s="887">
        <v>1480</v>
      </c>
      <c r="K29" s="893">
        <f t="shared" si="2"/>
        <v>505</v>
      </c>
      <c r="L29" s="886">
        <v>338</v>
      </c>
      <c r="M29" s="887">
        <v>174</v>
      </c>
      <c r="N29" s="887">
        <v>142</v>
      </c>
      <c r="O29" s="893">
        <f t="shared" si="3"/>
        <v>22</v>
      </c>
      <c r="P29" s="888">
        <v>8619</v>
      </c>
      <c r="Q29" s="889"/>
    </row>
    <row r="30" spans="1:17" s="890" customFormat="1">
      <c r="A30" s="892" t="s">
        <v>65</v>
      </c>
      <c r="B30" s="885" t="s">
        <v>66</v>
      </c>
      <c r="C30" s="875" t="s">
        <v>273</v>
      </c>
      <c r="D30" s="886">
        <v>1209</v>
      </c>
      <c r="E30" s="887">
        <v>576</v>
      </c>
      <c r="F30" s="887">
        <v>551</v>
      </c>
      <c r="G30" s="893">
        <f t="shared" si="1"/>
        <v>82</v>
      </c>
      <c r="H30" s="886">
        <v>1784</v>
      </c>
      <c r="I30" s="887">
        <v>888</v>
      </c>
      <c r="J30" s="887">
        <v>806</v>
      </c>
      <c r="K30" s="893">
        <f t="shared" si="2"/>
        <v>90</v>
      </c>
      <c r="L30" s="886">
        <v>193</v>
      </c>
      <c r="M30" s="887">
        <v>55</v>
      </c>
      <c r="N30" s="887">
        <v>129</v>
      </c>
      <c r="O30" s="893">
        <f t="shared" si="3"/>
        <v>9</v>
      </c>
      <c r="P30" s="888">
        <v>3186</v>
      </c>
      <c r="Q30" s="889"/>
    </row>
    <row r="31" spans="1:17" s="890" customFormat="1">
      <c r="A31" s="892" t="s">
        <v>69</v>
      </c>
      <c r="B31" s="885" t="s">
        <v>70</v>
      </c>
      <c r="C31" s="875" t="s">
        <v>275</v>
      </c>
      <c r="D31" s="886">
        <v>1553</v>
      </c>
      <c r="E31" s="887">
        <v>1516</v>
      </c>
      <c r="F31" s="887">
        <v>10</v>
      </c>
      <c r="G31" s="893">
        <f t="shared" si="1"/>
        <v>27</v>
      </c>
      <c r="H31" s="886">
        <v>2844</v>
      </c>
      <c r="I31" s="887">
        <v>2674</v>
      </c>
      <c r="J31" s="887">
        <v>20</v>
      </c>
      <c r="K31" s="893">
        <f t="shared" si="2"/>
        <v>150</v>
      </c>
      <c r="L31" s="886">
        <v>187</v>
      </c>
      <c r="M31" s="887">
        <v>161</v>
      </c>
      <c r="N31" s="887">
        <v>0</v>
      </c>
      <c r="O31" s="893">
        <f t="shared" si="3"/>
        <v>26</v>
      </c>
      <c r="P31" s="888">
        <v>4584</v>
      </c>
      <c r="Q31" s="889"/>
    </row>
    <row r="32" spans="1:17" s="890" customFormat="1">
      <c r="A32" s="892" t="s">
        <v>71</v>
      </c>
      <c r="B32" s="885" t="s">
        <v>72</v>
      </c>
      <c r="C32" s="875" t="s">
        <v>271</v>
      </c>
      <c r="D32" s="886">
        <v>2652</v>
      </c>
      <c r="E32" s="887">
        <v>1313</v>
      </c>
      <c r="F32" s="887">
        <v>985</v>
      </c>
      <c r="G32" s="893">
        <f t="shared" si="1"/>
        <v>354</v>
      </c>
      <c r="H32" s="886">
        <v>3800</v>
      </c>
      <c r="I32" s="887">
        <v>1900</v>
      </c>
      <c r="J32" s="887">
        <v>1407</v>
      </c>
      <c r="K32" s="893">
        <f t="shared" si="2"/>
        <v>493</v>
      </c>
      <c r="L32" s="886">
        <v>302</v>
      </c>
      <c r="M32" s="887">
        <v>105</v>
      </c>
      <c r="N32" s="887">
        <v>144</v>
      </c>
      <c r="O32" s="893">
        <f t="shared" si="3"/>
        <v>53</v>
      </c>
      <c r="P32" s="888">
        <v>6754</v>
      </c>
      <c r="Q32" s="889"/>
    </row>
    <row r="33" spans="1:17" s="890" customFormat="1">
      <c r="A33" s="892" t="s">
        <v>73</v>
      </c>
      <c r="B33" s="885" t="s">
        <v>74</v>
      </c>
      <c r="C33" s="875" t="s">
        <v>273</v>
      </c>
      <c r="D33" s="886">
        <v>1428</v>
      </c>
      <c r="E33" s="887">
        <v>364</v>
      </c>
      <c r="F33" s="887">
        <v>797</v>
      </c>
      <c r="G33" s="893">
        <f t="shared" si="1"/>
        <v>267</v>
      </c>
      <c r="H33" s="886">
        <v>1947</v>
      </c>
      <c r="I33" s="887">
        <v>556</v>
      </c>
      <c r="J33" s="887">
        <v>1052</v>
      </c>
      <c r="K33" s="893">
        <f t="shared" si="2"/>
        <v>339</v>
      </c>
      <c r="L33" s="886">
        <v>130</v>
      </c>
      <c r="M33" s="887">
        <v>25</v>
      </c>
      <c r="N33" s="887">
        <v>71</v>
      </c>
      <c r="O33" s="893">
        <f t="shared" si="3"/>
        <v>34</v>
      </c>
      <c r="P33" s="888">
        <v>3505</v>
      </c>
      <c r="Q33" s="889"/>
    </row>
    <row r="34" spans="1:17" s="890" customFormat="1">
      <c r="A34" s="892" t="s">
        <v>75</v>
      </c>
      <c r="B34" s="885" t="s">
        <v>306</v>
      </c>
      <c r="C34" s="875" t="s">
        <v>274</v>
      </c>
      <c r="D34" s="886">
        <v>33417</v>
      </c>
      <c r="E34" s="887">
        <v>16178</v>
      </c>
      <c r="F34" s="887">
        <v>7027</v>
      </c>
      <c r="G34" s="893">
        <f t="shared" si="1"/>
        <v>10212</v>
      </c>
      <c r="H34" s="886">
        <v>37561</v>
      </c>
      <c r="I34" s="887">
        <v>17612</v>
      </c>
      <c r="J34" s="887">
        <v>8262</v>
      </c>
      <c r="K34" s="893">
        <f t="shared" si="2"/>
        <v>11687</v>
      </c>
      <c r="L34" s="886">
        <v>7810</v>
      </c>
      <c r="M34" s="887">
        <v>2305</v>
      </c>
      <c r="N34" s="887">
        <v>656</v>
      </c>
      <c r="O34" s="893">
        <f t="shared" si="3"/>
        <v>4849</v>
      </c>
      <c r="P34" s="888">
        <v>78793</v>
      </c>
      <c r="Q34" s="889"/>
    </row>
    <row r="35" spans="1:17" s="890" customFormat="1">
      <c r="A35" s="892" t="s">
        <v>77</v>
      </c>
      <c r="B35" s="885" t="s">
        <v>78</v>
      </c>
      <c r="C35" s="875" t="s">
        <v>274</v>
      </c>
      <c r="D35" s="886">
        <v>2854</v>
      </c>
      <c r="E35" s="887">
        <v>1673</v>
      </c>
      <c r="F35" s="887">
        <v>662</v>
      </c>
      <c r="G35" s="893">
        <f t="shared" si="1"/>
        <v>519</v>
      </c>
      <c r="H35" s="886">
        <v>3761</v>
      </c>
      <c r="I35" s="887">
        <v>2231</v>
      </c>
      <c r="J35" s="887">
        <v>844</v>
      </c>
      <c r="K35" s="893">
        <f t="shared" si="2"/>
        <v>686</v>
      </c>
      <c r="L35" s="886">
        <v>307</v>
      </c>
      <c r="M35" s="887">
        <v>154</v>
      </c>
      <c r="N35" s="887">
        <v>78</v>
      </c>
      <c r="O35" s="893">
        <f t="shared" si="3"/>
        <v>75</v>
      </c>
      <c r="P35" s="888">
        <v>6922</v>
      </c>
      <c r="Q35" s="889"/>
    </row>
    <row r="36" spans="1:17" s="890" customFormat="1">
      <c r="A36" s="892" t="s">
        <v>79</v>
      </c>
      <c r="B36" s="885" t="s">
        <v>80</v>
      </c>
      <c r="C36" s="875" t="s">
        <v>275</v>
      </c>
      <c r="D36" s="886">
        <v>1179</v>
      </c>
      <c r="E36" s="887">
        <v>1024</v>
      </c>
      <c r="F36" s="887">
        <v>42</v>
      </c>
      <c r="G36" s="893">
        <f t="shared" si="1"/>
        <v>113</v>
      </c>
      <c r="H36" s="886">
        <v>1740</v>
      </c>
      <c r="I36" s="887">
        <v>1446</v>
      </c>
      <c r="J36" s="887">
        <v>73</v>
      </c>
      <c r="K36" s="893">
        <f t="shared" si="2"/>
        <v>221</v>
      </c>
      <c r="L36" s="886">
        <v>174</v>
      </c>
      <c r="M36" s="887">
        <v>138</v>
      </c>
      <c r="N36" s="887">
        <v>11</v>
      </c>
      <c r="O36" s="893">
        <f t="shared" si="3"/>
        <v>25</v>
      </c>
      <c r="P36" s="888">
        <v>3093</v>
      </c>
      <c r="Q36" s="889"/>
    </row>
    <row r="37" spans="1:17" s="890" customFormat="1">
      <c r="A37" s="892" t="s">
        <v>81</v>
      </c>
      <c r="B37" s="885" t="s">
        <v>82</v>
      </c>
      <c r="C37" s="875" t="s">
        <v>273</v>
      </c>
      <c r="D37" s="886">
        <v>1219</v>
      </c>
      <c r="E37" s="887">
        <v>689</v>
      </c>
      <c r="F37" s="887">
        <v>438</v>
      </c>
      <c r="G37" s="893">
        <f t="shared" si="1"/>
        <v>92</v>
      </c>
      <c r="H37" s="886">
        <v>1572</v>
      </c>
      <c r="I37" s="887">
        <v>964</v>
      </c>
      <c r="J37" s="887">
        <v>519</v>
      </c>
      <c r="K37" s="893">
        <f t="shared" si="2"/>
        <v>89</v>
      </c>
      <c r="L37" s="886">
        <v>117</v>
      </c>
      <c r="M37" s="887">
        <v>48</v>
      </c>
      <c r="N37" s="887">
        <v>58</v>
      </c>
      <c r="O37" s="893">
        <f t="shared" si="3"/>
        <v>11</v>
      </c>
      <c r="P37" s="888">
        <v>2908</v>
      </c>
      <c r="Q37" s="889"/>
    </row>
    <row r="38" spans="1:17" s="890" customFormat="1">
      <c r="A38" s="892" t="s">
        <v>85</v>
      </c>
      <c r="B38" s="885" t="s">
        <v>86</v>
      </c>
      <c r="C38" s="875" t="s">
        <v>272</v>
      </c>
      <c r="D38" s="886">
        <v>4544</v>
      </c>
      <c r="E38" s="887">
        <v>3192</v>
      </c>
      <c r="F38" s="887">
        <v>597</v>
      </c>
      <c r="G38" s="893">
        <f t="shared" ref="G38:G69" si="4">D38-E38-F38</f>
        <v>755</v>
      </c>
      <c r="H38" s="886">
        <v>6799</v>
      </c>
      <c r="I38" s="887">
        <v>4986</v>
      </c>
      <c r="J38" s="887">
        <v>897</v>
      </c>
      <c r="K38" s="893">
        <f t="shared" ref="K38:K69" si="5">H38-I38-J38</f>
        <v>916</v>
      </c>
      <c r="L38" s="886">
        <v>529</v>
      </c>
      <c r="M38" s="887">
        <v>284</v>
      </c>
      <c r="N38" s="887">
        <v>112</v>
      </c>
      <c r="O38" s="893">
        <f t="shared" ref="O38:O69" si="6">L38-M38-N38</f>
        <v>133</v>
      </c>
      <c r="P38" s="888">
        <v>11872</v>
      </c>
      <c r="Q38" s="889"/>
    </row>
    <row r="39" spans="1:17" s="890" customFormat="1">
      <c r="A39" s="892" t="s">
        <v>87</v>
      </c>
      <c r="B39" s="885" t="s">
        <v>88</v>
      </c>
      <c r="C39" s="875" t="s">
        <v>274</v>
      </c>
      <c r="D39" s="886">
        <v>4939</v>
      </c>
      <c r="E39" s="887">
        <v>3739</v>
      </c>
      <c r="F39" s="887">
        <v>462</v>
      </c>
      <c r="G39" s="893">
        <f t="shared" si="4"/>
        <v>738</v>
      </c>
      <c r="H39" s="886">
        <v>6267</v>
      </c>
      <c r="I39" s="887">
        <v>5172</v>
      </c>
      <c r="J39" s="887">
        <v>472</v>
      </c>
      <c r="K39" s="893">
        <f t="shared" si="5"/>
        <v>623</v>
      </c>
      <c r="L39" s="886">
        <v>410</v>
      </c>
      <c r="M39" s="887">
        <v>340</v>
      </c>
      <c r="N39" s="887">
        <v>22</v>
      </c>
      <c r="O39" s="893">
        <f t="shared" si="6"/>
        <v>48</v>
      </c>
      <c r="P39" s="888">
        <v>11617</v>
      </c>
      <c r="Q39" s="889"/>
    </row>
    <row r="40" spans="1:17" s="890" customFormat="1">
      <c r="A40" s="892" t="s">
        <v>93</v>
      </c>
      <c r="B40" s="885" t="s">
        <v>94</v>
      </c>
      <c r="C40" s="875" t="s">
        <v>275</v>
      </c>
      <c r="D40" s="886">
        <v>1273</v>
      </c>
      <c r="E40" s="887">
        <v>1198</v>
      </c>
      <c r="F40" s="887">
        <v>29</v>
      </c>
      <c r="G40" s="893">
        <f t="shared" si="4"/>
        <v>46</v>
      </c>
      <c r="H40" s="886">
        <v>2088</v>
      </c>
      <c r="I40" s="887">
        <v>1983</v>
      </c>
      <c r="J40" s="887">
        <v>35</v>
      </c>
      <c r="K40" s="893">
        <f t="shared" si="5"/>
        <v>70</v>
      </c>
      <c r="L40" s="886">
        <v>186</v>
      </c>
      <c r="M40" s="887">
        <v>176</v>
      </c>
      <c r="N40" s="887">
        <v>6</v>
      </c>
      <c r="O40" s="893">
        <f t="shared" si="6"/>
        <v>4</v>
      </c>
      <c r="P40" s="888">
        <v>3547</v>
      </c>
      <c r="Q40" s="889"/>
    </row>
    <row r="41" spans="1:17" s="890" customFormat="1">
      <c r="A41" s="892" t="s">
        <v>95</v>
      </c>
      <c r="B41" s="885" t="s">
        <v>96</v>
      </c>
      <c r="C41" s="875" t="s">
        <v>271</v>
      </c>
      <c r="D41" s="886">
        <v>2424</v>
      </c>
      <c r="E41" s="887">
        <v>1876</v>
      </c>
      <c r="F41" s="887">
        <v>356</v>
      </c>
      <c r="G41" s="893">
        <f t="shared" si="4"/>
        <v>192</v>
      </c>
      <c r="H41" s="886">
        <v>3852</v>
      </c>
      <c r="I41" s="887">
        <v>3092</v>
      </c>
      <c r="J41" s="887">
        <v>572</v>
      </c>
      <c r="K41" s="893">
        <f t="shared" si="5"/>
        <v>188</v>
      </c>
      <c r="L41" s="886">
        <v>237</v>
      </c>
      <c r="M41" s="887">
        <v>170</v>
      </c>
      <c r="N41" s="887">
        <v>51</v>
      </c>
      <c r="O41" s="893">
        <f t="shared" si="6"/>
        <v>16</v>
      </c>
      <c r="P41" s="888">
        <v>6513</v>
      </c>
      <c r="Q41" s="889"/>
    </row>
    <row r="42" spans="1:17" s="890" customFormat="1">
      <c r="A42" s="892" t="s">
        <v>97</v>
      </c>
      <c r="B42" s="885" t="s">
        <v>98</v>
      </c>
      <c r="C42" s="875" t="s">
        <v>273</v>
      </c>
      <c r="D42" s="886">
        <v>701</v>
      </c>
      <c r="E42" s="887">
        <v>326</v>
      </c>
      <c r="F42" s="887">
        <v>301</v>
      </c>
      <c r="G42" s="893">
        <f t="shared" si="4"/>
        <v>74</v>
      </c>
      <c r="H42" s="886">
        <v>1107</v>
      </c>
      <c r="I42" s="887">
        <v>531</v>
      </c>
      <c r="J42" s="887">
        <v>465</v>
      </c>
      <c r="K42" s="893">
        <f t="shared" si="5"/>
        <v>111</v>
      </c>
      <c r="L42" s="886">
        <v>123</v>
      </c>
      <c r="M42" s="887">
        <v>32</v>
      </c>
      <c r="N42" s="887">
        <v>78</v>
      </c>
      <c r="O42" s="893">
        <f t="shared" si="6"/>
        <v>13</v>
      </c>
      <c r="P42" s="888">
        <v>1931</v>
      </c>
      <c r="Q42" s="889"/>
    </row>
    <row r="43" spans="1:17" s="890" customFormat="1">
      <c r="A43" s="892" t="s">
        <v>99</v>
      </c>
      <c r="B43" s="885" t="s">
        <v>100</v>
      </c>
      <c r="C43" s="875" t="s">
        <v>275</v>
      </c>
      <c r="D43" s="886">
        <v>1400</v>
      </c>
      <c r="E43" s="887">
        <v>1255</v>
      </c>
      <c r="F43" s="887">
        <v>67</v>
      </c>
      <c r="G43" s="893">
        <f t="shared" si="4"/>
        <v>78</v>
      </c>
      <c r="H43" s="886">
        <v>2346</v>
      </c>
      <c r="I43" s="887">
        <v>2148</v>
      </c>
      <c r="J43" s="887">
        <v>92</v>
      </c>
      <c r="K43" s="893">
        <f t="shared" si="5"/>
        <v>106</v>
      </c>
      <c r="L43" s="886">
        <v>329</v>
      </c>
      <c r="M43" s="887">
        <v>305</v>
      </c>
      <c r="N43" s="887">
        <v>13</v>
      </c>
      <c r="O43" s="893">
        <f t="shared" si="6"/>
        <v>11</v>
      </c>
      <c r="P43" s="888">
        <v>4075</v>
      </c>
      <c r="Q43" s="889"/>
    </row>
    <row r="44" spans="1:17" s="890" customFormat="1">
      <c r="A44" s="892" t="s">
        <v>101</v>
      </c>
      <c r="B44" s="885" t="s">
        <v>102</v>
      </c>
      <c r="C44" s="875" t="s">
        <v>274</v>
      </c>
      <c r="D44" s="886">
        <v>1297</v>
      </c>
      <c r="E44" s="887">
        <v>881</v>
      </c>
      <c r="F44" s="887">
        <v>200</v>
      </c>
      <c r="G44" s="893">
        <f t="shared" si="4"/>
        <v>216</v>
      </c>
      <c r="H44" s="886">
        <v>1742</v>
      </c>
      <c r="I44" s="887">
        <v>1323</v>
      </c>
      <c r="J44" s="887">
        <v>286</v>
      </c>
      <c r="K44" s="893">
        <f t="shared" si="5"/>
        <v>133</v>
      </c>
      <c r="L44" s="886">
        <v>124</v>
      </c>
      <c r="M44" s="887">
        <v>102</v>
      </c>
      <c r="N44" s="887">
        <v>18</v>
      </c>
      <c r="O44" s="893">
        <f t="shared" si="6"/>
        <v>4</v>
      </c>
      <c r="P44" s="888">
        <v>3163</v>
      </c>
      <c r="Q44" s="889"/>
    </row>
    <row r="45" spans="1:17" s="890" customFormat="1">
      <c r="A45" s="892" t="s">
        <v>103</v>
      </c>
      <c r="B45" s="885" t="s">
        <v>290</v>
      </c>
      <c r="C45" s="875" t="s">
        <v>271</v>
      </c>
      <c r="D45" s="886">
        <v>2320</v>
      </c>
      <c r="E45" s="887">
        <v>261</v>
      </c>
      <c r="F45" s="887">
        <v>1937</v>
      </c>
      <c r="G45" s="893">
        <f t="shared" si="4"/>
        <v>122</v>
      </c>
      <c r="H45" s="886">
        <v>3154</v>
      </c>
      <c r="I45" s="887">
        <v>453</v>
      </c>
      <c r="J45" s="887">
        <v>2597</v>
      </c>
      <c r="K45" s="893">
        <f t="shared" si="5"/>
        <v>104</v>
      </c>
      <c r="L45" s="886">
        <v>313</v>
      </c>
      <c r="M45" s="887">
        <v>58</v>
      </c>
      <c r="N45" s="887">
        <v>248</v>
      </c>
      <c r="O45" s="893">
        <f t="shared" si="6"/>
        <v>7</v>
      </c>
      <c r="P45" s="888">
        <v>5787</v>
      </c>
      <c r="Q45" s="889"/>
    </row>
    <row r="46" spans="1:17" s="890" customFormat="1">
      <c r="A46" s="892" t="s">
        <v>105</v>
      </c>
      <c r="B46" s="885" t="s">
        <v>106</v>
      </c>
      <c r="C46" s="875" t="s">
        <v>272</v>
      </c>
      <c r="D46" s="886">
        <v>3619</v>
      </c>
      <c r="E46" s="887">
        <v>1172</v>
      </c>
      <c r="F46" s="887">
        <v>2080</v>
      </c>
      <c r="G46" s="893">
        <f t="shared" si="4"/>
        <v>367</v>
      </c>
      <c r="H46" s="886">
        <v>5241</v>
      </c>
      <c r="I46" s="887">
        <v>1811</v>
      </c>
      <c r="J46" s="887">
        <v>2786</v>
      </c>
      <c r="K46" s="893">
        <f t="shared" si="5"/>
        <v>644</v>
      </c>
      <c r="L46" s="886">
        <v>727</v>
      </c>
      <c r="M46" s="887">
        <v>184</v>
      </c>
      <c r="N46" s="887">
        <v>405</v>
      </c>
      <c r="O46" s="893">
        <f t="shared" si="6"/>
        <v>138</v>
      </c>
      <c r="P46" s="888">
        <v>9588</v>
      </c>
      <c r="Q46" s="889"/>
    </row>
    <row r="47" spans="1:17" s="890" customFormat="1">
      <c r="A47" s="892" t="s">
        <v>109</v>
      </c>
      <c r="B47" s="885" t="s">
        <v>110</v>
      </c>
      <c r="C47" s="875" t="s">
        <v>273</v>
      </c>
      <c r="D47" s="886">
        <v>3628</v>
      </c>
      <c r="E47" s="887">
        <v>2028</v>
      </c>
      <c r="F47" s="887">
        <v>964</v>
      </c>
      <c r="G47" s="893">
        <f t="shared" si="4"/>
        <v>636</v>
      </c>
      <c r="H47" s="886">
        <v>4958</v>
      </c>
      <c r="I47" s="887">
        <v>3080</v>
      </c>
      <c r="J47" s="887">
        <v>1219</v>
      </c>
      <c r="K47" s="893">
        <f t="shared" si="5"/>
        <v>659</v>
      </c>
      <c r="L47" s="886">
        <v>358</v>
      </c>
      <c r="M47" s="887">
        <v>188</v>
      </c>
      <c r="N47" s="887">
        <v>114</v>
      </c>
      <c r="O47" s="893">
        <f t="shared" si="6"/>
        <v>56</v>
      </c>
      <c r="P47" s="888">
        <v>8944</v>
      </c>
      <c r="Q47" s="889"/>
    </row>
    <row r="48" spans="1:17" s="890" customFormat="1">
      <c r="A48" s="892" t="s">
        <v>111</v>
      </c>
      <c r="B48" s="885" t="s">
        <v>112</v>
      </c>
      <c r="C48" s="875" t="s">
        <v>273</v>
      </c>
      <c r="D48" s="886">
        <v>21315</v>
      </c>
      <c r="E48" s="887">
        <v>4409</v>
      </c>
      <c r="F48" s="887">
        <v>11945</v>
      </c>
      <c r="G48" s="893">
        <f t="shared" si="4"/>
        <v>4961</v>
      </c>
      <c r="H48" s="886">
        <v>26938</v>
      </c>
      <c r="I48" s="887">
        <v>6822</v>
      </c>
      <c r="J48" s="887">
        <v>13681</v>
      </c>
      <c r="K48" s="893">
        <f t="shared" si="5"/>
        <v>6435</v>
      </c>
      <c r="L48" s="886">
        <v>1885</v>
      </c>
      <c r="M48" s="887">
        <v>540</v>
      </c>
      <c r="N48" s="887">
        <v>610</v>
      </c>
      <c r="O48" s="893">
        <f t="shared" si="6"/>
        <v>735</v>
      </c>
      <c r="P48" s="888">
        <v>50139</v>
      </c>
      <c r="Q48" s="889"/>
    </row>
    <row r="49" spans="1:17" s="890" customFormat="1">
      <c r="A49" s="892" t="s">
        <v>113</v>
      </c>
      <c r="B49" s="885" t="s">
        <v>310</v>
      </c>
      <c r="C49" s="875" t="s">
        <v>272</v>
      </c>
      <c r="D49" s="886">
        <v>8680</v>
      </c>
      <c r="E49" s="887">
        <v>3911</v>
      </c>
      <c r="F49" s="887">
        <v>3176</v>
      </c>
      <c r="G49" s="893">
        <f t="shared" si="4"/>
        <v>1593</v>
      </c>
      <c r="H49" s="886">
        <v>13828</v>
      </c>
      <c r="I49" s="887">
        <v>7030</v>
      </c>
      <c r="J49" s="887">
        <v>5034</v>
      </c>
      <c r="K49" s="893">
        <f t="shared" si="5"/>
        <v>1764</v>
      </c>
      <c r="L49" s="886">
        <v>1095</v>
      </c>
      <c r="M49" s="887">
        <v>545</v>
      </c>
      <c r="N49" s="887">
        <v>390</v>
      </c>
      <c r="O49" s="893">
        <f t="shared" si="6"/>
        <v>160</v>
      </c>
      <c r="P49" s="888">
        <v>23603</v>
      </c>
      <c r="Q49" s="889"/>
    </row>
    <row r="50" spans="1:17" s="890" customFormat="1">
      <c r="A50" s="892" t="s">
        <v>115</v>
      </c>
      <c r="B50" s="885" t="s">
        <v>116</v>
      </c>
      <c r="C50" s="875" t="s">
        <v>272</v>
      </c>
      <c r="D50" s="886">
        <v>80</v>
      </c>
      <c r="E50" s="887">
        <v>66</v>
      </c>
      <c r="F50" s="887">
        <v>0</v>
      </c>
      <c r="G50" s="893">
        <f t="shared" si="4"/>
        <v>14</v>
      </c>
      <c r="H50" s="886">
        <v>159</v>
      </c>
      <c r="I50" s="887">
        <v>125</v>
      </c>
      <c r="J50" s="887">
        <v>2</v>
      </c>
      <c r="K50" s="893">
        <f t="shared" si="5"/>
        <v>32</v>
      </c>
      <c r="L50" s="886">
        <v>22</v>
      </c>
      <c r="M50" s="887">
        <v>19</v>
      </c>
      <c r="N50" s="887">
        <v>0</v>
      </c>
      <c r="O50" s="893">
        <f t="shared" si="6"/>
        <v>3</v>
      </c>
      <c r="P50" s="888">
        <v>261</v>
      </c>
      <c r="Q50" s="889"/>
    </row>
    <row r="51" spans="1:17" s="890" customFormat="1">
      <c r="A51" s="892" t="s">
        <v>119</v>
      </c>
      <c r="B51" s="885" t="s">
        <v>277</v>
      </c>
      <c r="C51" s="875" t="s">
        <v>271</v>
      </c>
      <c r="D51" s="886">
        <v>2271</v>
      </c>
      <c r="E51" s="887">
        <v>925</v>
      </c>
      <c r="F51" s="887">
        <v>1100</v>
      </c>
      <c r="G51" s="893">
        <f t="shared" si="4"/>
        <v>246</v>
      </c>
      <c r="H51" s="886">
        <v>3350</v>
      </c>
      <c r="I51" s="887">
        <v>1454</v>
      </c>
      <c r="J51" s="887">
        <v>1628</v>
      </c>
      <c r="K51" s="893">
        <f t="shared" si="5"/>
        <v>268</v>
      </c>
      <c r="L51" s="886">
        <v>317</v>
      </c>
      <c r="M51" s="887">
        <v>90</v>
      </c>
      <c r="N51" s="887">
        <v>203</v>
      </c>
      <c r="O51" s="893">
        <f t="shared" si="6"/>
        <v>24</v>
      </c>
      <c r="P51" s="888">
        <v>5938</v>
      </c>
      <c r="Q51" s="889"/>
    </row>
    <row r="52" spans="1:17" s="890" customFormat="1">
      <c r="A52" s="892" t="s">
        <v>121</v>
      </c>
      <c r="B52" s="885" t="s">
        <v>122</v>
      </c>
      <c r="C52" s="875" t="s">
        <v>271</v>
      </c>
      <c r="D52" s="886">
        <v>3165</v>
      </c>
      <c r="E52" s="887">
        <v>1356</v>
      </c>
      <c r="F52" s="887">
        <v>1328</v>
      </c>
      <c r="G52" s="893">
        <f t="shared" si="4"/>
        <v>481</v>
      </c>
      <c r="H52" s="886">
        <v>3844</v>
      </c>
      <c r="I52" s="887">
        <v>1872</v>
      </c>
      <c r="J52" s="887">
        <v>1490</v>
      </c>
      <c r="K52" s="893">
        <f t="shared" si="5"/>
        <v>482</v>
      </c>
      <c r="L52" s="886">
        <v>225</v>
      </c>
      <c r="M52" s="887">
        <v>87</v>
      </c>
      <c r="N52" s="887">
        <v>85</v>
      </c>
      <c r="O52" s="893">
        <f t="shared" si="6"/>
        <v>53</v>
      </c>
      <c r="P52" s="888">
        <v>7234</v>
      </c>
      <c r="Q52" s="889"/>
    </row>
    <row r="53" spans="1:17" s="890" customFormat="1">
      <c r="A53" s="892" t="s">
        <v>123</v>
      </c>
      <c r="B53" s="885" t="s">
        <v>296</v>
      </c>
      <c r="C53" s="875" t="s">
        <v>273</v>
      </c>
      <c r="D53" s="886">
        <v>666</v>
      </c>
      <c r="E53" s="887">
        <v>302</v>
      </c>
      <c r="F53" s="887">
        <v>269</v>
      </c>
      <c r="G53" s="893">
        <f t="shared" si="4"/>
        <v>95</v>
      </c>
      <c r="H53" s="886">
        <v>920</v>
      </c>
      <c r="I53" s="887">
        <v>445</v>
      </c>
      <c r="J53" s="887">
        <v>379</v>
      </c>
      <c r="K53" s="893">
        <f t="shared" si="5"/>
        <v>96</v>
      </c>
      <c r="L53" s="886">
        <v>110</v>
      </c>
      <c r="M53" s="887">
        <v>39</v>
      </c>
      <c r="N53" s="887">
        <v>53</v>
      </c>
      <c r="O53" s="893">
        <f t="shared" si="6"/>
        <v>18</v>
      </c>
      <c r="P53" s="888">
        <v>1696</v>
      </c>
      <c r="Q53" s="889"/>
    </row>
    <row r="54" spans="1:17" s="890" customFormat="1">
      <c r="A54" s="892" t="s">
        <v>125</v>
      </c>
      <c r="B54" s="885" t="s">
        <v>126</v>
      </c>
      <c r="C54" s="875" t="s">
        <v>274</v>
      </c>
      <c r="D54" s="886">
        <v>1865</v>
      </c>
      <c r="E54" s="887">
        <v>956</v>
      </c>
      <c r="F54" s="887">
        <v>668</v>
      </c>
      <c r="G54" s="893">
        <f t="shared" si="4"/>
        <v>241</v>
      </c>
      <c r="H54" s="886">
        <v>2271</v>
      </c>
      <c r="I54" s="887">
        <v>1281</v>
      </c>
      <c r="J54" s="887">
        <v>810</v>
      </c>
      <c r="K54" s="893">
        <f t="shared" si="5"/>
        <v>180</v>
      </c>
      <c r="L54" s="886">
        <v>123</v>
      </c>
      <c r="M54" s="887">
        <v>64</v>
      </c>
      <c r="N54" s="887">
        <v>53</v>
      </c>
      <c r="O54" s="893">
        <f t="shared" si="6"/>
        <v>6</v>
      </c>
      <c r="P54" s="888">
        <v>4260</v>
      </c>
      <c r="Q54" s="889"/>
    </row>
    <row r="55" spans="1:17" s="890" customFormat="1">
      <c r="A55" s="892" t="s">
        <v>127</v>
      </c>
      <c r="B55" s="885" t="s">
        <v>128</v>
      </c>
      <c r="C55" s="875" t="s">
        <v>273</v>
      </c>
      <c r="D55" s="886">
        <v>1199</v>
      </c>
      <c r="E55" s="887">
        <v>652</v>
      </c>
      <c r="F55" s="887">
        <v>410</v>
      </c>
      <c r="G55" s="893">
        <f t="shared" si="4"/>
        <v>137</v>
      </c>
      <c r="H55" s="886">
        <v>1493</v>
      </c>
      <c r="I55" s="887">
        <v>756</v>
      </c>
      <c r="J55" s="887">
        <v>542</v>
      </c>
      <c r="K55" s="893">
        <f t="shared" si="5"/>
        <v>195</v>
      </c>
      <c r="L55" s="886">
        <v>139</v>
      </c>
      <c r="M55" s="887">
        <v>32</v>
      </c>
      <c r="N55" s="887">
        <v>76</v>
      </c>
      <c r="O55" s="893">
        <f t="shared" si="6"/>
        <v>31</v>
      </c>
      <c r="P55" s="888">
        <v>2831</v>
      </c>
      <c r="Q55" s="889"/>
    </row>
    <row r="56" spans="1:17" s="890" customFormat="1">
      <c r="A56" s="892" t="s">
        <v>129</v>
      </c>
      <c r="B56" s="885" t="s">
        <v>130</v>
      </c>
      <c r="C56" s="875" t="s">
        <v>273</v>
      </c>
      <c r="D56" s="886">
        <v>946</v>
      </c>
      <c r="E56" s="887">
        <v>234</v>
      </c>
      <c r="F56" s="887">
        <v>668</v>
      </c>
      <c r="G56" s="893">
        <f t="shared" si="4"/>
        <v>44</v>
      </c>
      <c r="H56" s="886">
        <v>1321</v>
      </c>
      <c r="I56" s="887">
        <v>453</v>
      </c>
      <c r="J56" s="887">
        <v>846</v>
      </c>
      <c r="K56" s="893">
        <f t="shared" si="5"/>
        <v>22</v>
      </c>
      <c r="L56" s="886">
        <v>163</v>
      </c>
      <c r="M56" s="887">
        <v>67</v>
      </c>
      <c r="N56" s="887">
        <v>93</v>
      </c>
      <c r="O56" s="893">
        <f t="shared" si="6"/>
        <v>3</v>
      </c>
      <c r="P56" s="888">
        <v>2430</v>
      </c>
      <c r="Q56" s="889"/>
    </row>
    <row r="57" spans="1:17" s="890" customFormat="1">
      <c r="A57" s="892" t="s">
        <v>131</v>
      </c>
      <c r="B57" s="885" t="s">
        <v>132</v>
      </c>
      <c r="C57" s="875" t="s">
        <v>275</v>
      </c>
      <c r="D57" s="886">
        <v>2610</v>
      </c>
      <c r="E57" s="887">
        <v>2476</v>
      </c>
      <c r="F57" s="887">
        <v>31</v>
      </c>
      <c r="G57" s="893">
        <f t="shared" si="4"/>
        <v>103</v>
      </c>
      <c r="H57" s="886">
        <v>4899</v>
      </c>
      <c r="I57" s="887">
        <v>4677</v>
      </c>
      <c r="J57" s="887">
        <v>32</v>
      </c>
      <c r="K57" s="893">
        <f t="shared" si="5"/>
        <v>190</v>
      </c>
      <c r="L57" s="886">
        <v>594</v>
      </c>
      <c r="M57" s="887">
        <v>545</v>
      </c>
      <c r="N57" s="887">
        <v>2</v>
      </c>
      <c r="O57" s="893">
        <f t="shared" si="6"/>
        <v>47</v>
      </c>
      <c r="P57" s="888">
        <v>8103</v>
      </c>
      <c r="Q57" s="889"/>
    </row>
    <row r="58" spans="1:17" s="890" customFormat="1">
      <c r="A58" s="892" t="s">
        <v>133</v>
      </c>
      <c r="B58" s="885" t="s">
        <v>134</v>
      </c>
      <c r="C58" s="875" t="s">
        <v>274</v>
      </c>
      <c r="D58" s="886">
        <v>6838</v>
      </c>
      <c r="E58" s="887">
        <v>2831</v>
      </c>
      <c r="F58" s="887">
        <v>1397</v>
      </c>
      <c r="G58" s="893">
        <f t="shared" si="4"/>
        <v>2610</v>
      </c>
      <c r="H58" s="886">
        <v>7245</v>
      </c>
      <c r="I58" s="887">
        <v>3426</v>
      </c>
      <c r="J58" s="887">
        <v>1543</v>
      </c>
      <c r="K58" s="893">
        <f t="shared" si="5"/>
        <v>2276</v>
      </c>
      <c r="L58" s="886">
        <v>1263</v>
      </c>
      <c r="M58" s="887">
        <v>494</v>
      </c>
      <c r="N58" s="887">
        <v>137</v>
      </c>
      <c r="O58" s="893">
        <f t="shared" si="6"/>
        <v>632</v>
      </c>
      <c r="P58" s="888">
        <v>15347</v>
      </c>
      <c r="Q58" s="889"/>
    </row>
    <row r="59" spans="1:17" s="890" customFormat="1">
      <c r="A59" s="892" t="s">
        <v>135</v>
      </c>
      <c r="B59" s="885" t="s">
        <v>136</v>
      </c>
      <c r="C59" s="875" t="s">
        <v>274</v>
      </c>
      <c r="D59" s="886">
        <v>2490</v>
      </c>
      <c r="E59" s="887">
        <v>1425</v>
      </c>
      <c r="F59" s="887">
        <v>693</v>
      </c>
      <c r="G59" s="893">
        <f t="shared" si="4"/>
        <v>372</v>
      </c>
      <c r="H59" s="886">
        <v>3600</v>
      </c>
      <c r="I59" s="887">
        <v>2104</v>
      </c>
      <c r="J59" s="887">
        <v>992</v>
      </c>
      <c r="K59" s="893">
        <f t="shared" si="5"/>
        <v>504</v>
      </c>
      <c r="L59" s="886">
        <v>356</v>
      </c>
      <c r="M59" s="887">
        <v>161</v>
      </c>
      <c r="N59" s="887">
        <v>132</v>
      </c>
      <c r="O59" s="893">
        <f t="shared" si="6"/>
        <v>63</v>
      </c>
      <c r="P59" s="888">
        <v>6446</v>
      </c>
      <c r="Q59" s="889"/>
    </row>
    <row r="60" spans="1:17" s="890" customFormat="1">
      <c r="A60" s="892" t="s">
        <v>137</v>
      </c>
      <c r="B60" s="885" t="s">
        <v>138</v>
      </c>
      <c r="C60" s="875" t="s">
        <v>273</v>
      </c>
      <c r="D60" s="886">
        <v>1323</v>
      </c>
      <c r="E60" s="887">
        <v>536</v>
      </c>
      <c r="F60" s="887">
        <v>636</v>
      </c>
      <c r="G60" s="893">
        <f t="shared" si="4"/>
        <v>151</v>
      </c>
      <c r="H60" s="886">
        <v>1998</v>
      </c>
      <c r="I60" s="887">
        <v>905</v>
      </c>
      <c r="J60" s="887">
        <v>938</v>
      </c>
      <c r="K60" s="893">
        <f t="shared" si="5"/>
        <v>155</v>
      </c>
      <c r="L60" s="886">
        <v>254</v>
      </c>
      <c r="M60" s="887">
        <v>79</v>
      </c>
      <c r="N60" s="887">
        <v>164</v>
      </c>
      <c r="O60" s="893">
        <f t="shared" si="6"/>
        <v>11</v>
      </c>
      <c r="P60" s="888">
        <v>3575</v>
      </c>
      <c r="Q60" s="889"/>
    </row>
    <row r="61" spans="1:17" s="890" customFormat="1">
      <c r="A61" s="892" t="s">
        <v>141</v>
      </c>
      <c r="B61" s="885" t="s">
        <v>142</v>
      </c>
      <c r="C61" s="875" t="s">
        <v>274</v>
      </c>
      <c r="D61" s="886">
        <v>962</v>
      </c>
      <c r="E61" s="887">
        <v>715</v>
      </c>
      <c r="F61" s="887">
        <v>163</v>
      </c>
      <c r="G61" s="893">
        <f t="shared" si="4"/>
        <v>84</v>
      </c>
      <c r="H61" s="886">
        <v>1259</v>
      </c>
      <c r="I61" s="887">
        <v>981</v>
      </c>
      <c r="J61" s="887">
        <v>215</v>
      </c>
      <c r="K61" s="893">
        <f t="shared" si="5"/>
        <v>63</v>
      </c>
      <c r="L61" s="886">
        <v>139</v>
      </c>
      <c r="M61" s="887">
        <v>101</v>
      </c>
      <c r="N61" s="887">
        <v>33</v>
      </c>
      <c r="O61" s="893">
        <f t="shared" si="6"/>
        <v>5</v>
      </c>
      <c r="P61" s="888">
        <v>2360</v>
      </c>
      <c r="Q61" s="889"/>
    </row>
    <row r="62" spans="1:17" s="890" customFormat="1">
      <c r="A62" s="892" t="s">
        <v>147</v>
      </c>
      <c r="B62" s="885" t="s">
        <v>148</v>
      </c>
      <c r="C62" s="875" t="s">
        <v>271</v>
      </c>
      <c r="D62" s="886">
        <v>512</v>
      </c>
      <c r="E62" s="887">
        <v>413</v>
      </c>
      <c r="F62" s="887">
        <v>69</v>
      </c>
      <c r="G62" s="893">
        <f t="shared" si="4"/>
        <v>30</v>
      </c>
      <c r="H62" s="886">
        <v>842</v>
      </c>
      <c r="I62" s="887">
        <v>621</v>
      </c>
      <c r="J62" s="887">
        <v>144</v>
      </c>
      <c r="K62" s="893">
        <f t="shared" si="5"/>
        <v>77</v>
      </c>
      <c r="L62" s="886">
        <v>104</v>
      </c>
      <c r="M62" s="887">
        <v>46</v>
      </c>
      <c r="N62" s="887">
        <v>36</v>
      </c>
      <c r="O62" s="893">
        <f t="shared" si="6"/>
        <v>22</v>
      </c>
      <c r="P62" s="888">
        <v>1458</v>
      </c>
      <c r="Q62" s="889"/>
    </row>
    <row r="63" spans="1:17" s="890" customFormat="1">
      <c r="A63" s="892" t="s">
        <v>149</v>
      </c>
      <c r="B63" s="885" t="s">
        <v>150</v>
      </c>
      <c r="C63" s="875" t="s">
        <v>272</v>
      </c>
      <c r="D63" s="886">
        <v>2957</v>
      </c>
      <c r="E63" s="887">
        <v>1000</v>
      </c>
      <c r="F63" s="887">
        <v>1770</v>
      </c>
      <c r="G63" s="893">
        <f t="shared" si="4"/>
        <v>187</v>
      </c>
      <c r="H63" s="886">
        <v>4170</v>
      </c>
      <c r="I63" s="887">
        <v>1547</v>
      </c>
      <c r="J63" s="887">
        <v>2469</v>
      </c>
      <c r="K63" s="893">
        <f t="shared" si="5"/>
        <v>154</v>
      </c>
      <c r="L63" s="886">
        <v>484</v>
      </c>
      <c r="M63" s="887">
        <v>153</v>
      </c>
      <c r="N63" s="887">
        <v>315</v>
      </c>
      <c r="O63" s="893">
        <f t="shared" si="6"/>
        <v>16</v>
      </c>
      <c r="P63" s="888">
        <v>7611</v>
      </c>
      <c r="Q63" s="889"/>
    </row>
    <row r="64" spans="1:17" s="890" customFormat="1">
      <c r="A64" s="892" t="s">
        <v>151</v>
      </c>
      <c r="B64" s="885" t="s">
        <v>152</v>
      </c>
      <c r="C64" s="875" t="s">
        <v>273</v>
      </c>
      <c r="D64" s="886">
        <v>803</v>
      </c>
      <c r="E64" s="887">
        <v>503</v>
      </c>
      <c r="F64" s="887">
        <v>232</v>
      </c>
      <c r="G64" s="893">
        <f t="shared" si="4"/>
        <v>68</v>
      </c>
      <c r="H64" s="886">
        <v>1357</v>
      </c>
      <c r="I64" s="887">
        <v>793</v>
      </c>
      <c r="J64" s="887">
        <v>448</v>
      </c>
      <c r="K64" s="893">
        <f t="shared" si="5"/>
        <v>116</v>
      </c>
      <c r="L64" s="886">
        <v>134</v>
      </c>
      <c r="M64" s="887">
        <v>51</v>
      </c>
      <c r="N64" s="887">
        <v>71</v>
      </c>
      <c r="O64" s="893">
        <f t="shared" si="6"/>
        <v>12</v>
      </c>
      <c r="P64" s="888">
        <v>2294</v>
      </c>
      <c r="Q64" s="889"/>
    </row>
    <row r="65" spans="1:17" s="890" customFormat="1">
      <c r="A65" s="892" t="s">
        <v>153</v>
      </c>
      <c r="B65" s="885" t="s">
        <v>154</v>
      </c>
      <c r="C65" s="875" t="s">
        <v>275</v>
      </c>
      <c r="D65" s="886">
        <v>4349</v>
      </c>
      <c r="E65" s="887">
        <v>3257</v>
      </c>
      <c r="F65" s="887">
        <v>446</v>
      </c>
      <c r="G65" s="893">
        <f t="shared" si="4"/>
        <v>646</v>
      </c>
      <c r="H65" s="886">
        <v>6692</v>
      </c>
      <c r="I65" s="887">
        <v>5220</v>
      </c>
      <c r="J65" s="887">
        <v>552</v>
      </c>
      <c r="K65" s="893">
        <f t="shared" si="5"/>
        <v>920</v>
      </c>
      <c r="L65" s="886">
        <v>404</v>
      </c>
      <c r="M65" s="887">
        <v>301</v>
      </c>
      <c r="N65" s="887">
        <v>21</v>
      </c>
      <c r="O65" s="893">
        <f t="shared" si="6"/>
        <v>82</v>
      </c>
      <c r="P65" s="888">
        <v>11445</v>
      </c>
      <c r="Q65" s="889"/>
    </row>
    <row r="66" spans="1:17" s="890" customFormat="1">
      <c r="A66" s="892" t="s">
        <v>155</v>
      </c>
      <c r="B66" s="885" t="s">
        <v>156</v>
      </c>
      <c r="C66" s="875" t="s">
        <v>272</v>
      </c>
      <c r="D66" s="886">
        <v>1222</v>
      </c>
      <c r="E66" s="887">
        <v>774</v>
      </c>
      <c r="F66" s="887">
        <v>236</v>
      </c>
      <c r="G66" s="893">
        <f t="shared" si="4"/>
        <v>212</v>
      </c>
      <c r="H66" s="886">
        <v>1854</v>
      </c>
      <c r="I66" s="887">
        <v>1206</v>
      </c>
      <c r="J66" s="887">
        <v>348</v>
      </c>
      <c r="K66" s="893">
        <f t="shared" si="5"/>
        <v>300</v>
      </c>
      <c r="L66" s="886">
        <v>242</v>
      </c>
      <c r="M66" s="887">
        <v>118</v>
      </c>
      <c r="N66" s="887">
        <v>88</v>
      </c>
      <c r="O66" s="893">
        <f t="shared" si="6"/>
        <v>36</v>
      </c>
      <c r="P66" s="888">
        <v>3318</v>
      </c>
      <c r="Q66" s="889"/>
    </row>
    <row r="67" spans="1:17" s="890" customFormat="1">
      <c r="A67" s="892" t="s">
        <v>157</v>
      </c>
      <c r="B67" s="885" t="s">
        <v>158</v>
      </c>
      <c r="C67" s="875" t="s">
        <v>273</v>
      </c>
      <c r="D67" s="886">
        <v>809</v>
      </c>
      <c r="E67" s="887">
        <v>584</v>
      </c>
      <c r="F67" s="887">
        <v>154</v>
      </c>
      <c r="G67" s="893">
        <f t="shared" si="4"/>
        <v>71</v>
      </c>
      <c r="H67" s="886">
        <v>1066</v>
      </c>
      <c r="I67" s="887">
        <v>782</v>
      </c>
      <c r="J67" s="887">
        <v>207</v>
      </c>
      <c r="K67" s="893">
        <f t="shared" si="5"/>
        <v>77</v>
      </c>
      <c r="L67" s="886">
        <v>58</v>
      </c>
      <c r="M67" s="887">
        <v>21</v>
      </c>
      <c r="N67" s="887">
        <v>32</v>
      </c>
      <c r="O67" s="893">
        <f t="shared" si="6"/>
        <v>5</v>
      </c>
      <c r="P67" s="888">
        <v>1933</v>
      </c>
      <c r="Q67" s="889"/>
    </row>
    <row r="68" spans="1:17" s="890" customFormat="1">
      <c r="A68" s="892" t="s">
        <v>163</v>
      </c>
      <c r="B68" s="885" t="s">
        <v>164</v>
      </c>
      <c r="C68" s="875" t="s">
        <v>271</v>
      </c>
      <c r="D68" s="886">
        <v>1493</v>
      </c>
      <c r="E68" s="887">
        <v>561</v>
      </c>
      <c r="F68" s="887">
        <v>812</v>
      </c>
      <c r="G68" s="893">
        <f t="shared" si="4"/>
        <v>120</v>
      </c>
      <c r="H68" s="886">
        <v>2173</v>
      </c>
      <c r="I68" s="887">
        <v>756</v>
      </c>
      <c r="J68" s="887">
        <v>1270</v>
      </c>
      <c r="K68" s="893">
        <f t="shared" si="5"/>
        <v>147</v>
      </c>
      <c r="L68" s="886">
        <v>396</v>
      </c>
      <c r="M68" s="887">
        <v>79</v>
      </c>
      <c r="N68" s="887">
        <v>285</v>
      </c>
      <c r="O68" s="893">
        <f t="shared" si="6"/>
        <v>32</v>
      </c>
      <c r="P68" s="888">
        <v>4062</v>
      </c>
      <c r="Q68" s="889"/>
    </row>
    <row r="69" spans="1:17" s="890" customFormat="1">
      <c r="A69" s="892" t="s">
        <v>165</v>
      </c>
      <c r="B69" s="885" t="s">
        <v>166</v>
      </c>
      <c r="C69" s="875" t="s">
        <v>273</v>
      </c>
      <c r="D69" s="886">
        <v>917</v>
      </c>
      <c r="E69" s="887">
        <v>316</v>
      </c>
      <c r="F69" s="887">
        <v>515</v>
      </c>
      <c r="G69" s="893">
        <f t="shared" si="4"/>
        <v>86</v>
      </c>
      <c r="H69" s="886">
        <v>1296</v>
      </c>
      <c r="I69" s="887">
        <v>520</v>
      </c>
      <c r="J69" s="887">
        <v>706</v>
      </c>
      <c r="K69" s="893">
        <f t="shared" si="5"/>
        <v>70</v>
      </c>
      <c r="L69" s="886">
        <v>158</v>
      </c>
      <c r="M69" s="887">
        <v>51</v>
      </c>
      <c r="N69" s="887">
        <v>99</v>
      </c>
      <c r="O69" s="893">
        <f t="shared" si="6"/>
        <v>8</v>
      </c>
      <c r="P69" s="888">
        <v>2371</v>
      </c>
      <c r="Q69" s="889"/>
    </row>
    <row r="70" spans="1:17" s="890" customFormat="1">
      <c r="A70" s="892" t="s">
        <v>169</v>
      </c>
      <c r="B70" s="885" t="s">
        <v>170</v>
      </c>
      <c r="C70" s="875" t="s">
        <v>273</v>
      </c>
      <c r="D70" s="886">
        <v>1918</v>
      </c>
      <c r="E70" s="887">
        <v>754</v>
      </c>
      <c r="F70" s="887">
        <v>974</v>
      </c>
      <c r="G70" s="893">
        <f t="shared" ref="G70:G101" si="7">D70-E70-F70</f>
        <v>190</v>
      </c>
      <c r="H70" s="886">
        <v>2814</v>
      </c>
      <c r="I70" s="887">
        <v>1118</v>
      </c>
      <c r="J70" s="887">
        <v>1441</v>
      </c>
      <c r="K70" s="893">
        <f t="shared" ref="K70:K101" si="8">H70-I70-J70</f>
        <v>255</v>
      </c>
      <c r="L70" s="886">
        <v>271</v>
      </c>
      <c r="M70" s="887">
        <v>79</v>
      </c>
      <c r="N70" s="887">
        <v>156</v>
      </c>
      <c r="O70" s="893">
        <f t="shared" ref="O70:O101" si="9">L70-M70-N70</f>
        <v>36</v>
      </c>
      <c r="P70" s="888">
        <v>5003</v>
      </c>
      <c r="Q70" s="889"/>
    </row>
    <row r="71" spans="1:17" s="890" customFormat="1">
      <c r="A71" s="892" t="s">
        <v>171</v>
      </c>
      <c r="B71" s="885" t="s">
        <v>172</v>
      </c>
      <c r="C71" s="875" t="s">
        <v>274</v>
      </c>
      <c r="D71" s="886">
        <v>2187</v>
      </c>
      <c r="E71" s="887">
        <v>1261</v>
      </c>
      <c r="F71" s="887">
        <v>627</v>
      </c>
      <c r="G71" s="893">
        <f t="shared" si="7"/>
        <v>299</v>
      </c>
      <c r="H71" s="886">
        <v>2846</v>
      </c>
      <c r="I71" s="887">
        <v>1739</v>
      </c>
      <c r="J71" s="887">
        <v>739</v>
      </c>
      <c r="K71" s="893">
        <f t="shared" si="8"/>
        <v>368</v>
      </c>
      <c r="L71" s="886">
        <v>246</v>
      </c>
      <c r="M71" s="887">
        <v>140</v>
      </c>
      <c r="N71" s="887">
        <v>78</v>
      </c>
      <c r="O71" s="893">
        <f t="shared" si="9"/>
        <v>28</v>
      </c>
      <c r="P71" s="888">
        <v>5279</v>
      </c>
      <c r="Q71" s="889"/>
    </row>
    <row r="72" spans="1:17" s="890" customFormat="1">
      <c r="A72" s="892" t="s">
        <v>173</v>
      </c>
      <c r="B72" s="885" t="s">
        <v>174</v>
      </c>
      <c r="C72" s="875" t="s">
        <v>274</v>
      </c>
      <c r="D72" s="886">
        <v>2026</v>
      </c>
      <c r="E72" s="887">
        <v>1796</v>
      </c>
      <c r="F72" s="887">
        <v>66</v>
      </c>
      <c r="G72" s="893">
        <f t="shared" si="7"/>
        <v>164</v>
      </c>
      <c r="H72" s="886">
        <v>3321</v>
      </c>
      <c r="I72" s="887">
        <v>2944</v>
      </c>
      <c r="J72" s="887">
        <v>77</v>
      </c>
      <c r="K72" s="893">
        <f t="shared" si="8"/>
        <v>300</v>
      </c>
      <c r="L72" s="886">
        <v>305</v>
      </c>
      <c r="M72" s="887">
        <v>244</v>
      </c>
      <c r="N72" s="887">
        <v>13</v>
      </c>
      <c r="O72" s="893">
        <f t="shared" si="9"/>
        <v>48</v>
      </c>
      <c r="P72" s="888">
        <v>5652</v>
      </c>
      <c r="Q72" s="889"/>
    </row>
    <row r="73" spans="1:17" s="890" customFormat="1">
      <c r="A73" s="892" t="s">
        <v>175</v>
      </c>
      <c r="B73" s="885" t="s">
        <v>176</v>
      </c>
      <c r="C73" s="875" t="s">
        <v>275</v>
      </c>
      <c r="D73" s="886">
        <v>1795</v>
      </c>
      <c r="E73" s="887">
        <v>1496</v>
      </c>
      <c r="F73" s="887">
        <v>158</v>
      </c>
      <c r="G73" s="893">
        <f t="shared" si="7"/>
        <v>141</v>
      </c>
      <c r="H73" s="886">
        <v>2994</v>
      </c>
      <c r="I73" s="887">
        <v>2502</v>
      </c>
      <c r="J73" s="887">
        <v>283</v>
      </c>
      <c r="K73" s="893">
        <f t="shared" si="8"/>
        <v>209</v>
      </c>
      <c r="L73" s="886">
        <v>305</v>
      </c>
      <c r="M73" s="887">
        <v>246</v>
      </c>
      <c r="N73" s="887">
        <v>32</v>
      </c>
      <c r="O73" s="893">
        <f t="shared" si="9"/>
        <v>27</v>
      </c>
      <c r="P73" s="888">
        <v>5094</v>
      </c>
      <c r="Q73" s="889"/>
    </row>
    <row r="74" spans="1:17" s="890" customFormat="1">
      <c r="A74" s="892" t="s">
        <v>179</v>
      </c>
      <c r="B74" s="885" t="s">
        <v>180</v>
      </c>
      <c r="C74" s="875" t="s">
        <v>272</v>
      </c>
      <c r="D74" s="886">
        <v>5278</v>
      </c>
      <c r="E74" s="887">
        <v>2942</v>
      </c>
      <c r="F74" s="887">
        <v>1618</v>
      </c>
      <c r="G74" s="893">
        <f t="shared" si="7"/>
        <v>718</v>
      </c>
      <c r="H74" s="886">
        <v>8112</v>
      </c>
      <c r="I74" s="887">
        <v>4324</v>
      </c>
      <c r="J74" s="887">
        <v>2618</v>
      </c>
      <c r="K74" s="893">
        <f t="shared" si="8"/>
        <v>1170</v>
      </c>
      <c r="L74" s="886">
        <v>926</v>
      </c>
      <c r="M74" s="887">
        <v>366</v>
      </c>
      <c r="N74" s="887">
        <v>370</v>
      </c>
      <c r="O74" s="893">
        <f t="shared" si="9"/>
        <v>190</v>
      </c>
      <c r="P74" s="888">
        <v>14316</v>
      </c>
      <c r="Q74" s="889"/>
    </row>
    <row r="75" spans="1:17" s="890" customFormat="1">
      <c r="A75" s="892" t="s">
        <v>183</v>
      </c>
      <c r="B75" s="885" t="s">
        <v>184</v>
      </c>
      <c r="C75" s="875" t="s">
        <v>273</v>
      </c>
      <c r="D75" s="886">
        <v>901</v>
      </c>
      <c r="E75" s="887">
        <v>579</v>
      </c>
      <c r="F75" s="887">
        <v>147</v>
      </c>
      <c r="G75" s="893">
        <f t="shared" si="7"/>
        <v>175</v>
      </c>
      <c r="H75" s="886">
        <v>1290</v>
      </c>
      <c r="I75" s="887">
        <v>778</v>
      </c>
      <c r="J75" s="887">
        <v>218</v>
      </c>
      <c r="K75" s="893">
        <f t="shared" si="8"/>
        <v>294</v>
      </c>
      <c r="L75" s="886">
        <v>104</v>
      </c>
      <c r="M75" s="887">
        <v>23</v>
      </c>
      <c r="N75" s="887">
        <v>49</v>
      </c>
      <c r="O75" s="893">
        <f t="shared" si="9"/>
        <v>32</v>
      </c>
      <c r="P75" s="888">
        <v>2295</v>
      </c>
      <c r="Q75" s="889"/>
    </row>
    <row r="76" spans="1:17" s="890" customFormat="1">
      <c r="A76" s="892" t="s">
        <v>185</v>
      </c>
      <c r="B76" s="885" t="s">
        <v>186</v>
      </c>
      <c r="C76" s="875" t="s">
        <v>273</v>
      </c>
      <c r="D76" s="886">
        <v>2014</v>
      </c>
      <c r="E76" s="887">
        <v>616</v>
      </c>
      <c r="F76" s="887">
        <v>1222</v>
      </c>
      <c r="G76" s="893">
        <f t="shared" si="7"/>
        <v>176</v>
      </c>
      <c r="H76" s="886">
        <v>2997</v>
      </c>
      <c r="I76" s="887">
        <v>1038</v>
      </c>
      <c r="J76" s="887">
        <v>1826</v>
      </c>
      <c r="K76" s="893">
        <f t="shared" si="8"/>
        <v>133</v>
      </c>
      <c r="L76" s="886">
        <v>275</v>
      </c>
      <c r="M76" s="887">
        <v>79</v>
      </c>
      <c r="N76" s="887">
        <v>182</v>
      </c>
      <c r="O76" s="893">
        <f t="shared" si="9"/>
        <v>14</v>
      </c>
      <c r="P76" s="888">
        <v>5286</v>
      </c>
      <c r="Q76" s="889"/>
    </row>
    <row r="77" spans="1:17" s="890" customFormat="1">
      <c r="A77" s="892" t="s">
        <v>187</v>
      </c>
      <c r="B77" s="885" t="s">
        <v>188</v>
      </c>
      <c r="C77" s="875" t="s">
        <v>271</v>
      </c>
      <c r="D77" s="886">
        <v>1849</v>
      </c>
      <c r="E77" s="887">
        <v>850</v>
      </c>
      <c r="F77" s="887">
        <v>788</v>
      </c>
      <c r="G77" s="893">
        <f t="shared" si="7"/>
        <v>211</v>
      </c>
      <c r="H77" s="886">
        <v>2362</v>
      </c>
      <c r="I77" s="887">
        <v>1297</v>
      </c>
      <c r="J77" s="887">
        <v>933</v>
      </c>
      <c r="K77" s="893">
        <f t="shared" si="8"/>
        <v>132</v>
      </c>
      <c r="L77" s="886">
        <v>129</v>
      </c>
      <c r="M77" s="887">
        <v>62</v>
      </c>
      <c r="N77" s="887">
        <v>57</v>
      </c>
      <c r="O77" s="893">
        <f t="shared" si="9"/>
        <v>10</v>
      </c>
      <c r="P77" s="888">
        <v>4340</v>
      </c>
      <c r="Q77" s="889"/>
    </row>
    <row r="78" spans="1:17" s="890" customFormat="1">
      <c r="A78" s="892" t="s">
        <v>189</v>
      </c>
      <c r="B78" s="885" t="s">
        <v>190</v>
      </c>
      <c r="C78" s="875" t="s">
        <v>274</v>
      </c>
      <c r="D78" s="886">
        <v>22193</v>
      </c>
      <c r="E78" s="887">
        <v>9899</v>
      </c>
      <c r="F78" s="887">
        <v>6990</v>
      </c>
      <c r="G78" s="893">
        <f t="shared" si="7"/>
        <v>5304</v>
      </c>
      <c r="H78" s="886">
        <v>22577</v>
      </c>
      <c r="I78" s="887">
        <v>10276</v>
      </c>
      <c r="J78" s="887">
        <v>7361</v>
      </c>
      <c r="K78" s="893">
        <f t="shared" si="8"/>
        <v>4940</v>
      </c>
      <c r="L78" s="886">
        <v>1822</v>
      </c>
      <c r="M78" s="887">
        <v>599</v>
      </c>
      <c r="N78" s="887">
        <v>362</v>
      </c>
      <c r="O78" s="893">
        <f t="shared" si="9"/>
        <v>861</v>
      </c>
      <c r="P78" s="888">
        <v>46592</v>
      </c>
      <c r="Q78" s="889"/>
    </row>
    <row r="79" spans="1:17" s="890" customFormat="1">
      <c r="A79" s="892" t="s">
        <v>191</v>
      </c>
      <c r="B79" s="885" t="s">
        <v>192</v>
      </c>
      <c r="C79" s="875" t="s">
        <v>275</v>
      </c>
      <c r="D79" s="886">
        <v>2862</v>
      </c>
      <c r="E79" s="887">
        <v>2292</v>
      </c>
      <c r="F79" s="887">
        <v>294</v>
      </c>
      <c r="G79" s="893">
        <f t="shared" si="7"/>
        <v>276</v>
      </c>
      <c r="H79" s="886">
        <v>5087</v>
      </c>
      <c r="I79" s="887">
        <v>4478</v>
      </c>
      <c r="J79" s="887">
        <v>473</v>
      </c>
      <c r="K79" s="893">
        <f t="shared" si="8"/>
        <v>136</v>
      </c>
      <c r="L79" s="886">
        <v>436</v>
      </c>
      <c r="M79" s="887">
        <v>388</v>
      </c>
      <c r="N79" s="887">
        <v>35</v>
      </c>
      <c r="O79" s="893">
        <f t="shared" si="9"/>
        <v>13</v>
      </c>
      <c r="P79" s="888">
        <v>8385</v>
      </c>
      <c r="Q79" s="889"/>
    </row>
    <row r="80" spans="1:17" s="890" customFormat="1">
      <c r="A80" s="892" t="s">
        <v>195</v>
      </c>
      <c r="B80" s="885" t="s">
        <v>196</v>
      </c>
      <c r="C80" s="875" t="s">
        <v>274</v>
      </c>
      <c r="D80" s="886">
        <v>363</v>
      </c>
      <c r="E80" s="887">
        <v>293</v>
      </c>
      <c r="F80" s="887">
        <v>37</v>
      </c>
      <c r="G80" s="893">
        <f t="shared" si="7"/>
        <v>33</v>
      </c>
      <c r="H80" s="886">
        <v>481</v>
      </c>
      <c r="I80" s="887">
        <v>414</v>
      </c>
      <c r="J80" s="887">
        <v>34</v>
      </c>
      <c r="K80" s="893">
        <f t="shared" si="8"/>
        <v>33</v>
      </c>
      <c r="L80" s="886">
        <v>50</v>
      </c>
      <c r="M80" s="887">
        <v>45</v>
      </c>
      <c r="N80" s="887">
        <v>5</v>
      </c>
      <c r="O80" s="893">
        <f t="shared" si="9"/>
        <v>0</v>
      </c>
      <c r="P80" s="888">
        <v>894</v>
      </c>
      <c r="Q80" s="889"/>
    </row>
    <row r="81" spans="1:17" s="890" customFormat="1">
      <c r="A81" s="892" t="s">
        <v>199</v>
      </c>
      <c r="B81" s="885" t="s">
        <v>279</v>
      </c>
      <c r="C81" s="875" t="s">
        <v>273</v>
      </c>
      <c r="D81" s="886">
        <v>778</v>
      </c>
      <c r="E81" s="887">
        <v>313</v>
      </c>
      <c r="F81" s="887">
        <v>354</v>
      </c>
      <c r="G81" s="893">
        <f t="shared" si="7"/>
        <v>111</v>
      </c>
      <c r="H81" s="886">
        <v>1215</v>
      </c>
      <c r="I81" s="887">
        <v>523</v>
      </c>
      <c r="J81" s="887">
        <v>528</v>
      </c>
      <c r="K81" s="893">
        <f t="shared" si="8"/>
        <v>164</v>
      </c>
      <c r="L81" s="886">
        <v>151</v>
      </c>
      <c r="M81" s="887">
        <v>63</v>
      </c>
      <c r="N81" s="887">
        <v>68</v>
      </c>
      <c r="O81" s="893">
        <f t="shared" si="9"/>
        <v>20</v>
      </c>
      <c r="P81" s="888">
        <v>2144</v>
      </c>
      <c r="Q81" s="889"/>
    </row>
    <row r="82" spans="1:17" s="890" customFormat="1">
      <c r="A82" s="892" t="s">
        <v>203</v>
      </c>
      <c r="B82" s="885" t="s">
        <v>311</v>
      </c>
      <c r="C82" s="875" t="s">
        <v>272</v>
      </c>
      <c r="D82" s="886">
        <v>5215</v>
      </c>
      <c r="E82" s="887">
        <v>3238</v>
      </c>
      <c r="F82" s="887">
        <v>982</v>
      </c>
      <c r="G82" s="893">
        <f t="shared" si="7"/>
        <v>995</v>
      </c>
      <c r="H82" s="886">
        <v>6956</v>
      </c>
      <c r="I82" s="887">
        <v>4819</v>
      </c>
      <c r="J82" s="887">
        <v>992</v>
      </c>
      <c r="K82" s="893">
        <f t="shared" si="8"/>
        <v>1145</v>
      </c>
      <c r="L82" s="886">
        <v>553</v>
      </c>
      <c r="M82" s="887">
        <v>332</v>
      </c>
      <c r="N82" s="887">
        <v>45</v>
      </c>
      <c r="O82" s="893">
        <f t="shared" si="9"/>
        <v>176</v>
      </c>
      <c r="P82" s="888">
        <v>12726</v>
      </c>
      <c r="Q82" s="889"/>
    </row>
    <row r="83" spans="1:17" s="890" customFormat="1">
      <c r="A83" s="892" t="s">
        <v>205</v>
      </c>
      <c r="B83" s="885" t="s">
        <v>303</v>
      </c>
      <c r="C83" s="875" t="s">
        <v>272</v>
      </c>
      <c r="D83" s="886">
        <v>2259</v>
      </c>
      <c r="E83" s="887">
        <v>1725</v>
      </c>
      <c r="F83" s="887">
        <v>197</v>
      </c>
      <c r="G83" s="893">
        <f t="shared" si="7"/>
        <v>337</v>
      </c>
      <c r="H83" s="886">
        <v>3380</v>
      </c>
      <c r="I83" s="887">
        <v>2834</v>
      </c>
      <c r="J83" s="887">
        <v>273</v>
      </c>
      <c r="K83" s="893">
        <f t="shared" si="8"/>
        <v>273</v>
      </c>
      <c r="L83" s="886">
        <v>328</v>
      </c>
      <c r="M83" s="887">
        <v>261</v>
      </c>
      <c r="N83" s="887">
        <v>21</v>
      </c>
      <c r="O83" s="893">
        <f t="shared" si="9"/>
        <v>46</v>
      </c>
      <c r="P83" s="888">
        <v>5967</v>
      </c>
      <c r="Q83" s="889"/>
    </row>
    <row r="84" spans="1:17" s="890" customFormat="1">
      <c r="A84" s="892" t="s">
        <v>207</v>
      </c>
      <c r="B84" s="885" t="s">
        <v>304</v>
      </c>
      <c r="C84" s="875" t="s">
        <v>274</v>
      </c>
      <c r="D84" s="886">
        <v>8010</v>
      </c>
      <c r="E84" s="887">
        <v>5106</v>
      </c>
      <c r="F84" s="887">
        <v>686</v>
      </c>
      <c r="G84" s="893">
        <f t="shared" si="7"/>
        <v>2218</v>
      </c>
      <c r="H84" s="886">
        <v>10306</v>
      </c>
      <c r="I84" s="887">
        <v>7182</v>
      </c>
      <c r="J84" s="887">
        <v>898</v>
      </c>
      <c r="K84" s="893">
        <f t="shared" si="8"/>
        <v>2226</v>
      </c>
      <c r="L84" s="886">
        <v>696</v>
      </c>
      <c r="M84" s="887">
        <v>520</v>
      </c>
      <c r="N84" s="887">
        <v>37</v>
      </c>
      <c r="O84" s="893">
        <f t="shared" si="9"/>
        <v>139</v>
      </c>
      <c r="P84" s="888">
        <v>19012</v>
      </c>
      <c r="Q84" s="889"/>
    </row>
    <row r="85" spans="1:17" s="890" customFormat="1">
      <c r="A85" s="892" t="s">
        <v>209</v>
      </c>
      <c r="B85" s="885" t="s">
        <v>210</v>
      </c>
      <c r="C85" s="875" t="s">
        <v>275</v>
      </c>
      <c r="D85" s="886">
        <v>2734</v>
      </c>
      <c r="E85" s="887">
        <v>2358</v>
      </c>
      <c r="F85" s="887">
        <v>38</v>
      </c>
      <c r="G85" s="893">
        <f t="shared" si="7"/>
        <v>338</v>
      </c>
      <c r="H85" s="886">
        <v>4731</v>
      </c>
      <c r="I85" s="887">
        <v>4201</v>
      </c>
      <c r="J85" s="887">
        <v>34</v>
      </c>
      <c r="K85" s="893">
        <f t="shared" si="8"/>
        <v>496</v>
      </c>
      <c r="L85" s="886">
        <v>493</v>
      </c>
      <c r="M85" s="887">
        <v>416</v>
      </c>
      <c r="N85" s="887">
        <v>2</v>
      </c>
      <c r="O85" s="893">
        <f t="shared" si="9"/>
        <v>75</v>
      </c>
      <c r="P85" s="888">
        <v>7958</v>
      </c>
      <c r="Q85" s="889"/>
    </row>
    <row r="86" spans="1:17" s="890" customFormat="1">
      <c r="A86" s="892" t="s">
        <v>211</v>
      </c>
      <c r="B86" s="885" t="s">
        <v>212</v>
      </c>
      <c r="C86" s="875" t="s">
        <v>275</v>
      </c>
      <c r="D86" s="886">
        <v>1922</v>
      </c>
      <c r="E86" s="887">
        <v>1718</v>
      </c>
      <c r="F86" s="887">
        <v>24</v>
      </c>
      <c r="G86" s="893">
        <f t="shared" si="7"/>
        <v>180</v>
      </c>
      <c r="H86" s="886">
        <v>3248</v>
      </c>
      <c r="I86" s="887">
        <v>3006</v>
      </c>
      <c r="J86" s="887">
        <v>43</v>
      </c>
      <c r="K86" s="893">
        <f t="shared" si="8"/>
        <v>199</v>
      </c>
      <c r="L86" s="886">
        <v>410</v>
      </c>
      <c r="M86" s="887">
        <v>376</v>
      </c>
      <c r="N86" s="887">
        <v>4</v>
      </c>
      <c r="O86" s="893">
        <f t="shared" si="9"/>
        <v>30</v>
      </c>
      <c r="P86" s="888">
        <v>5580</v>
      </c>
      <c r="Q86" s="889"/>
    </row>
    <row r="87" spans="1:17" s="890" customFormat="1">
      <c r="A87" s="892" t="s">
        <v>213</v>
      </c>
      <c r="B87" s="885" t="s">
        <v>214</v>
      </c>
      <c r="C87" s="875" t="s">
        <v>274</v>
      </c>
      <c r="D87" s="886">
        <v>3389</v>
      </c>
      <c r="E87" s="887">
        <v>2705</v>
      </c>
      <c r="F87" s="887">
        <v>118</v>
      </c>
      <c r="G87" s="893">
        <f t="shared" si="7"/>
        <v>566</v>
      </c>
      <c r="H87" s="886">
        <v>4564</v>
      </c>
      <c r="I87" s="887">
        <v>3641</v>
      </c>
      <c r="J87" s="887">
        <v>169</v>
      </c>
      <c r="K87" s="893">
        <f t="shared" si="8"/>
        <v>754</v>
      </c>
      <c r="L87" s="886">
        <v>287</v>
      </c>
      <c r="M87" s="887">
        <v>216</v>
      </c>
      <c r="N87" s="887">
        <v>9</v>
      </c>
      <c r="O87" s="893">
        <f t="shared" si="9"/>
        <v>62</v>
      </c>
      <c r="P87" s="888">
        <v>8240</v>
      </c>
      <c r="Q87" s="889"/>
    </row>
    <row r="88" spans="1:17" s="890" customFormat="1">
      <c r="A88" s="892" t="s">
        <v>215</v>
      </c>
      <c r="B88" s="885" t="s">
        <v>216</v>
      </c>
      <c r="C88" s="875" t="s">
        <v>275</v>
      </c>
      <c r="D88" s="886">
        <v>3266</v>
      </c>
      <c r="E88" s="887">
        <v>2788</v>
      </c>
      <c r="F88" s="887">
        <v>105</v>
      </c>
      <c r="G88" s="893">
        <f t="shared" si="7"/>
        <v>373</v>
      </c>
      <c r="H88" s="886">
        <v>5423</v>
      </c>
      <c r="I88" s="887">
        <v>4918</v>
      </c>
      <c r="J88" s="887">
        <v>122</v>
      </c>
      <c r="K88" s="893">
        <f t="shared" si="8"/>
        <v>383</v>
      </c>
      <c r="L88" s="886">
        <v>512</v>
      </c>
      <c r="M88" s="887">
        <v>452</v>
      </c>
      <c r="N88" s="887">
        <v>11</v>
      </c>
      <c r="O88" s="893">
        <f t="shared" si="9"/>
        <v>49</v>
      </c>
      <c r="P88" s="888">
        <v>9201</v>
      </c>
      <c r="Q88" s="889"/>
    </row>
    <row r="89" spans="1:17" s="890" customFormat="1">
      <c r="A89" s="892" t="s">
        <v>217</v>
      </c>
      <c r="B89" s="885" t="s">
        <v>218</v>
      </c>
      <c r="C89" s="875" t="s">
        <v>271</v>
      </c>
      <c r="D89" s="886">
        <v>1651</v>
      </c>
      <c r="E89" s="887">
        <v>489</v>
      </c>
      <c r="F89" s="887">
        <v>962</v>
      </c>
      <c r="G89" s="893">
        <f t="shared" si="7"/>
        <v>200</v>
      </c>
      <c r="H89" s="886">
        <v>2366</v>
      </c>
      <c r="I89" s="887">
        <v>660</v>
      </c>
      <c r="J89" s="887">
        <v>1378</v>
      </c>
      <c r="K89" s="893">
        <f t="shared" si="8"/>
        <v>328</v>
      </c>
      <c r="L89" s="886">
        <v>277</v>
      </c>
      <c r="M89" s="887">
        <v>51</v>
      </c>
      <c r="N89" s="887">
        <v>185</v>
      </c>
      <c r="O89" s="893">
        <f t="shared" si="9"/>
        <v>41</v>
      </c>
      <c r="P89" s="888">
        <v>4294</v>
      </c>
      <c r="Q89" s="889"/>
    </row>
    <row r="90" spans="1:17" s="890" customFormat="1">
      <c r="A90" s="892" t="s">
        <v>219</v>
      </c>
      <c r="B90" s="885" t="s">
        <v>220</v>
      </c>
      <c r="C90" s="875" t="s">
        <v>274</v>
      </c>
      <c r="D90" s="886">
        <v>8181</v>
      </c>
      <c r="E90" s="887">
        <v>4360</v>
      </c>
      <c r="F90" s="887">
        <v>2396</v>
      </c>
      <c r="G90" s="893">
        <f t="shared" si="7"/>
        <v>1425</v>
      </c>
      <c r="H90" s="886">
        <v>9746</v>
      </c>
      <c r="I90" s="887">
        <v>6013</v>
      </c>
      <c r="J90" s="887">
        <v>2627</v>
      </c>
      <c r="K90" s="893">
        <f t="shared" si="8"/>
        <v>1106</v>
      </c>
      <c r="L90" s="886">
        <v>512</v>
      </c>
      <c r="M90" s="887">
        <v>259</v>
      </c>
      <c r="N90" s="887">
        <v>145</v>
      </c>
      <c r="O90" s="893">
        <f t="shared" si="9"/>
        <v>108</v>
      </c>
      <c r="P90" s="888">
        <v>18439</v>
      </c>
      <c r="Q90" s="889"/>
    </row>
    <row r="91" spans="1:17" s="890" customFormat="1">
      <c r="A91" s="892" t="s">
        <v>221</v>
      </c>
      <c r="B91" s="885" t="s">
        <v>222</v>
      </c>
      <c r="C91" s="875" t="s">
        <v>274</v>
      </c>
      <c r="D91" s="886">
        <v>6975</v>
      </c>
      <c r="E91" s="887">
        <v>2632</v>
      </c>
      <c r="F91" s="887">
        <v>2020</v>
      </c>
      <c r="G91" s="893">
        <f t="shared" si="7"/>
        <v>2323</v>
      </c>
      <c r="H91" s="886">
        <v>7409</v>
      </c>
      <c r="I91" s="887">
        <v>3201</v>
      </c>
      <c r="J91" s="887">
        <v>1882</v>
      </c>
      <c r="K91" s="893">
        <f t="shared" si="8"/>
        <v>2326</v>
      </c>
      <c r="L91" s="886">
        <v>362</v>
      </c>
      <c r="M91" s="887">
        <v>130</v>
      </c>
      <c r="N91" s="887">
        <v>63</v>
      </c>
      <c r="O91" s="893">
        <f t="shared" si="9"/>
        <v>169</v>
      </c>
      <c r="P91" s="888">
        <v>14746</v>
      </c>
      <c r="Q91" s="889"/>
    </row>
    <row r="92" spans="1:17" s="890" customFormat="1">
      <c r="A92" s="892" t="s">
        <v>225</v>
      </c>
      <c r="B92" s="885" t="s">
        <v>226</v>
      </c>
      <c r="C92" s="875" t="s">
        <v>271</v>
      </c>
      <c r="D92" s="886">
        <v>507</v>
      </c>
      <c r="E92" s="887">
        <v>183</v>
      </c>
      <c r="F92" s="887">
        <v>311</v>
      </c>
      <c r="G92" s="893">
        <f t="shared" si="7"/>
        <v>13</v>
      </c>
      <c r="H92" s="886">
        <v>833</v>
      </c>
      <c r="I92" s="887">
        <v>302</v>
      </c>
      <c r="J92" s="887">
        <v>490</v>
      </c>
      <c r="K92" s="893">
        <f t="shared" si="8"/>
        <v>41</v>
      </c>
      <c r="L92" s="886">
        <v>81</v>
      </c>
      <c r="M92" s="887">
        <v>14</v>
      </c>
      <c r="N92" s="887">
        <v>65</v>
      </c>
      <c r="O92" s="893">
        <f t="shared" si="9"/>
        <v>2</v>
      </c>
      <c r="P92" s="888">
        <v>1421</v>
      </c>
      <c r="Q92" s="889"/>
    </row>
    <row r="93" spans="1:17" s="890" customFormat="1">
      <c r="A93" s="892" t="s">
        <v>227</v>
      </c>
      <c r="B93" s="885" t="s">
        <v>228</v>
      </c>
      <c r="C93" s="875" t="s">
        <v>271</v>
      </c>
      <c r="D93" s="886">
        <v>1059</v>
      </c>
      <c r="E93" s="887">
        <v>206</v>
      </c>
      <c r="F93" s="887">
        <v>686</v>
      </c>
      <c r="G93" s="893">
        <f t="shared" si="7"/>
        <v>167</v>
      </c>
      <c r="H93" s="886">
        <v>1519</v>
      </c>
      <c r="I93" s="887">
        <v>310</v>
      </c>
      <c r="J93" s="887">
        <v>977</v>
      </c>
      <c r="K93" s="893">
        <f t="shared" si="8"/>
        <v>232</v>
      </c>
      <c r="L93" s="886">
        <v>168</v>
      </c>
      <c r="M93" s="887">
        <v>19</v>
      </c>
      <c r="N93" s="887">
        <v>112</v>
      </c>
      <c r="O93" s="893">
        <f t="shared" si="9"/>
        <v>37</v>
      </c>
      <c r="P93" s="888">
        <v>2746</v>
      </c>
      <c r="Q93" s="889"/>
    </row>
    <row r="94" spans="1:17" s="890" customFormat="1">
      <c r="A94" s="892" t="s">
        <v>229</v>
      </c>
      <c r="B94" s="885" t="s">
        <v>230</v>
      </c>
      <c r="C94" s="875" t="s">
        <v>275</v>
      </c>
      <c r="D94" s="886">
        <v>3895</v>
      </c>
      <c r="E94" s="887">
        <v>3357</v>
      </c>
      <c r="F94" s="887">
        <v>191</v>
      </c>
      <c r="G94" s="893">
        <f t="shared" si="7"/>
        <v>347</v>
      </c>
      <c r="H94" s="886">
        <v>6212</v>
      </c>
      <c r="I94" s="887">
        <v>5703</v>
      </c>
      <c r="J94" s="887">
        <v>199</v>
      </c>
      <c r="K94" s="893">
        <f t="shared" si="8"/>
        <v>310</v>
      </c>
      <c r="L94" s="886">
        <v>557</v>
      </c>
      <c r="M94" s="887">
        <v>484</v>
      </c>
      <c r="N94" s="887">
        <v>24</v>
      </c>
      <c r="O94" s="893">
        <f t="shared" si="9"/>
        <v>49</v>
      </c>
      <c r="P94" s="888">
        <v>10664</v>
      </c>
      <c r="Q94" s="889"/>
    </row>
    <row r="95" spans="1:17" s="890" customFormat="1">
      <c r="A95" s="892" t="s">
        <v>233</v>
      </c>
      <c r="B95" s="885" t="s">
        <v>234</v>
      </c>
      <c r="C95" s="875" t="s">
        <v>274</v>
      </c>
      <c r="D95" s="886">
        <v>2896</v>
      </c>
      <c r="E95" s="887">
        <v>2156</v>
      </c>
      <c r="F95" s="887">
        <v>312</v>
      </c>
      <c r="G95" s="893">
        <f t="shared" si="7"/>
        <v>428</v>
      </c>
      <c r="H95" s="886">
        <v>4243</v>
      </c>
      <c r="I95" s="887">
        <v>3214</v>
      </c>
      <c r="J95" s="887">
        <v>417</v>
      </c>
      <c r="K95" s="893">
        <f t="shared" si="8"/>
        <v>612</v>
      </c>
      <c r="L95" s="886">
        <v>264</v>
      </c>
      <c r="M95" s="887">
        <v>158</v>
      </c>
      <c r="N95" s="887">
        <v>25</v>
      </c>
      <c r="O95" s="893">
        <f t="shared" si="9"/>
        <v>81</v>
      </c>
      <c r="P95" s="888">
        <v>7403</v>
      </c>
      <c r="Q95" s="889"/>
    </row>
    <row r="96" spans="1:17" s="890" customFormat="1">
      <c r="A96" s="892" t="s">
        <v>235</v>
      </c>
      <c r="B96" s="885" t="s">
        <v>236</v>
      </c>
      <c r="C96" s="875" t="s">
        <v>275</v>
      </c>
      <c r="D96" s="886">
        <v>3988</v>
      </c>
      <c r="E96" s="887">
        <v>3610</v>
      </c>
      <c r="F96" s="887">
        <v>107</v>
      </c>
      <c r="G96" s="893">
        <f t="shared" si="7"/>
        <v>271</v>
      </c>
      <c r="H96" s="886">
        <v>6305</v>
      </c>
      <c r="I96" s="887">
        <v>5958</v>
      </c>
      <c r="J96" s="887">
        <v>146</v>
      </c>
      <c r="K96" s="893">
        <f t="shared" si="8"/>
        <v>201</v>
      </c>
      <c r="L96" s="886">
        <v>635</v>
      </c>
      <c r="M96" s="887">
        <v>607</v>
      </c>
      <c r="N96" s="887">
        <v>11</v>
      </c>
      <c r="O96" s="893">
        <f t="shared" si="9"/>
        <v>17</v>
      </c>
      <c r="P96" s="888">
        <v>10928</v>
      </c>
      <c r="Q96" s="889"/>
    </row>
    <row r="97" spans="1:17" s="890" customFormat="1">
      <c r="A97" s="892" t="s">
        <v>237</v>
      </c>
      <c r="B97" s="885" t="s">
        <v>238</v>
      </c>
      <c r="C97" s="875" t="s">
        <v>273</v>
      </c>
      <c r="D97" s="886">
        <v>1791</v>
      </c>
      <c r="E97" s="887">
        <v>695</v>
      </c>
      <c r="F97" s="887">
        <v>809</v>
      </c>
      <c r="G97" s="893">
        <f t="shared" si="7"/>
        <v>287</v>
      </c>
      <c r="H97" s="886">
        <v>2571</v>
      </c>
      <c r="I97" s="887">
        <v>1042</v>
      </c>
      <c r="J97" s="887">
        <v>1046</v>
      </c>
      <c r="K97" s="893">
        <f t="shared" si="8"/>
        <v>483</v>
      </c>
      <c r="L97" s="886">
        <v>293</v>
      </c>
      <c r="M97" s="887">
        <v>87</v>
      </c>
      <c r="N97" s="887">
        <v>129</v>
      </c>
      <c r="O97" s="893">
        <f t="shared" si="9"/>
        <v>77</v>
      </c>
      <c r="P97" s="888">
        <v>4655</v>
      </c>
      <c r="Q97" s="889"/>
    </row>
    <row r="98" spans="1:17" s="890" customFormat="1">
      <c r="A98" s="892" t="s">
        <v>243</v>
      </c>
      <c r="B98" s="885" t="s">
        <v>244</v>
      </c>
      <c r="C98" s="875" t="s">
        <v>275</v>
      </c>
      <c r="D98" s="886">
        <v>4353</v>
      </c>
      <c r="E98" s="887">
        <v>3717</v>
      </c>
      <c r="F98" s="887">
        <v>136</v>
      </c>
      <c r="G98" s="893">
        <f t="shared" si="7"/>
        <v>500</v>
      </c>
      <c r="H98" s="886">
        <v>7182</v>
      </c>
      <c r="I98" s="887">
        <v>6463</v>
      </c>
      <c r="J98" s="887">
        <v>160</v>
      </c>
      <c r="K98" s="893">
        <f t="shared" si="8"/>
        <v>559</v>
      </c>
      <c r="L98" s="886">
        <v>492</v>
      </c>
      <c r="M98" s="887">
        <v>420</v>
      </c>
      <c r="N98" s="887">
        <v>8</v>
      </c>
      <c r="O98" s="893">
        <f t="shared" si="9"/>
        <v>64</v>
      </c>
      <c r="P98" s="888">
        <v>12027</v>
      </c>
      <c r="Q98" s="889"/>
    </row>
    <row r="99" spans="1:17" s="890" customFormat="1">
      <c r="A99" s="892" t="s">
        <v>245</v>
      </c>
      <c r="B99" s="885" t="s">
        <v>246</v>
      </c>
      <c r="C99" s="875" t="s">
        <v>275</v>
      </c>
      <c r="D99" s="886">
        <v>2369</v>
      </c>
      <c r="E99" s="887">
        <v>1924</v>
      </c>
      <c r="F99" s="887">
        <v>165</v>
      </c>
      <c r="G99" s="893">
        <f t="shared" si="7"/>
        <v>280</v>
      </c>
      <c r="H99" s="886">
        <v>3952</v>
      </c>
      <c r="I99" s="887">
        <v>3388</v>
      </c>
      <c r="J99" s="887">
        <v>237</v>
      </c>
      <c r="K99" s="893">
        <f t="shared" si="8"/>
        <v>327</v>
      </c>
      <c r="L99" s="886">
        <v>365</v>
      </c>
      <c r="M99" s="887">
        <v>306</v>
      </c>
      <c r="N99" s="887">
        <v>9</v>
      </c>
      <c r="O99" s="893">
        <f t="shared" si="9"/>
        <v>50</v>
      </c>
      <c r="P99" s="888">
        <v>6687</v>
      </c>
      <c r="Q99" s="889"/>
    </row>
    <row r="100" spans="1:17" s="890" customFormat="1">
      <c r="A100" s="892" t="s">
        <v>247</v>
      </c>
      <c r="B100" s="885" t="s">
        <v>248</v>
      </c>
      <c r="C100" s="875" t="s">
        <v>271</v>
      </c>
      <c r="D100" s="886">
        <v>2343</v>
      </c>
      <c r="E100" s="887">
        <v>1225</v>
      </c>
      <c r="F100" s="887">
        <v>839</v>
      </c>
      <c r="G100" s="893">
        <f t="shared" si="7"/>
        <v>279</v>
      </c>
      <c r="H100" s="886">
        <v>2780</v>
      </c>
      <c r="I100" s="887">
        <v>1540</v>
      </c>
      <c r="J100" s="887">
        <v>925</v>
      </c>
      <c r="K100" s="893">
        <f t="shared" si="8"/>
        <v>315</v>
      </c>
      <c r="L100" s="886">
        <v>174</v>
      </c>
      <c r="M100" s="887">
        <v>66</v>
      </c>
      <c r="N100" s="887">
        <v>50</v>
      </c>
      <c r="O100" s="893">
        <f t="shared" si="9"/>
        <v>58</v>
      </c>
      <c r="P100" s="888">
        <v>5297</v>
      </c>
      <c r="Q100" s="889"/>
    </row>
    <row r="101" spans="1:17" s="890" customFormat="1">
      <c r="A101" s="892" t="s">
        <v>14</v>
      </c>
      <c r="B101" s="885" t="s">
        <v>15</v>
      </c>
      <c r="C101" s="875" t="s">
        <v>274</v>
      </c>
      <c r="D101" s="886">
        <v>6118</v>
      </c>
      <c r="E101" s="887">
        <v>2193</v>
      </c>
      <c r="F101" s="887">
        <v>2381</v>
      </c>
      <c r="G101" s="893">
        <f t="shared" si="7"/>
        <v>1544</v>
      </c>
      <c r="H101" s="886">
        <v>7675</v>
      </c>
      <c r="I101" s="887">
        <v>2427</v>
      </c>
      <c r="J101" s="887">
        <v>3386</v>
      </c>
      <c r="K101" s="893">
        <f t="shared" si="8"/>
        <v>1862</v>
      </c>
      <c r="L101" s="886">
        <v>1000</v>
      </c>
      <c r="M101" s="887">
        <v>260</v>
      </c>
      <c r="N101" s="887">
        <v>360</v>
      </c>
      <c r="O101" s="893">
        <f t="shared" si="9"/>
        <v>380</v>
      </c>
      <c r="P101" s="888">
        <v>14793</v>
      </c>
      <c r="Q101" s="889"/>
    </row>
    <row r="102" spans="1:17" s="890" customFormat="1">
      <c r="A102" s="892" t="s">
        <v>35</v>
      </c>
      <c r="B102" s="885" t="s">
        <v>36</v>
      </c>
      <c r="C102" s="875" t="s">
        <v>275</v>
      </c>
      <c r="D102" s="886">
        <v>2480</v>
      </c>
      <c r="E102" s="887">
        <v>1929</v>
      </c>
      <c r="F102" s="887">
        <v>299</v>
      </c>
      <c r="G102" s="893">
        <f t="shared" ref="G102:G125" si="10">D102-E102-F102</f>
        <v>252</v>
      </c>
      <c r="H102" s="886">
        <v>4016</v>
      </c>
      <c r="I102" s="887">
        <v>3465</v>
      </c>
      <c r="J102" s="887">
        <v>400</v>
      </c>
      <c r="K102" s="893">
        <f t="shared" ref="K102:K125" si="11">H102-I102-J102</f>
        <v>151</v>
      </c>
      <c r="L102" s="886">
        <v>325</v>
      </c>
      <c r="M102" s="887">
        <v>293</v>
      </c>
      <c r="N102" s="887">
        <v>23</v>
      </c>
      <c r="O102" s="893">
        <f t="shared" ref="O102:O125" si="12">L102-M102-N102</f>
        <v>9</v>
      </c>
      <c r="P102" s="888">
        <v>6821</v>
      </c>
      <c r="Q102" s="889"/>
    </row>
    <row r="103" spans="1:17" s="890" customFormat="1">
      <c r="A103" s="892" t="s">
        <v>53</v>
      </c>
      <c r="B103" s="885" t="s">
        <v>54</v>
      </c>
      <c r="C103" s="875" t="s">
        <v>272</v>
      </c>
      <c r="D103" s="886">
        <v>3104</v>
      </c>
      <c r="E103" s="887">
        <v>727</v>
      </c>
      <c r="F103" s="887">
        <v>1909</v>
      </c>
      <c r="G103" s="893">
        <f t="shared" si="10"/>
        <v>468</v>
      </c>
      <c r="H103" s="886">
        <v>5159</v>
      </c>
      <c r="I103" s="887">
        <v>1748</v>
      </c>
      <c r="J103" s="887">
        <v>2757</v>
      </c>
      <c r="K103" s="893">
        <f t="shared" si="11"/>
        <v>654</v>
      </c>
      <c r="L103" s="886">
        <v>336</v>
      </c>
      <c r="M103" s="887">
        <v>125</v>
      </c>
      <c r="N103" s="887">
        <v>152</v>
      </c>
      <c r="O103" s="893">
        <f t="shared" si="12"/>
        <v>59</v>
      </c>
      <c r="P103" s="888">
        <v>8599</v>
      </c>
      <c r="Q103" s="889"/>
    </row>
    <row r="104" spans="1:17" s="890" customFormat="1">
      <c r="A104" s="892" t="s">
        <v>55</v>
      </c>
      <c r="B104" s="885" t="s">
        <v>56</v>
      </c>
      <c r="C104" s="875" t="s">
        <v>271</v>
      </c>
      <c r="D104" s="886">
        <v>15373</v>
      </c>
      <c r="E104" s="887">
        <v>4118</v>
      </c>
      <c r="F104" s="887">
        <v>9428</v>
      </c>
      <c r="G104" s="893">
        <f t="shared" si="10"/>
        <v>1827</v>
      </c>
      <c r="H104" s="886">
        <v>17934</v>
      </c>
      <c r="I104" s="887">
        <v>6053</v>
      </c>
      <c r="J104" s="887">
        <v>10312</v>
      </c>
      <c r="K104" s="893">
        <f t="shared" si="11"/>
        <v>1569</v>
      </c>
      <c r="L104" s="886">
        <v>1165</v>
      </c>
      <c r="M104" s="887">
        <v>372</v>
      </c>
      <c r="N104" s="887">
        <v>575</v>
      </c>
      <c r="O104" s="893">
        <f t="shared" si="12"/>
        <v>218</v>
      </c>
      <c r="P104" s="888">
        <v>34473</v>
      </c>
      <c r="Q104" s="889"/>
    </row>
    <row r="105" spans="1:17" s="890" customFormat="1">
      <c r="A105" s="892" t="s">
        <v>67</v>
      </c>
      <c r="B105" s="885" t="s">
        <v>68</v>
      </c>
      <c r="C105" s="875" t="s">
        <v>272</v>
      </c>
      <c r="D105" s="886">
        <v>6863</v>
      </c>
      <c r="E105" s="887">
        <v>1330</v>
      </c>
      <c r="F105" s="887">
        <v>4671</v>
      </c>
      <c r="G105" s="893">
        <f t="shared" si="10"/>
        <v>862</v>
      </c>
      <c r="H105" s="886">
        <v>10527</v>
      </c>
      <c r="I105" s="887">
        <v>2572</v>
      </c>
      <c r="J105" s="887">
        <v>6598</v>
      </c>
      <c r="K105" s="893">
        <f t="shared" si="11"/>
        <v>1357</v>
      </c>
      <c r="L105" s="886">
        <v>870</v>
      </c>
      <c r="M105" s="887">
        <v>275</v>
      </c>
      <c r="N105" s="887">
        <v>464</v>
      </c>
      <c r="O105" s="893">
        <f t="shared" si="12"/>
        <v>131</v>
      </c>
      <c r="P105" s="888">
        <v>18260</v>
      </c>
      <c r="Q105" s="889"/>
    </row>
    <row r="106" spans="1:17" s="890" customFormat="1">
      <c r="A106" s="892" t="s">
        <v>83</v>
      </c>
      <c r="B106" s="885" t="s">
        <v>84</v>
      </c>
      <c r="C106" s="875" t="s">
        <v>271</v>
      </c>
      <c r="D106" s="886">
        <v>1474</v>
      </c>
      <c r="E106" s="887">
        <v>105</v>
      </c>
      <c r="F106" s="887">
        <v>1185</v>
      </c>
      <c r="G106" s="893">
        <f t="shared" si="10"/>
        <v>184</v>
      </c>
      <c r="H106" s="886">
        <v>2053</v>
      </c>
      <c r="I106" s="887">
        <v>217</v>
      </c>
      <c r="J106" s="887">
        <v>1688</v>
      </c>
      <c r="K106" s="893">
        <f t="shared" si="11"/>
        <v>148</v>
      </c>
      <c r="L106" s="886">
        <v>159</v>
      </c>
      <c r="M106" s="887">
        <v>12</v>
      </c>
      <c r="N106" s="887">
        <v>137</v>
      </c>
      <c r="O106" s="893">
        <f t="shared" si="12"/>
        <v>10</v>
      </c>
      <c r="P106" s="888">
        <v>3686</v>
      </c>
      <c r="Q106" s="889"/>
    </row>
    <row r="107" spans="1:17" s="890" customFormat="1">
      <c r="A107" s="892" t="s">
        <v>89</v>
      </c>
      <c r="B107" s="885" t="s">
        <v>90</v>
      </c>
      <c r="C107" s="875" t="s">
        <v>274</v>
      </c>
      <c r="D107" s="886">
        <v>3023</v>
      </c>
      <c r="E107" s="887">
        <v>918</v>
      </c>
      <c r="F107" s="887">
        <v>1451</v>
      </c>
      <c r="G107" s="893">
        <f t="shared" si="10"/>
        <v>654</v>
      </c>
      <c r="H107" s="886">
        <v>4278</v>
      </c>
      <c r="I107" s="887">
        <v>1790</v>
      </c>
      <c r="J107" s="887">
        <v>1759</v>
      </c>
      <c r="K107" s="893">
        <f t="shared" si="11"/>
        <v>729</v>
      </c>
      <c r="L107" s="886">
        <v>244</v>
      </c>
      <c r="M107" s="887">
        <v>105</v>
      </c>
      <c r="N107" s="887">
        <v>98</v>
      </c>
      <c r="O107" s="893">
        <f t="shared" si="12"/>
        <v>41</v>
      </c>
      <c r="P107" s="888">
        <v>7545</v>
      </c>
      <c r="Q107" s="889"/>
    </row>
    <row r="108" spans="1:17" s="890" customFormat="1">
      <c r="A108" s="892" t="s">
        <v>91</v>
      </c>
      <c r="B108" s="885" t="s">
        <v>92</v>
      </c>
      <c r="C108" s="875" t="s">
        <v>275</v>
      </c>
      <c r="D108" s="886">
        <v>1074</v>
      </c>
      <c r="E108" s="887">
        <v>875</v>
      </c>
      <c r="F108" s="887">
        <v>123</v>
      </c>
      <c r="G108" s="893">
        <f t="shared" si="10"/>
        <v>76</v>
      </c>
      <c r="H108" s="886">
        <v>1677</v>
      </c>
      <c r="I108" s="887">
        <v>1347</v>
      </c>
      <c r="J108" s="887">
        <v>156</v>
      </c>
      <c r="K108" s="893">
        <f t="shared" si="11"/>
        <v>174</v>
      </c>
      <c r="L108" s="886">
        <v>184</v>
      </c>
      <c r="M108" s="887">
        <v>142</v>
      </c>
      <c r="N108" s="887">
        <v>9</v>
      </c>
      <c r="O108" s="893">
        <f t="shared" si="12"/>
        <v>33</v>
      </c>
      <c r="P108" s="888">
        <v>2935</v>
      </c>
      <c r="Q108" s="889"/>
    </row>
    <row r="109" spans="1:17" s="890" customFormat="1">
      <c r="A109" s="892" t="s">
        <v>107</v>
      </c>
      <c r="B109" s="885" t="s">
        <v>108</v>
      </c>
      <c r="C109" s="875" t="s">
        <v>271</v>
      </c>
      <c r="D109" s="886">
        <v>13799</v>
      </c>
      <c r="E109" s="887">
        <v>2431</v>
      </c>
      <c r="F109" s="887">
        <v>9442</v>
      </c>
      <c r="G109" s="893">
        <f t="shared" si="10"/>
        <v>1926</v>
      </c>
      <c r="H109" s="886">
        <v>17842</v>
      </c>
      <c r="I109" s="887">
        <v>3934</v>
      </c>
      <c r="J109" s="887">
        <v>11983</v>
      </c>
      <c r="K109" s="893">
        <f t="shared" si="11"/>
        <v>1925</v>
      </c>
      <c r="L109" s="886">
        <v>934</v>
      </c>
      <c r="M109" s="887">
        <v>195</v>
      </c>
      <c r="N109" s="887">
        <v>540</v>
      </c>
      <c r="O109" s="893">
        <f t="shared" si="12"/>
        <v>199</v>
      </c>
      <c r="P109" s="888">
        <v>32575</v>
      </c>
      <c r="Q109" s="889"/>
    </row>
    <row r="110" spans="1:17" s="890" customFormat="1">
      <c r="A110" s="892" t="s">
        <v>117</v>
      </c>
      <c r="B110" s="885" t="s">
        <v>118</v>
      </c>
      <c r="C110" s="875" t="s">
        <v>273</v>
      </c>
      <c r="D110" s="886">
        <v>4147</v>
      </c>
      <c r="E110" s="887">
        <v>1333</v>
      </c>
      <c r="F110" s="887">
        <v>2271</v>
      </c>
      <c r="G110" s="893">
        <f t="shared" si="10"/>
        <v>543</v>
      </c>
      <c r="H110" s="886">
        <v>5380</v>
      </c>
      <c r="I110" s="887">
        <v>2059</v>
      </c>
      <c r="J110" s="887">
        <v>2695</v>
      </c>
      <c r="K110" s="893">
        <f t="shared" si="11"/>
        <v>626</v>
      </c>
      <c r="L110" s="886">
        <v>246</v>
      </c>
      <c r="M110" s="887">
        <v>98</v>
      </c>
      <c r="N110" s="887">
        <v>118</v>
      </c>
      <c r="O110" s="893">
        <f t="shared" si="12"/>
        <v>30</v>
      </c>
      <c r="P110" s="888">
        <v>9773</v>
      </c>
      <c r="Q110" s="889"/>
    </row>
    <row r="111" spans="1:17" s="890" customFormat="1">
      <c r="A111" s="892" t="s">
        <v>139</v>
      </c>
      <c r="B111" s="885" t="s">
        <v>140</v>
      </c>
      <c r="C111" s="875" t="s">
        <v>272</v>
      </c>
      <c r="D111" s="886">
        <v>7567</v>
      </c>
      <c r="E111" s="887">
        <v>1849</v>
      </c>
      <c r="F111" s="887">
        <v>4558</v>
      </c>
      <c r="G111" s="893">
        <f t="shared" si="10"/>
        <v>1160</v>
      </c>
      <c r="H111" s="886">
        <v>10731</v>
      </c>
      <c r="I111" s="887">
        <v>3372</v>
      </c>
      <c r="J111" s="887">
        <v>6081</v>
      </c>
      <c r="K111" s="893">
        <f t="shared" si="11"/>
        <v>1278</v>
      </c>
      <c r="L111" s="886">
        <v>691</v>
      </c>
      <c r="M111" s="887">
        <v>222</v>
      </c>
      <c r="N111" s="887">
        <v>350</v>
      </c>
      <c r="O111" s="893">
        <f t="shared" si="12"/>
        <v>119</v>
      </c>
      <c r="P111" s="888">
        <v>18989</v>
      </c>
      <c r="Q111" s="889"/>
    </row>
    <row r="112" spans="1:17" s="890" customFormat="1">
      <c r="A112" s="892" t="s">
        <v>143</v>
      </c>
      <c r="B112" s="885" t="s">
        <v>144</v>
      </c>
      <c r="C112" s="875" t="s">
        <v>274</v>
      </c>
      <c r="D112" s="886">
        <v>3775</v>
      </c>
      <c r="E112" s="887">
        <v>1517</v>
      </c>
      <c r="F112" s="887">
        <v>692</v>
      </c>
      <c r="G112" s="893">
        <f t="shared" si="10"/>
        <v>1566</v>
      </c>
      <c r="H112" s="886">
        <v>3528</v>
      </c>
      <c r="I112" s="887">
        <v>1555</v>
      </c>
      <c r="J112" s="887">
        <v>903</v>
      </c>
      <c r="K112" s="893">
        <f t="shared" si="11"/>
        <v>1070</v>
      </c>
      <c r="L112" s="886">
        <v>175</v>
      </c>
      <c r="M112" s="887">
        <v>73</v>
      </c>
      <c r="N112" s="887">
        <v>40</v>
      </c>
      <c r="O112" s="893">
        <f t="shared" si="12"/>
        <v>62</v>
      </c>
      <c r="P112" s="888">
        <v>7480</v>
      </c>
      <c r="Q112" s="889"/>
    </row>
    <row r="113" spans="1:17" s="890" customFormat="1">
      <c r="A113" s="892" t="s">
        <v>145</v>
      </c>
      <c r="B113" s="885" t="s">
        <v>146</v>
      </c>
      <c r="C113" s="875" t="s">
        <v>274</v>
      </c>
      <c r="D113" s="886">
        <v>1092</v>
      </c>
      <c r="E113" s="887">
        <v>451</v>
      </c>
      <c r="F113" s="887">
        <v>176</v>
      </c>
      <c r="G113" s="893">
        <f t="shared" si="10"/>
        <v>465</v>
      </c>
      <c r="H113" s="886">
        <v>1047</v>
      </c>
      <c r="I113" s="887">
        <v>510</v>
      </c>
      <c r="J113" s="887">
        <v>161</v>
      </c>
      <c r="K113" s="893">
        <f t="shared" si="11"/>
        <v>376</v>
      </c>
      <c r="L113" s="886">
        <v>83</v>
      </c>
      <c r="M113" s="887">
        <v>30</v>
      </c>
      <c r="N113" s="887">
        <v>19</v>
      </c>
      <c r="O113" s="893">
        <f t="shared" si="12"/>
        <v>34</v>
      </c>
      <c r="P113" s="888">
        <v>2222</v>
      </c>
      <c r="Q113" s="889"/>
    </row>
    <row r="114" spans="1:17" s="890" customFormat="1">
      <c r="A114" s="892" t="s">
        <v>159</v>
      </c>
      <c r="B114" s="885" t="s">
        <v>160</v>
      </c>
      <c r="C114" s="875" t="s">
        <v>271</v>
      </c>
      <c r="D114" s="886">
        <v>21475</v>
      </c>
      <c r="E114" s="887">
        <v>3248</v>
      </c>
      <c r="F114" s="887">
        <v>14848</v>
      </c>
      <c r="G114" s="893">
        <f t="shared" si="10"/>
        <v>3379</v>
      </c>
      <c r="H114" s="886">
        <v>28050</v>
      </c>
      <c r="I114" s="887">
        <v>5276</v>
      </c>
      <c r="J114" s="887">
        <v>18802</v>
      </c>
      <c r="K114" s="893">
        <f t="shared" si="11"/>
        <v>3972</v>
      </c>
      <c r="L114" s="886">
        <v>1385</v>
      </c>
      <c r="M114" s="887">
        <v>266</v>
      </c>
      <c r="N114" s="887">
        <v>750</v>
      </c>
      <c r="O114" s="893">
        <f t="shared" si="12"/>
        <v>369</v>
      </c>
      <c r="P114" s="888">
        <v>50910</v>
      </c>
      <c r="Q114" s="889"/>
    </row>
    <row r="115" spans="1:17" s="890" customFormat="1">
      <c r="A115" s="892" t="s">
        <v>161</v>
      </c>
      <c r="B115" s="885" t="s">
        <v>162</v>
      </c>
      <c r="C115" s="875" t="s">
        <v>271</v>
      </c>
      <c r="D115" s="886">
        <v>27882</v>
      </c>
      <c r="E115" s="887">
        <v>3532</v>
      </c>
      <c r="F115" s="887">
        <v>20587</v>
      </c>
      <c r="G115" s="893">
        <f t="shared" si="10"/>
        <v>3763</v>
      </c>
      <c r="H115" s="886">
        <v>38038</v>
      </c>
      <c r="I115" s="887">
        <v>6793</v>
      </c>
      <c r="J115" s="887">
        <v>27086</v>
      </c>
      <c r="K115" s="893">
        <f t="shared" si="11"/>
        <v>4159</v>
      </c>
      <c r="L115" s="886">
        <v>2360</v>
      </c>
      <c r="M115" s="887">
        <v>481</v>
      </c>
      <c r="N115" s="887">
        <v>1593</v>
      </c>
      <c r="O115" s="893">
        <f t="shared" si="12"/>
        <v>286</v>
      </c>
      <c r="P115" s="888">
        <v>68281</v>
      </c>
      <c r="Q115" s="889"/>
    </row>
    <row r="116" spans="1:17" s="890" customFormat="1">
      <c r="A116" s="892" t="s">
        <v>167</v>
      </c>
      <c r="B116" s="885" t="s">
        <v>168</v>
      </c>
      <c r="C116" s="875" t="s">
        <v>275</v>
      </c>
      <c r="D116" s="886">
        <v>554</v>
      </c>
      <c r="E116" s="887">
        <v>418</v>
      </c>
      <c r="F116" s="887">
        <v>56</v>
      </c>
      <c r="G116" s="893">
        <f t="shared" si="10"/>
        <v>80</v>
      </c>
      <c r="H116" s="886">
        <v>967</v>
      </c>
      <c r="I116" s="887">
        <v>786</v>
      </c>
      <c r="J116" s="887">
        <v>79</v>
      </c>
      <c r="K116" s="893">
        <f t="shared" si="11"/>
        <v>102</v>
      </c>
      <c r="L116" s="886">
        <v>72</v>
      </c>
      <c r="M116" s="887">
        <v>56</v>
      </c>
      <c r="N116" s="887">
        <v>2</v>
      </c>
      <c r="O116" s="893">
        <f t="shared" si="12"/>
        <v>14</v>
      </c>
      <c r="P116" s="888">
        <v>1593</v>
      </c>
      <c r="Q116" s="889"/>
    </row>
    <row r="117" spans="1:17" s="890" customFormat="1">
      <c r="A117" s="892" t="s">
        <v>177</v>
      </c>
      <c r="B117" s="885" t="s">
        <v>178</v>
      </c>
      <c r="C117" s="875" t="s">
        <v>273</v>
      </c>
      <c r="D117" s="886">
        <v>5523</v>
      </c>
      <c r="E117" s="887">
        <v>351</v>
      </c>
      <c r="F117" s="887">
        <v>4553</v>
      </c>
      <c r="G117" s="893">
        <f t="shared" si="10"/>
        <v>619</v>
      </c>
      <c r="H117" s="886">
        <v>9163</v>
      </c>
      <c r="I117" s="887">
        <v>773</v>
      </c>
      <c r="J117" s="887">
        <v>7451</v>
      </c>
      <c r="K117" s="893">
        <f t="shared" si="11"/>
        <v>939</v>
      </c>
      <c r="L117" s="886">
        <v>635</v>
      </c>
      <c r="M117" s="887">
        <v>41</v>
      </c>
      <c r="N117" s="887">
        <v>513</v>
      </c>
      <c r="O117" s="893">
        <f t="shared" si="12"/>
        <v>81</v>
      </c>
      <c r="P117" s="888">
        <v>15321</v>
      </c>
      <c r="Q117" s="889"/>
    </row>
    <row r="118" spans="1:17" s="890" customFormat="1">
      <c r="A118" s="892" t="s">
        <v>181</v>
      </c>
      <c r="B118" s="885" t="s">
        <v>182</v>
      </c>
      <c r="C118" s="875" t="s">
        <v>271</v>
      </c>
      <c r="D118" s="886">
        <v>13530</v>
      </c>
      <c r="E118" s="887">
        <v>1746</v>
      </c>
      <c r="F118" s="887">
        <v>10340</v>
      </c>
      <c r="G118" s="893">
        <f t="shared" si="10"/>
        <v>1444</v>
      </c>
      <c r="H118" s="886">
        <v>17777</v>
      </c>
      <c r="I118" s="887">
        <v>3040</v>
      </c>
      <c r="J118" s="887">
        <v>12901</v>
      </c>
      <c r="K118" s="893">
        <f t="shared" si="11"/>
        <v>1836</v>
      </c>
      <c r="L118" s="886">
        <v>1063</v>
      </c>
      <c r="M118" s="887">
        <v>185</v>
      </c>
      <c r="N118" s="887">
        <v>712</v>
      </c>
      <c r="O118" s="893">
        <f t="shared" si="12"/>
        <v>166</v>
      </c>
      <c r="P118" s="888">
        <v>32371</v>
      </c>
      <c r="Q118" s="889"/>
    </row>
    <row r="119" spans="1:17" s="890" customFormat="1">
      <c r="A119" s="892" t="s">
        <v>193</v>
      </c>
      <c r="B119" s="885" t="s">
        <v>194</v>
      </c>
      <c r="C119" s="875" t="s">
        <v>275</v>
      </c>
      <c r="D119" s="886">
        <v>1036</v>
      </c>
      <c r="E119" s="887">
        <v>674</v>
      </c>
      <c r="F119" s="887">
        <v>202</v>
      </c>
      <c r="G119" s="893">
        <f t="shared" si="10"/>
        <v>160</v>
      </c>
      <c r="H119" s="886">
        <v>1591</v>
      </c>
      <c r="I119" s="887">
        <v>1220</v>
      </c>
      <c r="J119" s="887">
        <v>292</v>
      </c>
      <c r="K119" s="893">
        <f t="shared" si="11"/>
        <v>79</v>
      </c>
      <c r="L119" s="886">
        <v>74</v>
      </c>
      <c r="M119" s="887">
        <v>62</v>
      </c>
      <c r="N119" s="887">
        <v>11</v>
      </c>
      <c r="O119" s="893">
        <f t="shared" si="12"/>
        <v>1</v>
      </c>
      <c r="P119" s="888">
        <v>2701</v>
      </c>
      <c r="Q119" s="889"/>
    </row>
    <row r="120" spans="1:17" s="890" customFormat="1">
      <c r="A120" s="892" t="s">
        <v>197</v>
      </c>
      <c r="B120" s="885" t="s">
        <v>198</v>
      </c>
      <c r="C120" s="875" t="s">
        <v>273</v>
      </c>
      <c r="D120" s="886">
        <v>26963</v>
      </c>
      <c r="E120" s="887">
        <v>1751</v>
      </c>
      <c r="F120" s="887">
        <v>20519</v>
      </c>
      <c r="G120" s="893">
        <f t="shared" si="10"/>
        <v>4693</v>
      </c>
      <c r="H120" s="886">
        <v>43217</v>
      </c>
      <c r="I120" s="887">
        <v>4541</v>
      </c>
      <c r="J120" s="887">
        <v>32555</v>
      </c>
      <c r="K120" s="893">
        <f t="shared" si="11"/>
        <v>6121</v>
      </c>
      <c r="L120" s="886">
        <v>2672</v>
      </c>
      <c r="M120" s="887">
        <v>291</v>
      </c>
      <c r="N120" s="887">
        <v>1886</v>
      </c>
      <c r="O120" s="893">
        <f t="shared" si="12"/>
        <v>495</v>
      </c>
      <c r="P120" s="888">
        <v>72853</v>
      </c>
      <c r="Q120" s="889"/>
    </row>
    <row r="121" spans="1:17" s="890" customFormat="1">
      <c r="A121" s="892" t="s">
        <v>201</v>
      </c>
      <c r="B121" s="885" t="s">
        <v>202</v>
      </c>
      <c r="C121" s="875" t="s">
        <v>272</v>
      </c>
      <c r="D121" s="886">
        <v>13324</v>
      </c>
      <c r="E121" s="887">
        <v>4991</v>
      </c>
      <c r="F121" s="887">
        <v>6243</v>
      </c>
      <c r="G121" s="893">
        <f t="shared" si="10"/>
        <v>2090</v>
      </c>
      <c r="H121" s="886">
        <v>19646</v>
      </c>
      <c r="I121" s="887">
        <v>9362</v>
      </c>
      <c r="J121" s="887">
        <v>7873</v>
      </c>
      <c r="K121" s="893">
        <f t="shared" si="11"/>
        <v>2411</v>
      </c>
      <c r="L121" s="886">
        <v>1189</v>
      </c>
      <c r="M121" s="887">
        <v>578</v>
      </c>
      <c r="N121" s="887">
        <v>400</v>
      </c>
      <c r="O121" s="893">
        <f t="shared" si="12"/>
        <v>211</v>
      </c>
      <c r="P121" s="888">
        <v>34163</v>
      </c>
      <c r="Q121" s="889"/>
    </row>
    <row r="122" spans="1:17" s="890" customFormat="1">
      <c r="A122" s="892" t="s">
        <v>223</v>
      </c>
      <c r="B122" s="885" t="s">
        <v>224</v>
      </c>
      <c r="C122" s="875" t="s">
        <v>271</v>
      </c>
      <c r="D122" s="886">
        <v>7240</v>
      </c>
      <c r="E122" s="887">
        <v>1307</v>
      </c>
      <c r="F122" s="887">
        <v>5159</v>
      </c>
      <c r="G122" s="893">
        <f t="shared" si="10"/>
        <v>774</v>
      </c>
      <c r="H122" s="886">
        <v>9684</v>
      </c>
      <c r="I122" s="887">
        <v>1958</v>
      </c>
      <c r="J122" s="887">
        <v>6669</v>
      </c>
      <c r="K122" s="893">
        <f t="shared" si="11"/>
        <v>1057</v>
      </c>
      <c r="L122" s="886">
        <v>775</v>
      </c>
      <c r="M122" s="887">
        <v>113</v>
      </c>
      <c r="N122" s="887">
        <v>519</v>
      </c>
      <c r="O122" s="893">
        <f t="shared" si="12"/>
        <v>143</v>
      </c>
      <c r="P122" s="888">
        <v>17699</v>
      </c>
      <c r="Q122" s="889"/>
    </row>
    <row r="123" spans="1:17" s="890" customFormat="1">
      <c r="A123" s="892" t="s">
        <v>231</v>
      </c>
      <c r="B123" s="885" t="s">
        <v>232</v>
      </c>
      <c r="C123" s="875" t="s">
        <v>271</v>
      </c>
      <c r="D123" s="886">
        <v>22670</v>
      </c>
      <c r="E123" s="887">
        <v>6528</v>
      </c>
      <c r="F123" s="887">
        <v>10649</v>
      </c>
      <c r="G123" s="893">
        <f t="shared" si="10"/>
        <v>5493</v>
      </c>
      <c r="H123" s="886">
        <v>28429</v>
      </c>
      <c r="I123" s="887">
        <v>10791</v>
      </c>
      <c r="J123" s="887">
        <v>12026</v>
      </c>
      <c r="K123" s="893">
        <f t="shared" si="11"/>
        <v>5612</v>
      </c>
      <c r="L123" s="886">
        <v>1915</v>
      </c>
      <c r="M123" s="887">
        <v>623</v>
      </c>
      <c r="N123" s="887">
        <v>494</v>
      </c>
      <c r="O123" s="893">
        <f t="shared" si="12"/>
        <v>798</v>
      </c>
      <c r="P123" s="888">
        <v>53014</v>
      </c>
      <c r="Q123" s="889"/>
    </row>
    <row r="124" spans="1:17" s="890" customFormat="1">
      <c r="A124" s="892" t="s">
        <v>239</v>
      </c>
      <c r="B124" s="885" t="s">
        <v>240</v>
      </c>
      <c r="C124" s="875" t="s">
        <v>271</v>
      </c>
      <c r="D124" s="886">
        <v>803</v>
      </c>
      <c r="E124" s="887">
        <v>265</v>
      </c>
      <c r="F124" s="887">
        <v>423</v>
      </c>
      <c r="G124" s="893">
        <f t="shared" si="10"/>
        <v>115</v>
      </c>
      <c r="H124" s="886">
        <v>1074</v>
      </c>
      <c r="I124" s="887">
        <v>414</v>
      </c>
      <c r="J124" s="887">
        <v>517</v>
      </c>
      <c r="K124" s="893">
        <f t="shared" si="11"/>
        <v>143</v>
      </c>
      <c r="L124" s="886">
        <v>52</v>
      </c>
      <c r="M124" s="887">
        <v>15</v>
      </c>
      <c r="N124" s="887">
        <v>17</v>
      </c>
      <c r="O124" s="893">
        <f t="shared" si="12"/>
        <v>20</v>
      </c>
      <c r="P124" s="888">
        <v>1929</v>
      </c>
      <c r="Q124" s="889"/>
    </row>
    <row r="125" spans="1:17" s="890" customFormat="1">
      <c r="A125" s="892" t="s">
        <v>241</v>
      </c>
      <c r="B125" s="885" t="s">
        <v>242</v>
      </c>
      <c r="C125" s="875" t="s">
        <v>274</v>
      </c>
      <c r="D125" s="886">
        <v>3139</v>
      </c>
      <c r="E125" s="887">
        <v>1907</v>
      </c>
      <c r="F125" s="887">
        <v>573</v>
      </c>
      <c r="G125" s="893">
        <f t="shared" si="10"/>
        <v>659</v>
      </c>
      <c r="H125" s="886">
        <v>4304</v>
      </c>
      <c r="I125" s="887">
        <v>2772</v>
      </c>
      <c r="J125" s="887">
        <v>725</v>
      </c>
      <c r="K125" s="893">
        <f t="shared" si="11"/>
        <v>807</v>
      </c>
      <c r="L125" s="886">
        <v>239</v>
      </c>
      <c r="M125" s="887">
        <v>152</v>
      </c>
      <c r="N125" s="887">
        <v>48</v>
      </c>
      <c r="O125" s="893">
        <f t="shared" si="12"/>
        <v>39</v>
      </c>
      <c r="P125" s="888">
        <v>7682</v>
      </c>
      <c r="Q125" s="889"/>
    </row>
    <row r="126" spans="1:17">
      <c r="B126" s="701"/>
      <c r="C126" s="701"/>
      <c r="D126" s="702"/>
      <c r="E126" s="703"/>
      <c r="F126" s="703"/>
      <c r="G126" s="703"/>
      <c r="H126" s="702"/>
      <c r="I126" s="704"/>
      <c r="J126" s="704"/>
      <c r="K126" s="704"/>
      <c r="L126" s="702"/>
      <c r="M126" s="704"/>
      <c r="N126" s="704"/>
      <c r="O126" s="704"/>
    </row>
    <row r="127" spans="1:17">
      <c r="A127" s="263" t="s">
        <v>970</v>
      </c>
      <c r="B127" s="701"/>
      <c r="C127" s="701"/>
      <c r="D127" s="702"/>
      <c r="E127" s="703"/>
      <c r="F127" s="703"/>
      <c r="G127" s="703"/>
      <c r="H127" s="702"/>
      <c r="I127" s="704"/>
      <c r="J127" s="704"/>
      <c r="K127" s="704"/>
      <c r="L127" s="702"/>
      <c r="M127" s="704"/>
      <c r="N127" s="704"/>
      <c r="O127" s="704"/>
    </row>
    <row r="128" spans="1:17">
      <c r="A128" s="957" t="s">
        <v>273</v>
      </c>
      <c r="B128" s="958"/>
      <c r="C128" s="958"/>
      <c r="D128" s="959">
        <f>SUM(E128:G128)</f>
        <v>108307</v>
      </c>
      <c r="E128" s="960">
        <f>E9+E20+E22+E24+E26+E30+E33+E37+E42+E47+E48+E53+E55+E56+E60+E64+E67+E69+E70+E75+E76+E81+E97+E110+E117+E120</f>
        <v>30663</v>
      </c>
      <c r="F128" s="960">
        <f>F9+F20+F22+F24+F26+F30+F33+F37+F42+F47+F48+F53+F55+F56+F60+F64+F67+F69+F70+F75+F76+F81+F97+F110+F117+F120</f>
        <v>59275</v>
      </c>
      <c r="G128" s="961">
        <f>G9+G20+G22+G24+G26+G30+G33+G37+G42+G47+G48+G53+G55+G56+G60+G64+G67+G69+G70+G75+G76+G81+G97+G110+G117+G120</f>
        <v>18369</v>
      </c>
      <c r="H128" s="959">
        <f>SUM(I128:K128)</f>
        <v>151996</v>
      </c>
      <c r="I128" s="962">
        <f>I9+I20+I22+I24+I26+I30+I33+I37+I42+I47+I48+I53+I55+I56+I60+I64+I67+I69+I70+I75+I76+I81+I97+I110+I117+I120</f>
        <v>46713</v>
      </c>
      <c r="J128" s="962">
        <f>J9+J20+J22+J24+J26+J30+J33+J37+J42+J47+J48+J53+J55+J56+J60+J64+J67+J69+J70+J75+J76+J81+J97+J110+J117+J120</f>
        <v>82608</v>
      </c>
      <c r="K128" s="963">
        <f>K9+K20+K22+K24+K26+K30+K33+K37+K42+K47+K48+K53+K55+K56+K60+K64+K67+K69+K70+K75+K76+K81+K97+K110+K117+K120</f>
        <v>22675</v>
      </c>
      <c r="L128" s="959">
        <f>SUM(M128:O128)</f>
        <v>10612</v>
      </c>
      <c r="M128" s="962">
        <f>M9+M20+M22+M24+M26+M30+M33+M37+M42+M47+M48+M53+M55+M56+M60+M64+M67+M69+M70+M75+M76+M81+M97+M110+M117+M120</f>
        <v>2764</v>
      </c>
      <c r="N128" s="962">
        <f>N9+N20+N22+N24+N26+N30+N33+N37+N42+N47+N48+N53+N55+N56+N60+N64+N67+N69+N70+N75+N76+N81+N97+N110+N117+N120</f>
        <v>5540</v>
      </c>
      <c r="O128" s="963">
        <f>O9+O20+O22+O24+O26+O30+O33+O37+O42+O47+O48+O53+O55+O56+O60+O64+O67+O69+O70+O75+O76+O81+O97+O110+O117+O120</f>
        <v>2308</v>
      </c>
      <c r="P128" s="964">
        <f>D128+H128+L128</f>
        <v>270915</v>
      </c>
    </row>
    <row r="129" spans="1:16">
      <c r="A129" s="688" t="s">
        <v>271</v>
      </c>
      <c r="B129" s="701"/>
      <c r="C129" s="701"/>
      <c r="D129" s="705">
        <f>SUM(E129:G129)</f>
        <v>152558</v>
      </c>
      <c r="E129" s="706">
        <f>E6+E18+E32+E41+E45+E51+E52+E62+E68+E77+E89+E92+E93+E100+E104+E106+E109+E114+E115+E118+E122+E123+E124</f>
        <v>35463</v>
      </c>
      <c r="F129" s="706">
        <f>F6+F18+F32+F41+F45+F51+F52+F62+F68+F77+F89+F92+F93+F100+F104+F106+F109+F114+F115+F118+F122+F123+F124</f>
        <v>95549</v>
      </c>
      <c r="G129" s="707">
        <f>G6+G18+G32+G41+G45+G51+G52+G62+G68+G77+G89+G92+G93+G100+G104+G106+G109+G114+G115+G118+G122+G123+G124</f>
        <v>21546</v>
      </c>
      <c r="H129" s="705">
        <f>SUM(I129:K129)</f>
        <v>200050</v>
      </c>
      <c r="I129" s="708">
        <f>I6+I18+I32+I41+I45+I51+I52+I62+I68+I77+I89+I92+I93+I100+I104+I106+I109+I114+I115+I118+I122+I123+I124</f>
        <v>56239</v>
      </c>
      <c r="J129" s="708">
        <f>J6+J18+J32+J41+J45+J51+J52+J62+J68+J77+J89+J92+J93+J100+J104+J106+J109+J114+J115+J118+J122+J123+J124</f>
        <v>120306</v>
      </c>
      <c r="K129" s="709">
        <f>K6+K18+K32+K41+K45+K51+K52+K62+K68+K77+K89+K92+K93+K100+K104+K106+K109+K114+K115+K118+K122+K123+K124</f>
        <v>23505</v>
      </c>
      <c r="L129" s="705">
        <f>SUM(M129:O129)</f>
        <v>13438</v>
      </c>
      <c r="M129" s="708">
        <f>M6+M18+M32+M41+M45+M51+M52+M62+M68+M77+M89+M92+M93+M100+M104+M106+M109+M114+M115+M118+M122+M123+M124</f>
        <v>3377</v>
      </c>
      <c r="N129" s="708">
        <f>N6+N18+N32+N41+N45+N51+N52+N62+N68+N77+N89+N92+N93+N100+N104+N106+N109+N114+N115+N118+N122+N123+N124</f>
        <v>7435</v>
      </c>
      <c r="O129" s="709">
        <f>O6+O18+O32+O41+O45+O51+O52+O62+O68+O77+O89+O92+O93+O100+O104+O106+O109+O114+O115+O118+O122+O123+O124</f>
        <v>2626</v>
      </c>
      <c r="P129" s="710">
        <f>D129+H129+L129</f>
        <v>366046</v>
      </c>
    </row>
    <row r="130" spans="1:16">
      <c r="A130" s="688" t="s">
        <v>274</v>
      </c>
      <c r="B130" s="701"/>
      <c r="C130" s="701"/>
      <c r="D130" s="705">
        <f>SUM(E130:G130)</f>
        <v>136926</v>
      </c>
      <c r="E130" s="706">
        <f>E12+E27+E29+E34+E35+E39+E44+E54+E58+E59+E61+E71+E72+E78+E80+E84+E87+E90+E91+E95+E101+E107+E112+E113+E125</f>
        <v>70129</v>
      </c>
      <c r="F130" s="706">
        <f>F12+F27+F29+F34+F35+F39+F44+F54+F58+F59+F61+F71+F72+F78+F80+F84+F87+F90+F91+F95+F101+F107+F112+F113+F125</f>
        <v>32107</v>
      </c>
      <c r="G130" s="707">
        <f>G12+G27+G29+G34+G35+G39+G44+G54+G58+G59+G61+G71+G72+G78+G80+G84+G87+G90+G91+G95+G101+G107+G112+G113+G125</f>
        <v>34690</v>
      </c>
      <c r="H130" s="705">
        <f>SUM(I130:K130)</f>
        <v>162022</v>
      </c>
      <c r="I130" s="708">
        <f>I12+I27+I29+I34+I35+I39+I44+I54+I58+I59+I61+I71+I72+I78+I80+I84+I87+I90+I91+I95+I101+I107+I112+I113+I125</f>
        <v>87905</v>
      </c>
      <c r="J130" s="708">
        <f>J12+J27+J29+J34+J35+J39+J44+J54+J58+J59+J61+J71+J72+J78+J80+J84+J87+J90+J91+J95+J101+J107+J112+J113+J125</f>
        <v>38169</v>
      </c>
      <c r="K130" s="709">
        <f>K12+K27+K29+K34+K35+K39+K44+K54+K58+K59+K61+K71+K72+K78+K80+K84+K87+K90+K91+K95+K101+K107+K112+K113+K125</f>
        <v>35948</v>
      </c>
      <c r="L130" s="705">
        <f>SUM(M130:O130)</f>
        <v>18643</v>
      </c>
      <c r="M130" s="708">
        <f>M12+M27+M29+M34+M35+M39+M44+M54+M58+M59+M61+M71+M72+M78+M80+M84+M87+M90+M91+M95+M101+M107+M112+M113+M125</f>
        <v>7374</v>
      </c>
      <c r="N130" s="708">
        <f>N12+N27+N29+N34+N35+N39+N44+N54+N58+N59+N61+N71+N72+N78+N80+N84+N87+N90+N91+N95+N101+N107+N112+N113+N125</f>
        <v>2854</v>
      </c>
      <c r="O130" s="709">
        <f>O12+O27+O29+O34+O35+O39+O44+O54+O58+O59+O61+O71+O72+O78+O80+O84+O87+O90+O91+O95+O101+O107+O112+O113+O125</f>
        <v>8415</v>
      </c>
      <c r="P130" s="710">
        <f>D130+H130+L130</f>
        <v>317591</v>
      </c>
    </row>
    <row r="131" spans="1:16">
      <c r="A131" s="688" t="s">
        <v>272</v>
      </c>
      <c r="B131" s="701"/>
      <c r="C131" s="701"/>
      <c r="D131" s="705">
        <f>SUM(E131:G131)</f>
        <v>95539</v>
      </c>
      <c r="E131" s="706">
        <f>E7+E8+E10+E11+E13+E14+E15+E17+E21+E25+E28+E38+E46+E49+E50+E63+E66+E74+E82+E83+E103+E105+E111+E121</f>
        <v>47279</v>
      </c>
      <c r="F131" s="706">
        <f>F7+F8+F10+F11+F13+F14+F15+F17+F21+F25+F28+F38+F46+F49+F50+F63+F66+F74+F82+F83+F103+F105+F111+F121</f>
        <v>34359</v>
      </c>
      <c r="G131" s="707">
        <f>G7+G8+G10+G11+G13+G14+G15+G17+G21+G25+G28+G38+G46+G49+G50+G63+G66+G74+G82+G83+G103+G105+G111+G121</f>
        <v>13901</v>
      </c>
      <c r="H131" s="705">
        <f>SUM(I131:K131)</f>
        <v>141235</v>
      </c>
      <c r="I131" s="708">
        <f>I7+I8+I10+I11+I13+I14+I15+I17+I21+I25+I28+I38+I46+I49+I50+I63+I66+I74+I82+I83+I103+I105+I111+I121</f>
        <v>77138</v>
      </c>
      <c r="J131" s="708">
        <f>J7+J8+J10+J11+J13+J14+J15+J17+J21+J25+J28+J38+J46+J49+J50+J63+J66+J74+J82+J83+J103+J105+J111+J121</f>
        <v>47554</v>
      </c>
      <c r="K131" s="709">
        <f>K7+K8+K10+K11+K13+K14+K15+K17+K21+K25+K28+K38+K46+K49+K50+K63+K66+K74+K82+K83+K103+K105+K111+K121</f>
        <v>16543</v>
      </c>
      <c r="L131" s="705">
        <f>SUM(M131:O131)</f>
        <v>11553</v>
      </c>
      <c r="M131" s="708">
        <f>M7+M8+M10+M11+M13+M14+M15+M17+M21+M25+M28+M38+M46+M49+M50+M63+M66+M74+M82+M83+M103+M105+M111+M121</f>
        <v>5770</v>
      </c>
      <c r="N131" s="708">
        <f>N7+N8+N10+N11+N13+N14+N15+N17+N21+N25+N28+N38+N46+N49+N50+N63+N66+N74+N82+N83+N103+N105+N111+N121</f>
        <v>3917</v>
      </c>
      <c r="O131" s="709">
        <f>O7+O8+O10+O11+O13+O14+O15+O17+O21+O25+O28+O38+O46+O49+O50+O63+O66+O74+O82+O83+O103+O105+O111+O121</f>
        <v>1866</v>
      </c>
      <c r="P131" s="710">
        <f>D131+H131+L131</f>
        <v>248327</v>
      </c>
    </row>
    <row r="132" spans="1:16">
      <c r="A132" s="688" t="s">
        <v>275</v>
      </c>
      <c r="D132" s="711">
        <f>SUM(E132:G132)</f>
        <v>49826</v>
      </c>
      <c r="E132" s="712">
        <f>E16+E19+E23+E31+E36+E40+E43+E57+E65+E73+E79+E85+E86+E88+E94+E96+E98+E99+E102+E108+E116+E119</f>
        <v>42448</v>
      </c>
      <c r="F132" s="712">
        <f>F16+F19+F23+F31+F36+F40+F43+F57+F65+F73+F79+F85+F86+F88+F94+F96+F98+F99+F102+F108+F116+F119</f>
        <v>2607</v>
      </c>
      <c r="G132" s="713">
        <f>G16+G19+G23+G31+G36+G40+G43+G57+G65+G73+G79+G85+G86+G88+G94+G96+G98+G99+G102+G108+G116+G119</f>
        <v>4771</v>
      </c>
      <c r="H132" s="711">
        <f>SUM(I132:K132)</f>
        <v>82934</v>
      </c>
      <c r="I132" s="714">
        <f>I16+I19+I23+I31+I36+I40+I43+I57+I65+I73+I79+I85+I86+I88+I94+I96+I98+I99+I102+I108+I116+I119</f>
        <v>73742</v>
      </c>
      <c r="J132" s="714">
        <f>J16+J19+J23+J31+J36+J40+J43+J57+J65+J73+J79+J85+J86+J88+J94+J96+J98+J99+J102+J108+J116+J119</f>
        <v>3497</v>
      </c>
      <c r="K132" s="715">
        <f>K16+K19+K23+K31+K36+K40+K43+K57+K65+K73+K79+K85+K86+K88+K94+K96+K98+K99+K102+K108+K116+K119</f>
        <v>5695</v>
      </c>
      <c r="L132" s="711">
        <f>SUM(M132:O132)</f>
        <v>7621</v>
      </c>
      <c r="M132" s="714">
        <f>M16+M19+M23+M31+M36+M40+M43+M57+M65+M73+M79+M85+M86+M88+M94+M96+M98+M99+M102+M108+M116+M119</f>
        <v>6622</v>
      </c>
      <c r="N132" s="714">
        <f>N16+N19+N23+N31+N36+N40+N43+N57+N65+N73+N79+N85+N86+N88+N94+N96+N98+N99+N102+N108+N116+N119</f>
        <v>241</v>
      </c>
      <c r="O132" s="715">
        <f>O16+O19+O23+O31+O36+O40+O43+O57+O65+O73+O79+O85+O86+O88+O94+O96+O98+O99+O102+O108+O116+O119</f>
        <v>758</v>
      </c>
      <c r="P132" s="710">
        <f>D132+H132+L132</f>
        <v>140381</v>
      </c>
    </row>
    <row r="134" spans="1:16">
      <c r="A134" s="1651" t="s">
        <v>1122</v>
      </c>
      <c r="B134" s="1651"/>
      <c r="C134" s="1651"/>
      <c r="D134" s="1651"/>
      <c r="E134" s="1651"/>
      <c r="F134" s="1651"/>
      <c r="G134" s="1651"/>
      <c r="H134" s="1651"/>
      <c r="I134" s="1651"/>
      <c r="J134" s="1651"/>
      <c r="K134" s="1651"/>
      <c r="L134" s="1651"/>
      <c r="M134" s="1651"/>
      <c r="N134" s="1651"/>
      <c r="O134" s="1651"/>
      <c r="P134" s="1651"/>
    </row>
    <row r="136" spans="1:16" s="542" customFormat="1">
      <c r="A136" s="542" t="s">
        <v>249</v>
      </c>
    </row>
    <row r="137" spans="1:16" s="542" customFormat="1">
      <c r="A137" s="543" t="s">
        <v>250</v>
      </c>
      <c r="B137" s="544" t="s">
        <v>251</v>
      </c>
      <c r="C137" s="544"/>
    </row>
  </sheetData>
  <autoFilter ref="A4:C4"/>
  <mergeCells count="4">
    <mergeCell ref="D3:G3"/>
    <mergeCell ref="H3:K3"/>
    <mergeCell ref="A134:P134"/>
    <mergeCell ref="L3:O3"/>
  </mergeCells>
  <hyperlinks>
    <hyperlink ref="B137" r:id="rId1"/>
  </hyperlinks>
  <pageMargins left="0.75" right="0.75" top="1" bottom="1" header="0.5" footer="0.5"/>
  <pageSetup orientation="portrait" r:id="rId2"/>
</worksheet>
</file>

<file path=xl/worksheets/sheet11.xml><?xml version="1.0" encoding="utf-8"?>
<worksheet xmlns="http://schemas.openxmlformats.org/spreadsheetml/2006/main" xmlns:r="http://schemas.openxmlformats.org/officeDocument/2006/relationships">
  <dimension ref="A1:S137"/>
  <sheetViews>
    <sheetView workbookViewId="0">
      <pane ySplit="5" topLeftCell="A6" activePane="bottomLeft" state="frozen"/>
      <selection pane="bottomLeft" activeCell="A127" sqref="A127:IV132"/>
    </sheetView>
  </sheetViews>
  <sheetFormatPr defaultRowHeight="15.75"/>
  <cols>
    <col min="1" max="1" width="7.625" style="744" customWidth="1"/>
    <col min="2" max="2" width="32.375" style="743" customWidth="1"/>
    <col min="3" max="3" width="14.125" style="743" customWidth="1"/>
    <col min="4" max="4" width="9.125" style="743" bestFit="1" customWidth="1"/>
    <col min="5" max="5" width="11" style="743" customWidth="1"/>
    <col min="6" max="6" width="12" style="743" customWidth="1"/>
    <col min="7" max="7" width="10.375" style="743" customWidth="1"/>
    <col min="8" max="8" width="8.25" style="743" customWidth="1"/>
    <col min="9" max="9" width="10.125" style="743" customWidth="1"/>
    <col min="10" max="10" width="9" style="743"/>
    <col min="11" max="11" width="11.5" style="743" customWidth="1"/>
    <col min="12" max="12" width="6.625" style="743" bestFit="1" customWidth="1"/>
    <col min="13" max="14" width="9" style="743"/>
    <col min="15" max="15" width="10.75" style="743" customWidth="1"/>
    <col min="16" max="16384" width="9" style="743"/>
  </cols>
  <sheetData>
    <row r="1" spans="1:19" ht="15.75" customHeight="1">
      <c r="A1" s="1652" t="s">
        <v>983</v>
      </c>
      <c r="B1" s="1652"/>
      <c r="C1" s="1652"/>
      <c r="D1" s="1652"/>
      <c r="E1" s="1652"/>
      <c r="F1" s="1652"/>
      <c r="G1" s="1652"/>
      <c r="H1" s="1652"/>
      <c r="I1" s="1652"/>
      <c r="J1" s="1652"/>
      <c r="K1" s="1652"/>
      <c r="L1" s="1652"/>
    </row>
    <row r="3" spans="1:19" s="688" customFormat="1">
      <c r="A3" s="691"/>
      <c r="B3" s="692"/>
      <c r="C3" s="874"/>
      <c r="D3" s="1653" t="s">
        <v>980</v>
      </c>
      <c r="E3" s="1654"/>
      <c r="F3" s="1654"/>
      <c r="G3" s="1655"/>
      <c r="H3" s="1653" t="s">
        <v>964</v>
      </c>
      <c r="I3" s="1654"/>
      <c r="J3" s="1654"/>
      <c r="K3" s="1655"/>
      <c r="L3" s="1648" t="s">
        <v>965</v>
      </c>
      <c r="M3" s="1649"/>
      <c r="N3" s="1649"/>
      <c r="O3" s="1649"/>
      <c r="P3" s="693"/>
    </row>
    <row r="4" spans="1:19" s="688" customFormat="1" ht="47.25">
      <c r="A4" s="694" t="s">
        <v>4</v>
      </c>
      <c r="B4" s="876" t="s">
        <v>5</v>
      </c>
      <c r="C4" s="874" t="s">
        <v>252</v>
      </c>
      <c r="D4" s="898" t="s">
        <v>613</v>
      </c>
      <c r="E4" s="899" t="s">
        <v>2</v>
      </c>
      <c r="F4" s="899" t="s">
        <v>708</v>
      </c>
      <c r="G4" s="900" t="s">
        <v>1025</v>
      </c>
      <c r="H4" s="898" t="s">
        <v>769</v>
      </c>
      <c r="I4" s="899" t="s">
        <v>2</v>
      </c>
      <c r="J4" s="899" t="s">
        <v>708</v>
      </c>
      <c r="K4" s="900" t="s">
        <v>1025</v>
      </c>
      <c r="L4" s="898" t="s">
        <v>981</v>
      </c>
      <c r="M4" s="899" t="s">
        <v>2</v>
      </c>
      <c r="N4" s="899" t="s">
        <v>708</v>
      </c>
      <c r="O4" s="900" t="s">
        <v>1025</v>
      </c>
      <c r="P4" s="901" t="s">
        <v>770</v>
      </c>
    </row>
    <row r="5" spans="1:19" s="688" customFormat="1">
      <c r="A5" s="877" t="s">
        <v>8</v>
      </c>
      <c r="B5" s="878" t="s">
        <v>9</v>
      </c>
      <c r="C5" s="879"/>
      <c r="D5" s="880">
        <f t="shared" ref="D5:N5" si="0">SUM(D6:D125)</f>
        <v>116133</v>
      </c>
      <c r="E5" s="881">
        <f t="shared" si="0"/>
        <v>37084</v>
      </c>
      <c r="F5" s="881">
        <f t="shared" si="0"/>
        <v>62367</v>
      </c>
      <c r="G5" s="882">
        <f t="shared" ref="G5:G36" si="1">D5-E5-F5</f>
        <v>16682</v>
      </c>
      <c r="H5" s="880">
        <f t="shared" si="0"/>
        <v>68942</v>
      </c>
      <c r="I5" s="881">
        <f t="shared" si="0"/>
        <v>26861</v>
      </c>
      <c r="J5" s="881">
        <f t="shared" si="0"/>
        <v>35062</v>
      </c>
      <c r="K5" s="882">
        <f t="shared" ref="K5:K36" si="2">H5-I5-J5</f>
        <v>7019</v>
      </c>
      <c r="L5" s="881">
        <f t="shared" si="0"/>
        <v>159</v>
      </c>
      <c r="M5" s="881">
        <f t="shared" si="0"/>
        <v>44</v>
      </c>
      <c r="N5" s="881">
        <f t="shared" si="0"/>
        <v>90</v>
      </c>
      <c r="O5" s="882">
        <f t="shared" ref="O5:O36" si="3">L5-M5-N5</f>
        <v>25</v>
      </c>
      <c r="P5" s="883">
        <f>SUM(P6:P125)</f>
        <v>185238</v>
      </c>
      <c r="Q5" s="699"/>
      <c r="R5" s="699"/>
      <c r="S5" s="700"/>
    </row>
    <row r="6" spans="1:19" s="890" customFormat="1">
      <c r="A6" s="884" t="s">
        <v>10</v>
      </c>
      <c r="B6" s="885" t="s">
        <v>11</v>
      </c>
      <c r="C6" s="875" t="s">
        <v>271</v>
      </c>
      <c r="D6" s="886">
        <v>717</v>
      </c>
      <c r="E6" s="887">
        <v>274</v>
      </c>
      <c r="F6" s="887">
        <v>417</v>
      </c>
      <c r="G6" s="893">
        <f t="shared" si="1"/>
        <v>26</v>
      </c>
      <c r="H6" s="886">
        <v>410</v>
      </c>
      <c r="I6" s="887">
        <v>173</v>
      </c>
      <c r="J6" s="887">
        <v>230</v>
      </c>
      <c r="K6" s="893">
        <f t="shared" si="2"/>
        <v>7</v>
      </c>
      <c r="L6" s="886">
        <v>0</v>
      </c>
      <c r="M6" s="887">
        <v>0</v>
      </c>
      <c r="N6" s="887">
        <v>0</v>
      </c>
      <c r="O6" s="893">
        <f t="shared" si="3"/>
        <v>0</v>
      </c>
      <c r="P6" s="888">
        <v>1127</v>
      </c>
      <c r="Q6" s="889"/>
    </row>
    <row r="7" spans="1:19" s="890" customFormat="1">
      <c r="A7" s="884" t="s">
        <v>12</v>
      </c>
      <c r="B7" s="885" t="s">
        <v>13</v>
      </c>
      <c r="C7" s="875" t="s">
        <v>272</v>
      </c>
      <c r="D7" s="886">
        <v>463</v>
      </c>
      <c r="E7" s="887">
        <v>192</v>
      </c>
      <c r="F7" s="887">
        <v>165</v>
      </c>
      <c r="G7" s="893">
        <f t="shared" si="1"/>
        <v>106</v>
      </c>
      <c r="H7" s="886">
        <v>283</v>
      </c>
      <c r="I7" s="887">
        <v>137</v>
      </c>
      <c r="J7" s="887">
        <v>88</v>
      </c>
      <c r="K7" s="893">
        <f t="shared" si="2"/>
        <v>58</v>
      </c>
      <c r="L7" s="886">
        <v>0</v>
      </c>
      <c r="M7" s="887">
        <v>0</v>
      </c>
      <c r="N7" s="887">
        <v>0</v>
      </c>
      <c r="O7" s="893">
        <f t="shared" si="3"/>
        <v>0</v>
      </c>
      <c r="P7" s="888">
        <v>746</v>
      </c>
      <c r="Q7" s="889"/>
    </row>
    <row r="8" spans="1:19" s="890" customFormat="1">
      <c r="A8" s="884" t="s">
        <v>16</v>
      </c>
      <c r="B8" s="885" t="s">
        <v>307</v>
      </c>
      <c r="C8" s="875" t="s">
        <v>272</v>
      </c>
      <c r="D8" s="886">
        <v>316</v>
      </c>
      <c r="E8" s="887">
        <v>202</v>
      </c>
      <c r="F8" s="887">
        <v>35</v>
      </c>
      <c r="G8" s="893">
        <f t="shared" si="1"/>
        <v>79</v>
      </c>
      <c r="H8" s="886">
        <v>212</v>
      </c>
      <c r="I8" s="887">
        <v>180</v>
      </c>
      <c r="J8" s="887">
        <v>23</v>
      </c>
      <c r="K8" s="893">
        <f t="shared" si="2"/>
        <v>9</v>
      </c>
      <c r="L8" s="886">
        <v>0</v>
      </c>
      <c r="M8" s="887">
        <v>0</v>
      </c>
      <c r="N8" s="887">
        <v>0</v>
      </c>
      <c r="O8" s="893">
        <f t="shared" si="3"/>
        <v>0</v>
      </c>
      <c r="P8" s="888">
        <v>528</v>
      </c>
      <c r="Q8" s="889"/>
    </row>
    <row r="9" spans="1:19" s="890" customFormat="1">
      <c r="A9" s="884" t="s">
        <v>18</v>
      </c>
      <c r="B9" s="885" t="s">
        <v>19</v>
      </c>
      <c r="C9" s="875" t="s">
        <v>273</v>
      </c>
      <c r="D9" s="886">
        <v>237</v>
      </c>
      <c r="E9" s="887">
        <v>143</v>
      </c>
      <c r="F9" s="887">
        <v>78</v>
      </c>
      <c r="G9" s="893">
        <f t="shared" si="1"/>
        <v>16</v>
      </c>
      <c r="H9" s="886">
        <v>168</v>
      </c>
      <c r="I9" s="887">
        <v>105</v>
      </c>
      <c r="J9" s="887">
        <v>56</v>
      </c>
      <c r="K9" s="893">
        <f t="shared" si="2"/>
        <v>7</v>
      </c>
      <c r="L9" s="886">
        <v>3</v>
      </c>
      <c r="M9" s="887">
        <v>1</v>
      </c>
      <c r="N9" s="887">
        <v>2</v>
      </c>
      <c r="O9" s="893">
        <f t="shared" si="3"/>
        <v>0</v>
      </c>
      <c r="P9" s="888">
        <v>408</v>
      </c>
      <c r="Q9" s="889"/>
    </row>
    <row r="10" spans="1:19" s="890" customFormat="1">
      <c r="A10" s="884" t="s">
        <v>20</v>
      </c>
      <c r="B10" s="885" t="s">
        <v>21</v>
      </c>
      <c r="C10" s="875" t="s">
        <v>272</v>
      </c>
      <c r="D10" s="886">
        <v>348</v>
      </c>
      <c r="E10" s="887">
        <v>175</v>
      </c>
      <c r="F10" s="887">
        <v>124</v>
      </c>
      <c r="G10" s="893">
        <f t="shared" si="1"/>
        <v>49</v>
      </c>
      <c r="H10" s="886">
        <v>190</v>
      </c>
      <c r="I10" s="887">
        <v>122</v>
      </c>
      <c r="J10" s="887">
        <v>59</v>
      </c>
      <c r="K10" s="893">
        <f t="shared" si="2"/>
        <v>9</v>
      </c>
      <c r="L10" s="886">
        <v>0</v>
      </c>
      <c r="M10" s="887">
        <v>0</v>
      </c>
      <c r="N10" s="887">
        <v>0</v>
      </c>
      <c r="O10" s="893">
        <f t="shared" si="3"/>
        <v>0</v>
      </c>
      <c r="P10" s="888">
        <v>538</v>
      </c>
      <c r="Q10" s="889"/>
    </row>
    <row r="11" spans="1:19" s="890" customFormat="1">
      <c r="A11" s="884" t="s">
        <v>22</v>
      </c>
      <c r="B11" s="885" t="s">
        <v>23</v>
      </c>
      <c r="C11" s="875" t="s">
        <v>272</v>
      </c>
      <c r="D11" s="886">
        <v>297</v>
      </c>
      <c r="E11" s="887">
        <v>134</v>
      </c>
      <c r="F11" s="887">
        <v>151</v>
      </c>
      <c r="G11" s="893">
        <f t="shared" si="1"/>
        <v>12</v>
      </c>
      <c r="H11" s="886">
        <v>179</v>
      </c>
      <c r="I11" s="887">
        <v>107</v>
      </c>
      <c r="J11" s="887">
        <v>71</v>
      </c>
      <c r="K11" s="893">
        <f t="shared" si="2"/>
        <v>1</v>
      </c>
      <c r="L11" s="886">
        <v>1</v>
      </c>
      <c r="M11" s="887">
        <v>0</v>
      </c>
      <c r="N11" s="887">
        <v>1</v>
      </c>
      <c r="O11" s="893">
        <f t="shared" si="3"/>
        <v>0</v>
      </c>
      <c r="P11" s="888">
        <v>477</v>
      </c>
      <c r="Q11" s="889"/>
    </row>
    <row r="12" spans="1:19" s="890" customFormat="1">
      <c r="A12" s="884" t="s">
        <v>24</v>
      </c>
      <c r="B12" s="885" t="s">
        <v>25</v>
      </c>
      <c r="C12" s="875" t="s">
        <v>274</v>
      </c>
      <c r="D12" s="886">
        <v>883</v>
      </c>
      <c r="E12" s="887">
        <v>315</v>
      </c>
      <c r="F12" s="887">
        <v>358</v>
      </c>
      <c r="G12" s="893">
        <f t="shared" si="1"/>
        <v>210</v>
      </c>
      <c r="H12" s="886">
        <v>625</v>
      </c>
      <c r="I12" s="887">
        <v>249</v>
      </c>
      <c r="J12" s="887">
        <v>250</v>
      </c>
      <c r="K12" s="893">
        <f t="shared" si="2"/>
        <v>126</v>
      </c>
      <c r="L12" s="886">
        <v>4</v>
      </c>
      <c r="M12" s="887">
        <v>1</v>
      </c>
      <c r="N12" s="887">
        <v>2</v>
      </c>
      <c r="O12" s="893">
        <f t="shared" si="3"/>
        <v>1</v>
      </c>
      <c r="P12" s="888">
        <v>1512</v>
      </c>
      <c r="Q12" s="889"/>
    </row>
    <row r="13" spans="1:19" s="890" customFormat="1">
      <c r="A13" s="884" t="s">
        <v>26</v>
      </c>
      <c r="B13" s="885" t="s">
        <v>908</v>
      </c>
      <c r="C13" s="875" t="s">
        <v>272</v>
      </c>
      <c r="D13" s="886">
        <v>1954</v>
      </c>
      <c r="E13" s="887">
        <v>1329</v>
      </c>
      <c r="F13" s="887">
        <v>453</v>
      </c>
      <c r="G13" s="893">
        <f t="shared" si="1"/>
        <v>172</v>
      </c>
      <c r="H13" s="886">
        <v>1170</v>
      </c>
      <c r="I13" s="887">
        <v>866</v>
      </c>
      <c r="J13" s="887">
        <v>238</v>
      </c>
      <c r="K13" s="893">
        <f t="shared" si="2"/>
        <v>66</v>
      </c>
      <c r="L13" s="886">
        <v>1</v>
      </c>
      <c r="M13" s="887">
        <v>1</v>
      </c>
      <c r="N13" s="887">
        <v>0</v>
      </c>
      <c r="O13" s="893">
        <f t="shared" si="3"/>
        <v>0</v>
      </c>
      <c r="P13" s="888">
        <v>3125</v>
      </c>
      <c r="Q13" s="889"/>
    </row>
    <row r="14" spans="1:19" s="890" customFormat="1">
      <c r="A14" s="884" t="s">
        <v>27</v>
      </c>
      <c r="B14" s="885" t="s">
        <v>28</v>
      </c>
      <c r="C14" s="875" t="s">
        <v>272</v>
      </c>
      <c r="D14" s="886">
        <v>29</v>
      </c>
      <c r="E14" s="887">
        <v>21</v>
      </c>
      <c r="F14" s="887">
        <v>2</v>
      </c>
      <c r="G14" s="893">
        <f t="shared" si="1"/>
        <v>6</v>
      </c>
      <c r="H14" s="886">
        <v>13</v>
      </c>
      <c r="I14" s="887">
        <v>13</v>
      </c>
      <c r="J14" s="887">
        <v>0</v>
      </c>
      <c r="K14" s="893">
        <f t="shared" si="2"/>
        <v>0</v>
      </c>
      <c r="L14" s="886">
        <v>0</v>
      </c>
      <c r="M14" s="887">
        <v>0</v>
      </c>
      <c r="N14" s="887">
        <v>0</v>
      </c>
      <c r="O14" s="893">
        <f t="shared" si="3"/>
        <v>0</v>
      </c>
      <c r="P14" s="888">
        <v>42</v>
      </c>
      <c r="Q14" s="889"/>
    </row>
    <row r="15" spans="1:19" s="890" customFormat="1">
      <c r="A15" s="884" t="s">
        <v>29</v>
      </c>
      <c r="B15" s="885" t="s">
        <v>309</v>
      </c>
      <c r="C15" s="875" t="s">
        <v>272</v>
      </c>
      <c r="D15" s="886">
        <v>728</v>
      </c>
      <c r="E15" s="887">
        <v>545</v>
      </c>
      <c r="F15" s="887">
        <v>136</v>
      </c>
      <c r="G15" s="893">
        <f t="shared" si="1"/>
        <v>47</v>
      </c>
      <c r="H15" s="886">
        <v>435</v>
      </c>
      <c r="I15" s="887">
        <v>346</v>
      </c>
      <c r="J15" s="887">
        <v>70</v>
      </c>
      <c r="K15" s="893">
        <f t="shared" si="2"/>
        <v>19</v>
      </c>
      <c r="L15" s="886">
        <v>0</v>
      </c>
      <c r="M15" s="887">
        <v>0</v>
      </c>
      <c r="N15" s="887">
        <v>0</v>
      </c>
      <c r="O15" s="893">
        <f t="shared" si="3"/>
        <v>0</v>
      </c>
      <c r="P15" s="888">
        <v>1163</v>
      </c>
      <c r="Q15" s="889"/>
    </row>
    <row r="16" spans="1:19" s="890" customFormat="1">
      <c r="A16" s="884" t="s">
        <v>31</v>
      </c>
      <c r="B16" s="885" t="s">
        <v>32</v>
      </c>
      <c r="C16" s="875" t="s">
        <v>275</v>
      </c>
      <c r="D16" s="886">
        <v>60</v>
      </c>
      <c r="E16" s="887">
        <v>58</v>
      </c>
      <c r="F16" s="887">
        <v>2</v>
      </c>
      <c r="G16" s="893">
        <f t="shared" si="1"/>
        <v>0</v>
      </c>
      <c r="H16" s="886">
        <v>42</v>
      </c>
      <c r="I16" s="887">
        <v>39</v>
      </c>
      <c r="J16" s="887">
        <v>0</v>
      </c>
      <c r="K16" s="893">
        <f t="shared" si="2"/>
        <v>3</v>
      </c>
      <c r="L16" s="886">
        <v>1</v>
      </c>
      <c r="M16" s="887">
        <v>1</v>
      </c>
      <c r="N16" s="887">
        <v>0</v>
      </c>
      <c r="O16" s="893">
        <f t="shared" si="3"/>
        <v>0</v>
      </c>
      <c r="P16" s="888">
        <v>103</v>
      </c>
      <c r="Q16" s="889"/>
    </row>
    <row r="17" spans="1:17" s="890" customFormat="1">
      <c r="A17" s="884" t="s">
        <v>33</v>
      </c>
      <c r="B17" s="885" t="s">
        <v>34</v>
      </c>
      <c r="C17" s="875" t="s">
        <v>272</v>
      </c>
      <c r="D17" s="886">
        <v>149</v>
      </c>
      <c r="E17" s="887">
        <v>123</v>
      </c>
      <c r="F17" s="887">
        <v>14</v>
      </c>
      <c r="G17" s="893">
        <f t="shared" si="1"/>
        <v>12</v>
      </c>
      <c r="H17" s="886">
        <v>89</v>
      </c>
      <c r="I17" s="887">
        <v>80</v>
      </c>
      <c r="J17" s="887">
        <v>7</v>
      </c>
      <c r="K17" s="893">
        <f t="shared" si="2"/>
        <v>2</v>
      </c>
      <c r="L17" s="886">
        <v>0</v>
      </c>
      <c r="M17" s="887">
        <v>0</v>
      </c>
      <c r="N17" s="887">
        <v>0</v>
      </c>
      <c r="O17" s="893">
        <f t="shared" si="3"/>
        <v>0</v>
      </c>
      <c r="P17" s="888">
        <v>238</v>
      </c>
      <c r="Q17" s="889"/>
    </row>
    <row r="18" spans="1:17" s="890" customFormat="1">
      <c r="A18" s="884" t="s">
        <v>37</v>
      </c>
      <c r="B18" s="885" t="s">
        <v>38</v>
      </c>
      <c r="C18" s="875" t="s">
        <v>271</v>
      </c>
      <c r="D18" s="886">
        <v>386</v>
      </c>
      <c r="E18" s="887">
        <v>43</v>
      </c>
      <c r="F18" s="887">
        <v>328</v>
      </c>
      <c r="G18" s="893">
        <f t="shared" si="1"/>
        <v>15</v>
      </c>
      <c r="H18" s="886">
        <v>209</v>
      </c>
      <c r="I18" s="887">
        <v>32</v>
      </c>
      <c r="J18" s="887">
        <v>170</v>
      </c>
      <c r="K18" s="893">
        <f t="shared" si="2"/>
        <v>7</v>
      </c>
      <c r="L18" s="886">
        <v>0</v>
      </c>
      <c r="M18" s="887">
        <v>0</v>
      </c>
      <c r="N18" s="887">
        <v>0</v>
      </c>
      <c r="O18" s="893">
        <f t="shared" si="3"/>
        <v>0</v>
      </c>
      <c r="P18" s="888">
        <v>595</v>
      </c>
      <c r="Q18" s="889"/>
    </row>
    <row r="19" spans="1:17" s="890" customFormat="1">
      <c r="A19" s="884" t="s">
        <v>39</v>
      </c>
      <c r="B19" s="885" t="s">
        <v>40</v>
      </c>
      <c r="C19" s="875" t="s">
        <v>275</v>
      </c>
      <c r="D19" s="886">
        <v>344</v>
      </c>
      <c r="E19" s="887">
        <v>320</v>
      </c>
      <c r="F19" s="887">
        <v>3</v>
      </c>
      <c r="G19" s="893">
        <f t="shared" si="1"/>
        <v>21</v>
      </c>
      <c r="H19" s="886">
        <v>264</v>
      </c>
      <c r="I19" s="887">
        <v>253</v>
      </c>
      <c r="J19" s="887">
        <v>3</v>
      </c>
      <c r="K19" s="893">
        <f t="shared" si="2"/>
        <v>8</v>
      </c>
      <c r="L19" s="886">
        <v>3</v>
      </c>
      <c r="M19" s="887">
        <v>3</v>
      </c>
      <c r="N19" s="887">
        <v>0</v>
      </c>
      <c r="O19" s="893">
        <f t="shared" si="3"/>
        <v>0</v>
      </c>
      <c r="P19" s="888">
        <v>611</v>
      </c>
      <c r="Q19" s="889"/>
    </row>
    <row r="20" spans="1:17" s="890" customFormat="1">
      <c r="A20" s="884" t="s">
        <v>41</v>
      </c>
      <c r="B20" s="885" t="s">
        <v>42</v>
      </c>
      <c r="C20" s="875" t="s">
        <v>273</v>
      </c>
      <c r="D20" s="886">
        <v>254</v>
      </c>
      <c r="E20" s="887">
        <v>75</v>
      </c>
      <c r="F20" s="887">
        <v>153</v>
      </c>
      <c r="G20" s="893">
        <f t="shared" si="1"/>
        <v>26</v>
      </c>
      <c r="H20" s="886">
        <v>176</v>
      </c>
      <c r="I20" s="887">
        <v>52</v>
      </c>
      <c r="J20" s="887">
        <v>118</v>
      </c>
      <c r="K20" s="893">
        <f t="shared" si="2"/>
        <v>6</v>
      </c>
      <c r="L20" s="886">
        <v>0</v>
      </c>
      <c r="M20" s="887">
        <v>0</v>
      </c>
      <c r="N20" s="887">
        <v>0</v>
      </c>
      <c r="O20" s="893">
        <f t="shared" si="3"/>
        <v>0</v>
      </c>
      <c r="P20" s="888">
        <v>430</v>
      </c>
      <c r="Q20" s="889"/>
    </row>
    <row r="21" spans="1:17" s="890" customFormat="1">
      <c r="A21" s="884" t="s">
        <v>43</v>
      </c>
      <c r="B21" s="885" t="s">
        <v>44</v>
      </c>
      <c r="C21" s="875" t="s">
        <v>272</v>
      </c>
      <c r="D21" s="886">
        <v>928</v>
      </c>
      <c r="E21" s="887">
        <v>538</v>
      </c>
      <c r="F21" s="887">
        <v>271</v>
      </c>
      <c r="G21" s="893">
        <f t="shared" si="1"/>
        <v>119</v>
      </c>
      <c r="H21" s="886">
        <v>634</v>
      </c>
      <c r="I21" s="887">
        <v>423</v>
      </c>
      <c r="J21" s="887">
        <v>172</v>
      </c>
      <c r="K21" s="893">
        <f t="shared" si="2"/>
        <v>39</v>
      </c>
      <c r="L21" s="886">
        <v>0</v>
      </c>
      <c r="M21" s="887">
        <v>0</v>
      </c>
      <c r="N21" s="887">
        <v>0</v>
      </c>
      <c r="O21" s="893">
        <f t="shared" si="3"/>
        <v>0</v>
      </c>
      <c r="P21" s="888">
        <v>1562</v>
      </c>
      <c r="Q21" s="889"/>
    </row>
    <row r="22" spans="1:17" s="890" customFormat="1">
      <c r="A22" s="884" t="s">
        <v>45</v>
      </c>
      <c r="B22" s="885" t="s">
        <v>46</v>
      </c>
      <c r="C22" s="875" t="s">
        <v>273</v>
      </c>
      <c r="D22" s="886">
        <v>656</v>
      </c>
      <c r="E22" s="887">
        <v>268</v>
      </c>
      <c r="F22" s="887">
        <v>274</v>
      </c>
      <c r="G22" s="893">
        <f t="shared" si="1"/>
        <v>114</v>
      </c>
      <c r="H22" s="886">
        <v>391</v>
      </c>
      <c r="I22" s="887">
        <v>191</v>
      </c>
      <c r="J22" s="887">
        <v>156</v>
      </c>
      <c r="K22" s="893">
        <f t="shared" si="2"/>
        <v>44</v>
      </c>
      <c r="L22" s="886">
        <v>1</v>
      </c>
      <c r="M22" s="887">
        <v>0</v>
      </c>
      <c r="N22" s="887">
        <v>1</v>
      </c>
      <c r="O22" s="893">
        <f t="shared" si="3"/>
        <v>0</v>
      </c>
      <c r="P22" s="888">
        <v>1048</v>
      </c>
      <c r="Q22" s="889"/>
    </row>
    <row r="23" spans="1:17" s="890" customFormat="1">
      <c r="A23" s="884" t="s">
        <v>47</v>
      </c>
      <c r="B23" s="885" t="s">
        <v>48</v>
      </c>
      <c r="C23" s="875" t="s">
        <v>275</v>
      </c>
      <c r="D23" s="886">
        <v>428</v>
      </c>
      <c r="E23" s="887">
        <v>379</v>
      </c>
      <c r="F23" s="887">
        <v>14</v>
      </c>
      <c r="G23" s="893">
        <f t="shared" si="1"/>
        <v>35</v>
      </c>
      <c r="H23" s="886">
        <v>274</v>
      </c>
      <c r="I23" s="887">
        <v>252</v>
      </c>
      <c r="J23" s="887">
        <v>3</v>
      </c>
      <c r="K23" s="893">
        <f t="shared" si="2"/>
        <v>19</v>
      </c>
      <c r="L23" s="886">
        <v>1</v>
      </c>
      <c r="M23" s="887">
        <v>1</v>
      </c>
      <c r="N23" s="887">
        <v>0</v>
      </c>
      <c r="O23" s="893">
        <f t="shared" si="3"/>
        <v>0</v>
      </c>
      <c r="P23" s="888">
        <v>704</v>
      </c>
      <c r="Q23" s="889"/>
    </row>
    <row r="24" spans="1:17" s="890" customFormat="1">
      <c r="A24" s="884" t="s">
        <v>49</v>
      </c>
      <c r="B24" s="885" t="s">
        <v>276</v>
      </c>
      <c r="C24" s="875" t="s">
        <v>273</v>
      </c>
      <c r="D24" s="886">
        <v>78</v>
      </c>
      <c r="E24" s="887">
        <v>13</v>
      </c>
      <c r="F24" s="887">
        <v>50</v>
      </c>
      <c r="G24" s="893">
        <f t="shared" si="1"/>
        <v>15</v>
      </c>
      <c r="H24" s="886">
        <v>47</v>
      </c>
      <c r="I24" s="887">
        <v>13</v>
      </c>
      <c r="J24" s="887">
        <v>31</v>
      </c>
      <c r="K24" s="893">
        <f t="shared" si="2"/>
        <v>3</v>
      </c>
      <c r="L24" s="886">
        <v>0</v>
      </c>
      <c r="M24" s="887">
        <v>0</v>
      </c>
      <c r="N24" s="887">
        <v>0</v>
      </c>
      <c r="O24" s="893">
        <f t="shared" si="3"/>
        <v>0</v>
      </c>
      <c r="P24" s="888">
        <v>125</v>
      </c>
      <c r="Q24" s="889"/>
    </row>
    <row r="25" spans="1:17" s="890" customFormat="1">
      <c r="A25" s="884" t="s">
        <v>51</v>
      </c>
      <c r="B25" s="885" t="s">
        <v>52</v>
      </c>
      <c r="C25" s="875" t="s">
        <v>272</v>
      </c>
      <c r="D25" s="886">
        <v>316</v>
      </c>
      <c r="E25" s="887">
        <v>105</v>
      </c>
      <c r="F25" s="887">
        <v>185</v>
      </c>
      <c r="G25" s="893">
        <f t="shared" si="1"/>
        <v>26</v>
      </c>
      <c r="H25" s="886">
        <v>192</v>
      </c>
      <c r="I25" s="887">
        <v>87</v>
      </c>
      <c r="J25" s="887">
        <v>101</v>
      </c>
      <c r="K25" s="893">
        <f t="shared" si="2"/>
        <v>4</v>
      </c>
      <c r="L25" s="886">
        <v>0</v>
      </c>
      <c r="M25" s="887">
        <v>0</v>
      </c>
      <c r="N25" s="887">
        <v>0</v>
      </c>
      <c r="O25" s="893">
        <f t="shared" si="3"/>
        <v>0</v>
      </c>
      <c r="P25" s="888">
        <v>508</v>
      </c>
      <c r="Q25" s="889"/>
    </row>
    <row r="26" spans="1:17" s="890" customFormat="1">
      <c r="A26" s="884" t="s">
        <v>57</v>
      </c>
      <c r="B26" s="885" t="s">
        <v>305</v>
      </c>
      <c r="C26" s="875" t="s">
        <v>273</v>
      </c>
      <c r="D26" s="886">
        <v>3684</v>
      </c>
      <c r="E26" s="887">
        <v>1256</v>
      </c>
      <c r="F26" s="887">
        <v>1740</v>
      </c>
      <c r="G26" s="893">
        <f t="shared" si="1"/>
        <v>688</v>
      </c>
      <c r="H26" s="886">
        <v>2078</v>
      </c>
      <c r="I26" s="887">
        <v>861</v>
      </c>
      <c r="J26" s="887">
        <v>920</v>
      </c>
      <c r="K26" s="893">
        <f t="shared" si="2"/>
        <v>297</v>
      </c>
      <c r="L26" s="886">
        <v>2</v>
      </c>
      <c r="M26" s="887">
        <v>0</v>
      </c>
      <c r="N26" s="887">
        <v>1</v>
      </c>
      <c r="O26" s="893">
        <f t="shared" si="3"/>
        <v>1</v>
      </c>
      <c r="P26" s="888">
        <v>5765</v>
      </c>
      <c r="Q26" s="889"/>
    </row>
    <row r="27" spans="1:17" s="890" customFormat="1">
      <c r="A27" s="884" t="s">
        <v>59</v>
      </c>
      <c r="B27" s="885" t="s">
        <v>60</v>
      </c>
      <c r="C27" s="875" t="s">
        <v>274</v>
      </c>
      <c r="D27" s="886">
        <v>77</v>
      </c>
      <c r="E27" s="887">
        <v>59</v>
      </c>
      <c r="F27" s="887">
        <v>13</v>
      </c>
      <c r="G27" s="893">
        <f t="shared" si="1"/>
        <v>5</v>
      </c>
      <c r="H27" s="886">
        <v>40</v>
      </c>
      <c r="I27" s="887">
        <v>30</v>
      </c>
      <c r="J27" s="887">
        <v>5</v>
      </c>
      <c r="K27" s="893">
        <f t="shared" si="2"/>
        <v>5</v>
      </c>
      <c r="L27" s="886">
        <v>0</v>
      </c>
      <c r="M27" s="887">
        <v>0</v>
      </c>
      <c r="N27" s="887">
        <v>0</v>
      </c>
      <c r="O27" s="893">
        <f t="shared" si="3"/>
        <v>0</v>
      </c>
      <c r="P27" s="888">
        <v>117</v>
      </c>
      <c r="Q27" s="889"/>
    </row>
    <row r="28" spans="1:17" s="890" customFormat="1">
      <c r="A28" s="884" t="s">
        <v>61</v>
      </c>
      <c r="B28" s="885" t="s">
        <v>62</v>
      </c>
      <c r="C28" s="875" t="s">
        <v>272</v>
      </c>
      <c r="D28" s="886">
        <v>50</v>
      </c>
      <c r="E28" s="887">
        <v>50</v>
      </c>
      <c r="F28" s="887">
        <v>0</v>
      </c>
      <c r="G28" s="893">
        <f t="shared" si="1"/>
        <v>0</v>
      </c>
      <c r="H28" s="886">
        <v>28</v>
      </c>
      <c r="I28" s="887">
        <v>28</v>
      </c>
      <c r="J28" s="887">
        <v>0</v>
      </c>
      <c r="K28" s="893">
        <f t="shared" si="2"/>
        <v>0</v>
      </c>
      <c r="L28" s="886">
        <v>0</v>
      </c>
      <c r="M28" s="887">
        <v>0</v>
      </c>
      <c r="N28" s="887">
        <v>0</v>
      </c>
      <c r="O28" s="893">
        <f t="shared" si="3"/>
        <v>0</v>
      </c>
      <c r="P28" s="888">
        <v>78</v>
      </c>
      <c r="Q28" s="889"/>
    </row>
    <row r="29" spans="1:17" s="890" customFormat="1">
      <c r="A29" s="884" t="s">
        <v>63</v>
      </c>
      <c r="B29" s="885" t="s">
        <v>64</v>
      </c>
      <c r="C29" s="875" t="s">
        <v>274</v>
      </c>
      <c r="D29" s="886">
        <v>586</v>
      </c>
      <c r="E29" s="887">
        <v>222</v>
      </c>
      <c r="F29" s="887">
        <v>267</v>
      </c>
      <c r="G29" s="893">
        <f t="shared" si="1"/>
        <v>97</v>
      </c>
      <c r="H29" s="886">
        <v>345</v>
      </c>
      <c r="I29" s="887">
        <v>156</v>
      </c>
      <c r="J29" s="887">
        <v>167</v>
      </c>
      <c r="K29" s="893">
        <f t="shared" si="2"/>
        <v>22</v>
      </c>
      <c r="L29" s="886">
        <v>1</v>
      </c>
      <c r="M29" s="887">
        <v>1</v>
      </c>
      <c r="N29" s="887">
        <v>0</v>
      </c>
      <c r="O29" s="893">
        <f t="shared" si="3"/>
        <v>0</v>
      </c>
      <c r="P29" s="888">
        <v>932</v>
      </c>
      <c r="Q29" s="889"/>
    </row>
    <row r="30" spans="1:17" s="890" customFormat="1">
      <c r="A30" s="884" t="s">
        <v>65</v>
      </c>
      <c r="B30" s="885" t="s">
        <v>66</v>
      </c>
      <c r="C30" s="875" t="s">
        <v>273</v>
      </c>
      <c r="D30" s="886">
        <v>202</v>
      </c>
      <c r="E30" s="887">
        <v>69</v>
      </c>
      <c r="F30" s="887">
        <v>124</v>
      </c>
      <c r="G30" s="893">
        <f t="shared" si="1"/>
        <v>9</v>
      </c>
      <c r="H30" s="886">
        <v>134</v>
      </c>
      <c r="I30" s="887">
        <v>57</v>
      </c>
      <c r="J30" s="887">
        <v>73</v>
      </c>
      <c r="K30" s="893">
        <f t="shared" si="2"/>
        <v>4</v>
      </c>
      <c r="L30" s="886">
        <v>0</v>
      </c>
      <c r="M30" s="887">
        <v>0</v>
      </c>
      <c r="N30" s="887">
        <v>0</v>
      </c>
      <c r="O30" s="893">
        <f t="shared" si="3"/>
        <v>0</v>
      </c>
      <c r="P30" s="888">
        <v>336</v>
      </c>
      <c r="Q30" s="889"/>
    </row>
    <row r="31" spans="1:17" s="890" customFormat="1">
      <c r="A31" s="884" t="s">
        <v>69</v>
      </c>
      <c r="B31" s="885" t="s">
        <v>70</v>
      </c>
      <c r="C31" s="875" t="s">
        <v>275</v>
      </c>
      <c r="D31" s="886">
        <v>246</v>
      </c>
      <c r="E31" s="887">
        <v>240</v>
      </c>
      <c r="F31" s="887">
        <v>3</v>
      </c>
      <c r="G31" s="893">
        <f t="shared" si="1"/>
        <v>3</v>
      </c>
      <c r="H31" s="886">
        <v>193</v>
      </c>
      <c r="I31" s="887">
        <v>192</v>
      </c>
      <c r="J31" s="887">
        <v>1</v>
      </c>
      <c r="K31" s="893">
        <f t="shared" si="2"/>
        <v>0</v>
      </c>
      <c r="L31" s="886">
        <v>1</v>
      </c>
      <c r="M31" s="887">
        <v>1</v>
      </c>
      <c r="N31" s="887">
        <v>0</v>
      </c>
      <c r="O31" s="893">
        <f t="shared" si="3"/>
        <v>0</v>
      </c>
      <c r="P31" s="888">
        <v>440</v>
      </c>
      <c r="Q31" s="889"/>
    </row>
    <row r="32" spans="1:17" s="890" customFormat="1">
      <c r="A32" s="884" t="s">
        <v>71</v>
      </c>
      <c r="B32" s="885" t="s">
        <v>72</v>
      </c>
      <c r="C32" s="875" t="s">
        <v>271</v>
      </c>
      <c r="D32" s="886">
        <v>473</v>
      </c>
      <c r="E32" s="887">
        <v>189</v>
      </c>
      <c r="F32" s="887">
        <v>217</v>
      </c>
      <c r="G32" s="893">
        <f t="shared" si="1"/>
        <v>67</v>
      </c>
      <c r="H32" s="886">
        <v>253</v>
      </c>
      <c r="I32" s="887">
        <v>118</v>
      </c>
      <c r="J32" s="887">
        <v>120</v>
      </c>
      <c r="K32" s="893">
        <f t="shared" si="2"/>
        <v>15</v>
      </c>
      <c r="L32" s="886">
        <v>0</v>
      </c>
      <c r="M32" s="887">
        <v>0</v>
      </c>
      <c r="N32" s="887">
        <v>0</v>
      </c>
      <c r="O32" s="893">
        <f t="shared" si="3"/>
        <v>0</v>
      </c>
      <c r="P32" s="888">
        <v>726</v>
      </c>
      <c r="Q32" s="889"/>
    </row>
    <row r="33" spans="1:17" s="890" customFormat="1">
      <c r="A33" s="884" t="s">
        <v>73</v>
      </c>
      <c r="B33" s="885" t="s">
        <v>74</v>
      </c>
      <c r="C33" s="875" t="s">
        <v>273</v>
      </c>
      <c r="D33" s="886">
        <v>302</v>
      </c>
      <c r="E33" s="887">
        <v>53</v>
      </c>
      <c r="F33" s="887">
        <v>184</v>
      </c>
      <c r="G33" s="893">
        <f t="shared" si="1"/>
        <v>65</v>
      </c>
      <c r="H33" s="886">
        <v>178</v>
      </c>
      <c r="I33" s="887">
        <v>32</v>
      </c>
      <c r="J33" s="887">
        <v>121</v>
      </c>
      <c r="K33" s="893">
        <f t="shared" si="2"/>
        <v>25</v>
      </c>
      <c r="L33" s="886">
        <v>0</v>
      </c>
      <c r="M33" s="887">
        <v>0</v>
      </c>
      <c r="N33" s="887">
        <v>0</v>
      </c>
      <c r="O33" s="893">
        <f t="shared" si="3"/>
        <v>0</v>
      </c>
      <c r="P33" s="888">
        <v>480</v>
      </c>
      <c r="Q33" s="889"/>
    </row>
    <row r="34" spans="1:17" s="890" customFormat="1">
      <c r="A34" s="884" t="s">
        <v>75</v>
      </c>
      <c r="B34" s="885" t="s">
        <v>306</v>
      </c>
      <c r="C34" s="875" t="s">
        <v>274</v>
      </c>
      <c r="D34" s="886">
        <v>5252</v>
      </c>
      <c r="E34" s="887">
        <v>1837</v>
      </c>
      <c r="F34" s="887">
        <v>1998</v>
      </c>
      <c r="G34" s="893">
        <f t="shared" si="1"/>
        <v>1417</v>
      </c>
      <c r="H34" s="886">
        <v>3382</v>
      </c>
      <c r="I34" s="887">
        <v>1337</v>
      </c>
      <c r="J34" s="887">
        <v>1206</v>
      </c>
      <c r="K34" s="893">
        <f t="shared" si="2"/>
        <v>839</v>
      </c>
      <c r="L34" s="886">
        <v>20</v>
      </c>
      <c r="M34" s="887">
        <v>5</v>
      </c>
      <c r="N34" s="887">
        <v>8</v>
      </c>
      <c r="O34" s="893">
        <f t="shared" si="3"/>
        <v>7</v>
      </c>
      <c r="P34" s="888">
        <v>8654</v>
      </c>
      <c r="Q34" s="889"/>
    </row>
    <row r="35" spans="1:17" s="890" customFormat="1">
      <c r="A35" s="884" t="s">
        <v>77</v>
      </c>
      <c r="B35" s="885" t="s">
        <v>78</v>
      </c>
      <c r="C35" s="875" t="s">
        <v>274</v>
      </c>
      <c r="D35" s="886">
        <v>389</v>
      </c>
      <c r="E35" s="887">
        <v>185</v>
      </c>
      <c r="F35" s="887">
        <v>129</v>
      </c>
      <c r="G35" s="893">
        <f t="shared" si="1"/>
        <v>75</v>
      </c>
      <c r="H35" s="886">
        <v>241</v>
      </c>
      <c r="I35" s="887">
        <v>148</v>
      </c>
      <c r="J35" s="887">
        <v>72</v>
      </c>
      <c r="K35" s="893">
        <f t="shared" si="2"/>
        <v>21</v>
      </c>
      <c r="L35" s="886">
        <v>1</v>
      </c>
      <c r="M35" s="887">
        <v>0</v>
      </c>
      <c r="N35" s="887">
        <v>1</v>
      </c>
      <c r="O35" s="893">
        <f t="shared" si="3"/>
        <v>0</v>
      </c>
      <c r="P35" s="888">
        <v>631</v>
      </c>
      <c r="Q35" s="889"/>
    </row>
    <row r="36" spans="1:17" s="890" customFormat="1">
      <c r="A36" s="884" t="s">
        <v>79</v>
      </c>
      <c r="B36" s="885" t="s">
        <v>80</v>
      </c>
      <c r="C36" s="875" t="s">
        <v>275</v>
      </c>
      <c r="D36" s="886">
        <v>209</v>
      </c>
      <c r="E36" s="887">
        <v>175</v>
      </c>
      <c r="F36" s="887">
        <v>20</v>
      </c>
      <c r="G36" s="893">
        <f t="shared" si="1"/>
        <v>14</v>
      </c>
      <c r="H36" s="886">
        <v>127</v>
      </c>
      <c r="I36" s="887">
        <v>109</v>
      </c>
      <c r="J36" s="887">
        <v>10</v>
      </c>
      <c r="K36" s="893">
        <f t="shared" si="2"/>
        <v>8</v>
      </c>
      <c r="L36" s="886">
        <v>0</v>
      </c>
      <c r="M36" s="887">
        <v>0</v>
      </c>
      <c r="N36" s="887">
        <v>0</v>
      </c>
      <c r="O36" s="893">
        <f t="shared" si="3"/>
        <v>0</v>
      </c>
      <c r="P36" s="888">
        <v>336</v>
      </c>
      <c r="Q36" s="889"/>
    </row>
    <row r="37" spans="1:17" s="890" customFormat="1">
      <c r="A37" s="884" t="s">
        <v>81</v>
      </c>
      <c r="B37" s="885" t="s">
        <v>82</v>
      </c>
      <c r="C37" s="875" t="s">
        <v>273</v>
      </c>
      <c r="D37" s="886">
        <v>192</v>
      </c>
      <c r="E37" s="887">
        <v>98</v>
      </c>
      <c r="F37" s="887">
        <v>86</v>
      </c>
      <c r="G37" s="893">
        <f t="shared" ref="G37:G68" si="4">D37-E37-F37</f>
        <v>8</v>
      </c>
      <c r="H37" s="886">
        <v>94</v>
      </c>
      <c r="I37" s="887">
        <v>52</v>
      </c>
      <c r="J37" s="887">
        <v>42</v>
      </c>
      <c r="K37" s="893">
        <f t="shared" ref="K37:K68" si="5">H37-I37-J37</f>
        <v>0</v>
      </c>
      <c r="L37" s="886">
        <v>0</v>
      </c>
      <c r="M37" s="887">
        <v>0</v>
      </c>
      <c r="N37" s="887">
        <v>0</v>
      </c>
      <c r="O37" s="893">
        <f t="shared" ref="O37:O68" si="6">L37-M37-N37</f>
        <v>0</v>
      </c>
      <c r="P37" s="888">
        <v>286</v>
      </c>
      <c r="Q37" s="889"/>
    </row>
    <row r="38" spans="1:17" s="890" customFormat="1">
      <c r="A38" s="884" t="s">
        <v>85</v>
      </c>
      <c r="B38" s="885" t="s">
        <v>86</v>
      </c>
      <c r="C38" s="875" t="s">
        <v>272</v>
      </c>
      <c r="D38" s="886">
        <v>811</v>
      </c>
      <c r="E38" s="887">
        <v>567</v>
      </c>
      <c r="F38" s="887">
        <v>128</v>
      </c>
      <c r="G38" s="893">
        <f t="shared" si="4"/>
        <v>116</v>
      </c>
      <c r="H38" s="886">
        <v>507</v>
      </c>
      <c r="I38" s="887">
        <v>402</v>
      </c>
      <c r="J38" s="887">
        <v>83</v>
      </c>
      <c r="K38" s="893">
        <f t="shared" si="5"/>
        <v>22</v>
      </c>
      <c r="L38" s="886">
        <v>1</v>
      </c>
      <c r="M38" s="887">
        <v>1</v>
      </c>
      <c r="N38" s="887">
        <v>0</v>
      </c>
      <c r="O38" s="893">
        <f t="shared" si="6"/>
        <v>0</v>
      </c>
      <c r="P38" s="888">
        <v>1319</v>
      </c>
      <c r="Q38" s="889"/>
    </row>
    <row r="39" spans="1:17" s="890" customFormat="1">
      <c r="A39" s="884" t="s">
        <v>87</v>
      </c>
      <c r="B39" s="885" t="s">
        <v>88</v>
      </c>
      <c r="C39" s="875" t="s">
        <v>274</v>
      </c>
      <c r="D39" s="886">
        <v>657</v>
      </c>
      <c r="E39" s="887">
        <v>489</v>
      </c>
      <c r="F39" s="887">
        <v>79</v>
      </c>
      <c r="G39" s="893">
        <f t="shared" si="4"/>
        <v>89</v>
      </c>
      <c r="H39" s="886">
        <v>391</v>
      </c>
      <c r="I39" s="887">
        <v>323</v>
      </c>
      <c r="J39" s="887">
        <v>39</v>
      </c>
      <c r="K39" s="893">
        <f t="shared" si="5"/>
        <v>29</v>
      </c>
      <c r="L39" s="886">
        <v>0</v>
      </c>
      <c r="M39" s="887">
        <v>0</v>
      </c>
      <c r="N39" s="887">
        <v>0</v>
      </c>
      <c r="O39" s="893">
        <f t="shared" si="6"/>
        <v>0</v>
      </c>
      <c r="P39" s="888">
        <v>1048</v>
      </c>
      <c r="Q39" s="889"/>
    </row>
    <row r="40" spans="1:17" s="890" customFormat="1">
      <c r="A40" s="884" t="s">
        <v>93</v>
      </c>
      <c r="B40" s="885" t="s">
        <v>94</v>
      </c>
      <c r="C40" s="875" t="s">
        <v>275</v>
      </c>
      <c r="D40" s="886">
        <v>183</v>
      </c>
      <c r="E40" s="887">
        <v>172</v>
      </c>
      <c r="F40" s="887">
        <v>3</v>
      </c>
      <c r="G40" s="893">
        <f t="shared" si="4"/>
        <v>8</v>
      </c>
      <c r="H40" s="886">
        <v>101</v>
      </c>
      <c r="I40" s="887">
        <v>95</v>
      </c>
      <c r="J40" s="887">
        <v>3</v>
      </c>
      <c r="K40" s="893">
        <f t="shared" si="5"/>
        <v>3</v>
      </c>
      <c r="L40" s="886">
        <v>0</v>
      </c>
      <c r="M40" s="887">
        <v>0</v>
      </c>
      <c r="N40" s="887">
        <v>0</v>
      </c>
      <c r="O40" s="893">
        <f t="shared" si="6"/>
        <v>0</v>
      </c>
      <c r="P40" s="888">
        <v>284</v>
      </c>
      <c r="Q40" s="889"/>
    </row>
    <row r="41" spans="1:17" s="890" customFormat="1">
      <c r="A41" s="884" t="s">
        <v>95</v>
      </c>
      <c r="B41" s="885" t="s">
        <v>96</v>
      </c>
      <c r="C41" s="875" t="s">
        <v>271</v>
      </c>
      <c r="D41" s="886">
        <v>348</v>
      </c>
      <c r="E41" s="887">
        <v>237</v>
      </c>
      <c r="F41" s="887">
        <v>93</v>
      </c>
      <c r="G41" s="893">
        <f t="shared" si="4"/>
        <v>18</v>
      </c>
      <c r="H41" s="886">
        <v>195</v>
      </c>
      <c r="I41" s="887">
        <v>152</v>
      </c>
      <c r="J41" s="887">
        <v>39</v>
      </c>
      <c r="K41" s="893">
        <f t="shared" si="5"/>
        <v>4</v>
      </c>
      <c r="L41" s="886">
        <v>0</v>
      </c>
      <c r="M41" s="887">
        <v>0</v>
      </c>
      <c r="N41" s="887">
        <v>0</v>
      </c>
      <c r="O41" s="893">
        <f t="shared" si="6"/>
        <v>0</v>
      </c>
      <c r="P41" s="888">
        <v>543</v>
      </c>
      <c r="Q41" s="889"/>
    </row>
    <row r="42" spans="1:17" s="890" customFormat="1">
      <c r="A42" s="884" t="s">
        <v>97</v>
      </c>
      <c r="B42" s="885" t="s">
        <v>98</v>
      </c>
      <c r="C42" s="875" t="s">
        <v>273</v>
      </c>
      <c r="D42" s="886">
        <v>144</v>
      </c>
      <c r="E42" s="887">
        <v>59</v>
      </c>
      <c r="F42" s="887">
        <v>79</v>
      </c>
      <c r="G42" s="893">
        <f t="shared" si="4"/>
        <v>6</v>
      </c>
      <c r="H42" s="886">
        <v>86</v>
      </c>
      <c r="I42" s="887">
        <v>35</v>
      </c>
      <c r="J42" s="887">
        <v>47</v>
      </c>
      <c r="K42" s="893">
        <f t="shared" si="5"/>
        <v>4</v>
      </c>
      <c r="L42" s="886">
        <v>0</v>
      </c>
      <c r="M42" s="887">
        <v>0</v>
      </c>
      <c r="N42" s="887">
        <v>0</v>
      </c>
      <c r="O42" s="893">
        <f t="shared" si="6"/>
        <v>0</v>
      </c>
      <c r="P42" s="888">
        <v>230</v>
      </c>
      <c r="Q42" s="889"/>
    </row>
    <row r="43" spans="1:17" s="890" customFormat="1">
      <c r="A43" s="884" t="s">
        <v>99</v>
      </c>
      <c r="B43" s="885" t="s">
        <v>100</v>
      </c>
      <c r="C43" s="875" t="s">
        <v>275</v>
      </c>
      <c r="D43" s="886">
        <v>158</v>
      </c>
      <c r="E43" s="887">
        <v>140</v>
      </c>
      <c r="F43" s="887">
        <v>16</v>
      </c>
      <c r="G43" s="893">
        <f t="shared" si="4"/>
        <v>2</v>
      </c>
      <c r="H43" s="886">
        <v>105</v>
      </c>
      <c r="I43" s="887">
        <v>99</v>
      </c>
      <c r="J43" s="887">
        <v>6</v>
      </c>
      <c r="K43" s="893">
        <f t="shared" si="5"/>
        <v>0</v>
      </c>
      <c r="L43" s="886">
        <v>0</v>
      </c>
      <c r="M43" s="887">
        <v>0</v>
      </c>
      <c r="N43" s="887">
        <v>0</v>
      </c>
      <c r="O43" s="893">
        <f t="shared" si="6"/>
        <v>0</v>
      </c>
      <c r="P43" s="888">
        <v>263</v>
      </c>
      <c r="Q43" s="889"/>
    </row>
    <row r="44" spans="1:17" s="890" customFormat="1">
      <c r="A44" s="884" t="s">
        <v>101</v>
      </c>
      <c r="B44" s="885" t="s">
        <v>102</v>
      </c>
      <c r="C44" s="875" t="s">
        <v>274</v>
      </c>
      <c r="D44" s="886">
        <v>178</v>
      </c>
      <c r="E44" s="887">
        <v>111</v>
      </c>
      <c r="F44" s="887">
        <v>34</v>
      </c>
      <c r="G44" s="893">
        <f t="shared" si="4"/>
        <v>33</v>
      </c>
      <c r="H44" s="886">
        <v>108</v>
      </c>
      <c r="I44" s="887">
        <v>74</v>
      </c>
      <c r="J44" s="887">
        <v>29</v>
      </c>
      <c r="K44" s="893">
        <f t="shared" si="5"/>
        <v>5</v>
      </c>
      <c r="L44" s="886">
        <v>0</v>
      </c>
      <c r="M44" s="887">
        <v>0</v>
      </c>
      <c r="N44" s="887">
        <v>0</v>
      </c>
      <c r="O44" s="893">
        <f t="shared" si="6"/>
        <v>0</v>
      </c>
      <c r="P44" s="888">
        <v>286</v>
      </c>
      <c r="Q44" s="889"/>
    </row>
    <row r="45" spans="1:17" s="890" customFormat="1">
      <c r="A45" s="884" t="s">
        <v>103</v>
      </c>
      <c r="B45" s="885" t="s">
        <v>290</v>
      </c>
      <c r="C45" s="875" t="s">
        <v>271</v>
      </c>
      <c r="D45" s="886">
        <v>534</v>
      </c>
      <c r="E45" s="887">
        <v>28</v>
      </c>
      <c r="F45" s="887">
        <v>489</v>
      </c>
      <c r="G45" s="893">
        <f t="shared" si="4"/>
        <v>17</v>
      </c>
      <c r="H45" s="886">
        <v>269</v>
      </c>
      <c r="I45" s="887">
        <v>23</v>
      </c>
      <c r="J45" s="887">
        <v>244</v>
      </c>
      <c r="K45" s="893">
        <f t="shared" si="5"/>
        <v>2</v>
      </c>
      <c r="L45" s="886">
        <v>0</v>
      </c>
      <c r="M45" s="887">
        <v>0</v>
      </c>
      <c r="N45" s="887">
        <v>0</v>
      </c>
      <c r="O45" s="893">
        <f t="shared" si="6"/>
        <v>0</v>
      </c>
      <c r="P45" s="888">
        <v>803</v>
      </c>
      <c r="Q45" s="889"/>
    </row>
    <row r="46" spans="1:17" s="890" customFormat="1">
      <c r="A46" s="884" t="s">
        <v>105</v>
      </c>
      <c r="B46" s="885" t="s">
        <v>106</v>
      </c>
      <c r="C46" s="875" t="s">
        <v>272</v>
      </c>
      <c r="D46" s="886">
        <v>722</v>
      </c>
      <c r="E46" s="887">
        <v>166</v>
      </c>
      <c r="F46" s="887">
        <v>470</v>
      </c>
      <c r="G46" s="893">
        <f t="shared" si="4"/>
        <v>86</v>
      </c>
      <c r="H46" s="886">
        <v>425</v>
      </c>
      <c r="I46" s="887">
        <v>132</v>
      </c>
      <c r="J46" s="887">
        <v>253</v>
      </c>
      <c r="K46" s="893">
        <f t="shared" si="5"/>
        <v>40</v>
      </c>
      <c r="L46" s="886">
        <v>3</v>
      </c>
      <c r="M46" s="887">
        <v>0</v>
      </c>
      <c r="N46" s="887">
        <v>3</v>
      </c>
      <c r="O46" s="893">
        <f t="shared" si="6"/>
        <v>0</v>
      </c>
      <c r="P46" s="888">
        <v>1150</v>
      </c>
      <c r="Q46" s="889"/>
    </row>
    <row r="47" spans="1:17" s="890" customFormat="1">
      <c r="A47" s="884" t="s">
        <v>109</v>
      </c>
      <c r="B47" s="885" t="s">
        <v>110</v>
      </c>
      <c r="C47" s="875" t="s">
        <v>273</v>
      </c>
      <c r="D47" s="886">
        <v>515</v>
      </c>
      <c r="E47" s="887">
        <v>256</v>
      </c>
      <c r="F47" s="887">
        <v>180</v>
      </c>
      <c r="G47" s="893">
        <f t="shared" si="4"/>
        <v>79</v>
      </c>
      <c r="H47" s="886">
        <v>319</v>
      </c>
      <c r="I47" s="887">
        <v>188</v>
      </c>
      <c r="J47" s="887">
        <v>102</v>
      </c>
      <c r="K47" s="893">
        <f t="shared" si="5"/>
        <v>29</v>
      </c>
      <c r="L47" s="886">
        <v>0</v>
      </c>
      <c r="M47" s="887">
        <v>0</v>
      </c>
      <c r="N47" s="887">
        <v>0</v>
      </c>
      <c r="O47" s="893">
        <f t="shared" si="6"/>
        <v>0</v>
      </c>
      <c r="P47" s="888">
        <v>834</v>
      </c>
      <c r="Q47" s="889"/>
    </row>
    <row r="48" spans="1:17" s="890" customFormat="1">
      <c r="A48" s="884" t="s">
        <v>111</v>
      </c>
      <c r="B48" s="885" t="s">
        <v>112</v>
      </c>
      <c r="C48" s="875" t="s">
        <v>273</v>
      </c>
      <c r="D48" s="886">
        <v>4868</v>
      </c>
      <c r="E48" s="887">
        <v>724</v>
      </c>
      <c r="F48" s="887">
        <v>3138</v>
      </c>
      <c r="G48" s="893">
        <f t="shared" si="4"/>
        <v>1006</v>
      </c>
      <c r="H48" s="886">
        <v>2862</v>
      </c>
      <c r="I48" s="887">
        <v>529</v>
      </c>
      <c r="J48" s="887">
        <v>1803</v>
      </c>
      <c r="K48" s="893">
        <f t="shared" si="5"/>
        <v>530</v>
      </c>
      <c r="L48" s="886">
        <v>5</v>
      </c>
      <c r="M48" s="887">
        <v>0</v>
      </c>
      <c r="N48" s="887">
        <v>2</v>
      </c>
      <c r="O48" s="893">
        <f t="shared" si="6"/>
        <v>3</v>
      </c>
      <c r="P48" s="888">
        <v>7735</v>
      </c>
      <c r="Q48" s="889"/>
    </row>
    <row r="49" spans="1:17" s="890" customFormat="1">
      <c r="A49" s="884" t="s">
        <v>113</v>
      </c>
      <c r="B49" s="885" t="s">
        <v>310</v>
      </c>
      <c r="C49" s="875" t="s">
        <v>272</v>
      </c>
      <c r="D49" s="886">
        <v>1631</v>
      </c>
      <c r="E49" s="887">
        <v>612</v>
      </c>
      <c r="F49" s="887">
        <v>775</v>
      </c>
      <c r="G49" s="893">
        <f t="shared" si="4"/>
        <v>244</v>
      </c>
      <c r="H49" s="886">
        <v>988</v>
      </c>
      <c r="I49" s="887">
        <v>431</v>
      </c>
      <c r="J49" s="887">
        <v>462</v>
      </c>
      <c r="K49" s="893">
        <f t="shared" si="5"/>
        <v>95</v>
      </c>
      <c r="L49" s="886">
        <v>1</v>
      </c>
      <c r="M49" s="887">
        <v>1</v>
      </c>
      <c r="N49" s="887">
        <v>0</v>
      </c>
      <c r="O49" s="893">
        <f t="shared" si="6"/>
        <v>0</v>
      </c>
      <c r="P49" s="888">
        <v>2620</v>
      </c>
      <c r="Q49" s="889"/>
    </row>
    <row r="50" spans="1:17" s="890" customFormat="1">
      <c r="A50" s="884" t="s">
        <v>115</v>
      </c>
      <c r="B50" s="885" t="s">
        <v>116</v>
      </c>
      <c r="C50" s="875" t="s">
        <v>272</v>
      </c>
      <c r="D50" s="886">
        <v>5</v>
      </c>
      <c r="E50" s="887">
        <v>4</v>
      </c>
      <c r="F50" s="887">
        <v>0</v>
      </c>
      <c r="G50" s="893">
        <f t="shared" si="4"/>
        <v>1</v>
      </c>
      <c r="H50" s="886">
        <v>3</v>
      </c>
      <c r="I50" s="887">
        <v>2</v>
      </c>
      <c r="J50" s="887">
        <v>0</v>
      </c>
      <c r="K50" s="893">
        <f t="shared" si="5"/>
        <v>1</v>
      </c>
      <c r="L50" s="886">
        <v>0</v>
      </c>
      <c r="M50" s="887">
        <v>0</v>
      </c>
      <c r="N50" s="887">
        <v>0</v>
      </c>
      <c r="O50" s="893">
        <f t="shared" si="6"/>
        <v>0</v>
      </c>
      <c r="P50" s="888">
        <v>8</v>
      </c>
      <c r="Q50" s="889"/>
    </row>
    <row r="51" spans="1:17" s="890" customFormat="1">
      <c r="A51" s="884" t="s">
        <v>119</v>
      </c>
      <c r="B51" s="885" t="s">
        <v>277</v>
      </c>
      <c r="C51" s="875" t="s">
        <v>271</v>
      </c>
      <c r="D51" s="886">
        <v>443</v>
      </c>
      <c r="E51" s="887">
        <v>123</v>
      </c>
      <c r="F51" s="887">
        <v>269</v>
      </c>
      <c r="G51" s="893">
        <f t="shared" si="4"/>
        <v>51</v>
      </c>
      <c r="H51" s="886">
        <v>264</v>
      </c>
      <c r="I51" s="887">
        <v>103</v>
      </c>
      <c r="J51" s="887">
        <v>144</v>
      </c>
      <c r="K51" s="893">
        <f t="shared" si="5"/>
        <v>17</v>
      </c>
      <c r="L51" s="886">
        <v>2</v>
      </c>
      <c r="M51" s="887">
        <v>1</v>
      </c>
      <c r="N51" s="887">
        <v>1</v>
      </c>
      <c r="O51" s="893">
        <f t="shared" si="6"/>
        <v>0</v>
      </c>
      <c r="P51" s="888">
        <v>709</v>
      </c>
      <c r="Q51" s="889"/>
    </row>
    <row r="52" spans="1:17" s="890" customFormat="1">
      <c r="A52" s="884" t="s">
        <v>121</v>
      </c>
      <c r="B52" s="885" t="s">
        <v>122</v>
      </c>
      <c r="C52" s="875" t="s">
        <v>271</v>
      </c>
      <c r="D52" s="886">
        <v>523</v>
      </c>
      <c r="E52" s="887">
        <v>182</v>
      </c>
      <c r="F52" s="887">
        <v>256</v>
      </c>
      <c r="G52" s="893">
        <f t="shared" si="4"/>
        <v>85</v>
      </c>
      <c r="H52" s="886">
        <v>313</v>
      </c>
      <c r="I52" s="887">
        <v>136</v>
      </c>
      <c r="J52" s="887">
        <v>148</v>
      </c>
      <c r="K52" s="893">
        <f t="shared" si="5"/>
        <v>29</v>
      </c>
      <c r="L52" s="886">
        <v>0</v>
      </c>
      <c r="M52" s="887">
        <v>0</v>
      </c>
      <c r="N52" s="887">
        <v>0</v>
      </c>
      <c r="O52" s="893">
        <f t="shared" si="6"/>
        <v>0</v>
      </c>
      <c r="P52" s="888">
        <v>836</v>
      </c>
      <c r="Q52" s="889"/>
    </row>
    <row r="53" spans="1:17" s="890" customFormat="1">
      <c r="A53" s="884" t="s">
        <v>123</v>
      </c>
      <c r="B53" s="885" t="s">
        <v>296</v>
      </c>
      <c r="C53" s="875" t="s">
        <v>273</v>
      </c>
      <c r="D53" s="886">
        <v>96</v>
      </c>
      <c r="E53" s="887">
        <v>25</v>
      </c>
      <c r="F53" s="887">
        <v>52</v>
      </c>
      <c r="G53" s="893">
        <f t="shared" si="4"/>
        <v>19</v>
      </c>
      <c r="H53" s="886">
        <v>49</v>
      </c>
      <c r="I53" s="887">
        <v>18</v>
      </c>
      <c r="J53" s="887">
        <v>29</v>
      </c>
      <c r="K53" s="893">
        <f t="shared" si="5"/>
        <v>2</v>
      </c>
      <c r="L53" s="886">
        <v>0</v>
      </c>
      <c r="M53" s="887">
        <v>0</v>
      </c>
      <c r="N53" s="887">
        <v>0</v>
      </c>
      <c r="O53" s="893">
        <f t="shared" si="6"/>
        <v>0</v>
      </c>
      <c r="P53" s="888">
        <v>145</v>
      </c>
      <c r="Q53" s="889"/>
    </row>
    <row r="54" spans="1:17" s="890" customFormat="1">
      <c r="A54" s="884" t="s">
        <v>125</v>
      </c>
      <c r="B54" s="885" t="s">
        <v>126</v>
      </c>
      <c r="C54" s="875" t="s">
        <v>274</v>
      </c>
      <c r="D54" s="886">
        <v>232</v>
      </c>
      <c r="E54" s="887">
        <v>86</v>
      </c>
      <c r="F54" s="887">
        <v>105</v>
      </c>
      <c r="G54" s="893">
        <f t="shared" si="4"/>
        <v>41</v>
      </c>
      <c r="H54" s="886">
        <v>105</v>
      </c>
      <c r="I54" s="887">
        <v>48</v>
      </c>
      <c r="J54" s="887">
        <v>51</v>
      </c>
      <c r="K54" s="893">
        <f t="shared" si="5"/>
        <v>6</v>
      </c>
      <c r="L54" s="886">
        <v>1</v>
      </c>
      <c r="M54" s="887">
        <v>0</v>
      </c>
      <c r="N54" s="887">
        <v>1</v>
      </c>
      <c r="O54" s="893">
        <f t="shared" si="6"/>
        <v>0</v>
      </c>
      <c r="P54" s="888">
        <v>338</v>
      </c>
      <c r="Q54" s="889"/>
    </row>
    <row r="55" spans="1:17" s="890" customFormat="1">
      <c r="A55" s="884" t="s">
        <v>127</v>
      </c>
      <c r="B55" s="885" t="s">
        <v>128</v>
      </c>
      <c r="C55" s="875" t="s">
        <v>273</v>
      </c>
      <c r="D55" s="886">
        <v>148</v>
      </c>
      <c r="E55" s="887">
        <v>68</v>
      </c>
      <c r="F55" s="887">
        <v>73</v>
      </c>
      <c r="G55" s="893">
        <f t="shared" si="4"/>
        <v>7</v>
      </c>
      <c r="H55" s="886">
        <v>98</v>
      </c>
      <c r="I55" s="887">
        <v>46</v>
      </c>
      <c r="J55" s="887">
        <v>47</v>
      </c>
      <c r="K55" s="893">
        <f t="shared" si="5"/>
        <v>5</v>
      </c>
      <c r="L55" s="886">
        <v>0</v>
      </c>
      <c r="M55" s="887">
        <v>0</v>
      </c>
      <c r="N55" s="887">
        <v>0</v>
      </c>
      <c r="O55" s="893">
        <f t="shared" si="6"/>
        <v>0</v>
      </c>
      <c r="P55" s="888">
        <v>246</v>
      </c>
      <c r="Q55" s="889"/>
    </row>
    <row r="56" spans="1:17" s="890" customFormat="1">
      <c r="A56" s="884" t="s">
        <v>129</v>
      </c>
      <c r="B56" s="885" t="s">
        <v>130</v>
      </c>
      <c r="C56" s="875" t="s">
        <v>273</v>
      </c>
      <c r="D56" s="886">
        <v>185</v>
      </c>
      <c r="E56" s="887">
        <v>32</v>
      </c>
      <c r="F56" s="887">
        <v>144</v>
      </c>
      <c r="G56" s="893">
        <f t="shared" si="4"/>
        <v>9</v>
      </c>
      <c r="H56" s="886">
        <v>110</v>
      </c>
      <c r="I56" s="887">
        <v>26</v>
      </c>
      <c r="J56" s="887">
        <v>82</v>
      </c>
      <c r="K56" s="893">
        <f t="shared" si="5"/>
        <v>2</v>
      </c>
      <c r="L56" s="886">
        <v>0</v>
      </c>
      <c r="M56" s="887">
        <v>0</v>
      </c>
      <c r="N56" s="887">
        <v>0</v>
      </c>
      <c r="O56" s="893">
        <f t="shared" si="6"/>
        <v>0</v>
      </c>
      <c r="P56" s="888">
        <v>295</v>
      </c>
      <c r="Q56" s="889"/>
    </row>
    <row r="57" spans="1:17" s="890" customFormat="1">
      <c r="A57" s="884" t="s">
        <v>131</v>
      </c>
      <c r="B57" s="885" t="s">
        <v>132</v>
      </c>
      <c r="C57" s="875" t="s">
        <v>275</v>
      </c>
      <c r="D57" s="886">
        <v>802</v>
      </c>
      <c r="E57" s="887">
        <v>743</v>
      </c>
      <c r="F57" s="887">
        <v>16</v>
      </c>
      <c r="G57" s="893">
        <f t="shared" si="4"/>
        <v>43</v>
      </c>
      <c r="H57" s="886">
        <v>598</v>
      </c>
      <c r="I57" s="887">
        <v>576</v>
      </c>
      <c r="J57" s="887">
        <v>5</v>
      </c>
      <c r="K57" s="893">
        <f t="shared" si="5"/>
        <v>17</v>
      </c>
      <c r="L57" s="886">
        <v>3</v>
      </c>
      <c r="M57" s="887">
        <v>3</v>
      </c>
      <c r="N57" s="887">
        <v>0</v>
      </c>
      <c r="O57" s="893">
        <f t="shared" si="6"/>
        <v>0</v>
      </c>
      <c r="P57" s="888">
        <v>1403</v>
      </c>
      <c r="Q57" s="889"/>
    </row>
    <row r="58" spans="1:17" s="890" customFormat="1">
      <c r="A58" s="884" t="s">
        <v>133</v>
      </c>
      <c r="B58" s="885" t="s">
        <v>134</v>
      </c>
      <c r="C58" s="875" t="s">
        <v>274</v>
      </c>
      <c r="D58" s="886">
        <v>920</v>
      </c>
      <c r="E58" s="887">
        <v>346</v>
      </c>
      <c r="F58" s="887">
        <v>359</v>
      </c>
      <c r="G58" s="893">
        <f t="shared" si="4"/>
        <v>215</v>
      </c>
      <c r="H58" s="886">
        <v>602</v>
      </c>
      <c r="I58" s="887">
        <v>287</v>
      </c>
      <c r="J58" s="887">
        <v>196</v>
      </c>
      <c r="K58" s="893">
        <f t="shared" si="5"/>
        <v>119</v>
      </c>
      <c r="L58" s="886">
        <v>1</v>
      </c>
      <c r="M58" s="887">
        <v>0</v>
      </c>
      <c r="N58" s="887">
        <v>0</v>
      </c>
      <c r="O58" s="893">
        <f t="shared" si="6"/>
        <v>1</v>
      </c>
      <c r="P58" s="888">
        <v>1523</v>
      </c>
      <c r="Q58" s="889"/>
    </row>
    <row r="59" spans="1:17" s="890" customFormat="1">
      <c r="A59" s="884" t="s">
        <v>135</v>
      </c>
      <c r="B59" s="885" t="s">
        <v>136</v>
      </c>
      <c r="C59" s="875" t="s">
        <v>274</v>
      </c>
      <c r="D59" s="886">
        <v>355</v>
      </c>
      <c r="E59" s="887">
        <v>194</v>
      </c>
      <c r="F59" s="887">
        <v>118</v>
      </c>
      <c r="G59" s="893">
        <f t="shared" si="4"/>
        <v>43</v>
      </c>
      <c r="H59" s="886">
        <v>212</v>
      </c>
      <c r="I59" s="887">
        <v>134</v>
      </c>
      <c r="J59" s="887">
        <v>58</v>
      </c>
      <c r="K59" s="893">
        <f t="shared" si="5"/>
        <v>20</v>
      </c>
      <c r="L59" s="886">
        <v>0</v>
      </c>
      <c r="M59" s="887">
        <v>0</v>
      </c>
      <c r="N59" s="887">
        <v>0</v>
      </c>
      <c r="O59" s="893">
        <f t="shared" si="6"/>
        <v>0</v>
      </c>
      <c r="P59" s="888">
        <v>567</v>
      </c>
      <c r="Q59" s="889"/>
    </row>
    <row r="60" spans="1:17" s="890" customFormat="1">
      <c r="A60" s="884" t="s">
        <v>137</v>
      </c>
      <c r="B60" s="885" t="s">
        <v>138</v>
      </c>
      <c r="C60" s="875" t="s">
        <v>273</v>
      </c>
      <c r="D60" s="886">
        <v>264</v>
      </c>
      <c r="E60" s="887">
        <v>65</v>
      </c>
      <c r="F60" s="887">
        <v>180</v>
      </c>
      <c r="G60" s="893">
        <f t="shared" si="4"/>
        <v>19</v>
      </c>
      <c r="H60" s="886">
        <v>148</v>
      </c>
      <c r="I60" s="887">
        <v>50</v>
      </c>
      <c r="J60" s="887">
        <v>95</v>
      </c>
      <c r="K60" s="893">
        <f t="shared" si="5"/>
        <v>3</v>
      </c>
      <c r="L60" s="886">
        <v>0</v>
      </c>
      <c r="M60" s="887">
        <v>0</v>
      </c>
      <c r="N60" s="887">
        <v>0</v>
      </c>
      <c r="O60" s="893">
        <f t="shared" si="6"/>
        <v>0</v>
      </c>
      <c r="P60" s="888">
        <v>412</v>
      </c>
      <c r="Q60" s="889"/>
    </row>
    <row r="61" spans="1:17" s="890" customFormat="1">
      <c r="A61" s="884" t="s">
        <v>141</v>
      </c>
      <c r="B61" s="885" t="s">
        <v>142</v>
      </c>
      <c r="C61" s="875" t="s">
        <v>274</v>
      </c>
      <c r="D61" s="886">
        <v>100</v>
      </c>
      <c r="E61" s="887">
        <v>59</v>
      </c>
      <c r="F61" s="887">
        <v>30</v>
      </c>
      <c r="G61" s="893">
        <f t="shared" si="4"/>
        <v>11</v>
      </c>
      <c r="H61" s="886">
        <v>52</v>
      </c>
      <c r="I61" s="887">
        <v>41</v>
      </c>
      <c r="J61" s="887">
        <v>9</v>
      </c>
      <c r="K61" s="893">
        <f t="shared" si="5"/>
        <v>2</v>
      </c>
      <c r="L61" s="886">
        <v>0</v>
      </c>
      <c r="M61" s="887">
        <v>0</v>
      </c>
      <c r="N61" s="887">
        <v>0</v>
      </c>
      <c r="O61" s="893">
        <f t="shared" si="6"/>
        <v>0</v>
      </c>
      <c r="P61" s="888">
        <v>152</v>
      </c>
      <c r="Q61" s="889"/>
    </row>
    <row r="62" spans="1:17" s="890" customFormat="1">
      <c r="A62" s="884" t="s">
        <v>147</v>
      </c>
      <c r="B62" s="885" t="s">
        <v>148</v>
      </c>
      <c r="C62" s="875" t="s">
        <v>271</v>
      </c>
      <c r="D62" s="886">
        <v>72</v>
      </c>
      <c r="E62" s="887">
        <v>53</v>
      </c>
      <c r="F62" s="887">
        <v>16</v>
      </c>
      <c r="G62" s="893">
        <f t="shared" si="4"/>
        <v>3</v>
      </c>
      <c r="H62" s="886">
        <v>41</v>
      </c>
      <c r="I62" s="887">
        <v>34</v>
      </c>
      <c r="J62" s="887">
        <v>7</v>
      </c>
      <c r="K62" s="893">
        <f t="shared" si="5"/>
        <v>0</v>
      </c>
      <c r="L62" s="886">
        <v>0</v>
      </c>
      <c r="M62" s="887">
        <v>0</v>
      </c>
      <c r="N62" s="887">
        <v>0</v>
      </c>
      <c r="O62" s="893">
        <f t="shared" si="6"/>
        <v>0</v>
      </c>
      <c r="P62" s="888">
        <v>113</v>
      </c>
      <c r="Q62" s="889"/>
    </row>
    <row r="63" spans="1:17" s="890" customFormat="1">
      <c r="A63" s="884" t="s">
        <v>149</v>
      </c>
      <c r="B63" s="885" t="s">
        <v>150</v>
      </c>
      <c r="C63" s="875" t="s">
        <v>272</v>
      </c>
      <c r="D63" s="886">
        <v>523</v>
      </c>
      <c r="E63" s="887">
        <v>122</v>
      </c>
      <c r="F63" s="887">
        <v>380</v>
      </c>
      <c r="G63" s="893">
        <f t="shared" si="4"/>
        <v>21</v>
      </c>
      <c r="H63" s="886">
        <v>291</v>
      </c>
      <c r="I63" s="887">
        <v>94</v>
      </c>
      <c r="J63" s="887">
        <v>195</v>
      </c>
      <c r="K63" s="893">
        <f t="shared" si="5"/>
        <v>2</v>
      </c>
      <c r="L63" s="886">
        <v>0</v>
      </c>
      <c r="M63" s="887">
        <v>0</v>
      </c>
      <c r="N63" s="887">
        <v>0</v>
      </c>
      <c r="O63" s="893">
        <f t="shared" si="6"/>
        <v>0</v>
      </c>
      <c r="P63" s="888">
        <v>814</v>
      </c>
      <c r="Q63" s="889"/>
    </row>
    <row r="64" spans="1:17" s="890" customFormat="1">
      <c r="A64" s="884" t="s">
        <v>151</v>
      </c>
      <c r="B64" s="885" t="s">
        <v>152</v>
      </c>
      <c r="C64" s="875" t="s">
        <v>273</v>
      </c>
      <c r="D64" s="886">
        <v>142</v>
      </c>
      <c r="E64" s="887">
        <v>71</v>
      </c>
      <c r="F64" s="887">
        <v>57</v>
      </c>
      <c r="G64" s="893">
        <f t="shared" si="4"/>
        <v>14</v>
      </c>
      <c r="H64" s="886">
        <v>111</v>
      </c>
      <c r="I64" s="887">
        <v>62</v>
      </c>
      <c r="J64" s="887">
        <v>47</v>
      </c>
      <c r="K64" s="893">
        <f t="shared" si="5"/>
        <v>2</v>
      </c>
      <c r="L64" s="886">
        <v>0</v>
      </c>
      <c r="M64" s="887">
        <v>0</v>
      </c>
      <c r="N64" s="887">
        <v>0</v>
      </c>
      <c r="O64" s="893">
        <f t="shared" si="6"/>
        <v>0</v>
      </c>
      <c r="P64" s="888">
        <v>253</v>
      </c>
      <c r="Q64" s="889"/>
    </row>
    <row r="65" spans="1:17" s="890" customFormat="1">
      <c r="A65" s="884" t="s">
        <v>153</v>
      </c>
      <c r="B65" s="885" t="s">
        <v>154</v>
      </c>
      <c r="C65" s="875" t="s">
        <v>275</v>
      </c>
      <c r="D65" s="886">
        <v>1126</v>
      </c>
      <c r="E65" s="887">
        <v>828</v>
      </c>
      <c r="F65" s="887">
        <v>134</v>
      </c>
      <c r="G65" s="893">
        <f t="shared" si="4"/>
        <v>164</v>
      </c>
      <c r="H65" s="886">
        <v>725</v>
      </c>
      <c r="I65" s="887">
        <v>595</v>
      </c>
      <c r="J65" s="887">
        <v>71</v>
      </c>
      <c r="K65" s="893">
        <f t="shared" si="5"/>
        <v>59</v>
      </c>
      <c r="L65" s="886">
        <v>0</v>
      </c>
      <c r="M65" s="887">
        <v>0</v>
      </c>
      <c r="N65" s="887">
        <v>0</v>
      </c>
      <c r="O65" s="893">
        <f t="shared" si="6"/>
        <v>0</v>
      </c>
      <c r="P65" s="888">
        <v>1851</v>
      </c>
      <c r="Q65" s="889"/>
    </row>
    <row r="66" spans="1:17" s="890" customFormat="1">
      <c r="A66" s="884" t="s">
        <v>155</v>
      </c>
      <c r="B66" s="885" t="s">
        <v>156</v>
      </c>
      <c r="C66" s="875" t="s">
        <v>272</v>
      </c>
      <c r="D66" s="886">
        <v>149</v>
      </c>
      <c r="E66" s="887">
        <v>80</v>
      </c>
      <c r="F66" s="887">
        <v>42</v>
      </c>
      <c r="G66" s="893">
        <f t="shared" si="4"/>
        <v>27</v>
      </c>
      <c r="H66" s="886">
        <v>92</v>
      </c>
      <c r="I66" s="887">
        <v>59</v>
      </c>
      <c r="J66" s="887">
        <v>22</v>
      </c>
      <c r="K66" s="893">
        <f t="shared" si="5"/>
        <v>11</v>
      </c>
      <c r="L66" s="886">
        <v>0</v>
      </c>
      <c r="M66" s="887">
        <v>0</v>
      </c>
      <c r="N66" s="887">
        <v>0</v>
      </c>
      <c r="O66" s="893">
        <f t="shared" si="6"/>
        <v>0</v>
      </c>
      <c r="P66" s="888">
        <v>241</v>
      </c>
      <c r="Q66" s="889"/>
    </row>
    <row r="67" spans="1:17" s="890" customFormat="1">
      <c r="A67" s="884" t="s">
        <v>157</v>
      </c>
      <c r="B67" s="885" t="s">
        <v>158</v>
      </c>
      <c r="C67" s="875" t="s">
        <v>273</v>
      </c>
      <c r="D67" s="886">
        <v>165</v>
      </c>
      <c r="E67" s="887">
        <v>109</v>
      </c>
      <c r="F67" s="887">
        <v>40</v>
      </c>
      <c r="G67" s="893">
        <f t="shared" si="4"/>
        <v>16</v>
      </c>
      <c r="H67" s="886">
        <v>100</v>
      </c>
      <c r="I67" s="887">
        <v>76</v>
      </c>
      <c r="J67" s="887">
        <v>18</v>
      </c>
      <c r="K67" s="893">
        <f t="shared" si="5"/>
        <v>6</v>
      </c>
      <c r="L67" s="886">
        <v>1</v>
      </c>
      <c r="M67" s="887">
        <v>1</v>
      </c>
      <c r="N67" s="887">
        <v>0</v>
      </c>
      <c r="O67" s="893">
        <f t="shared" si="6"/>
        <v>0</v>
      </c>
      <c r="P67" s="888">
        <v>266</v>
      </c>
      <c r="Q67" s="889"/>
    </row>
    <row r="68" spans="1:17" s="890" customFormat="1">
      <c r="A68" s="884" t="s">
        <v>163</v>
      </c>
      <c r="B68" s="885" t="s">
        <v>164</v>
      </c>
      <c r="C68" s="875" t="s">
        <v>271</v>
      </c>
      <c r="D68" s="886">
        <v>348</v>
      </c>
      <c r="E68" s="887">
        <v>103</v>
      </c>
      <c r="F68" s="887">
        <v>221</v>
      </c>
      <c r="G68" s="893">
        <f t="shared" si="4"/>
        <v>24</v>
      </c>
      <c r="H68" s="886">
        <v>204</v>
      </c>
      <c r="I68" s="887">
        <v>66</v>
      </c>
      <c r="J68" s="887">
        <v>131</v>
      </c>
      <c r="K68" s="893">
        <f t="shared" si="5"/>
        <v>7</v>
      </c>
      <c r="L68" s="886">
        <v>0</v>
      </c>
      <c r="M68" s="887">
        <v>0</v>
      </c>
      <c r="N68" s="887">
        <v>0</v>
      </c>
      <c r="O68" s="893">
        <f t="shared" si="6"/>
        <v>0</v>
      </c>
      <c r="P68" s="888">
        <v>552</v>
      </c>
      <c r="Q68" s="889"/>
    </row>
    <row r="69" spans="1:17" s="890" customFormat="1">
      <c r="A69" s="884" t="s">
        <v>165</v>
      </c>
      <c r="B69" s="885" t="s">
        <v>166</v>
      </c>
      <c r="C69" s="875" t="s">
        <v>273</v>
      </c>
      <c r="D69" s="886">
        <v>109</v>
      </c>
      <c r="E69" s="887">
        <v>32</v>
      </c>
      <c r="F69" s="887">
        <v>72</v>
      </c>
      <c r="G69" s="893">
        <f t="shared" ref="G69:G100" si="7">D69-E69-F69</f>
        <v>5</v>
      </c>
      <c r="H69" s="886">
        <v>59</v>
      </c>
      <c r="I69" s="887">
        <v>21</v>
      </c>
      <c r="J69" s="887">
        <v>37</v>
      </c>
      <c r="K69" s="893">
        <f t="shared" ref="K69:K100" si="8">H69-I69-J69</f>
        <v>1</v>
      </c>
      <c r="L69" s="886">
        <v>0</v>
      </c>
      <c r="M69" s="887">
        <v>0</v>
      </c>
      <c r="N69" s="887">
        <v>0</v>
      </c>
      <c r="O69" s="893">
        <f t="shared" ref="O69:O100" si="9">L69-M69-N69</f>
        <v>0</v>
      </c>
      <c r="P69" s="888">
        <v>168</v>
      </c>
      <c r="Q69" s="889"/>
    </row>
    <row r="70" spans="1:17" s="890" customFormat="1">
      <c r="A70" s="884" t="s">
        <v>169</v>
      </c>
      <c r="B70" s="885" t="s">
        <v>170</v>
      </c>
      <c r="C70" s="875" t="s">
        <v>273</v>
      </c>
      <c r="D70" s="886">
        <v>435</v>
      </c>
      <c r="E70" s="887">
        <v>120</v>
      </c>
      <c r="F70" s="887">
        <v>279</v>
      </c>
      <c r="G70" s="893">
        <f t="shared" si="7"/>
        <v>36</v>
      </c>
      <c r="H70" s="886">
        <v>294</v>
      </c>
      <c r="I70" s="887">
        <v>89</v>
      </c>
      <c r="J70" s="887">
        <v>189</v>
      </c>
      <c r="K70" s="893">
        <f t="shared" si="8"/>
        <v>16</v>
      </c>
      <c r="L70" s="886">
        <v>1</v>
      </c>
      <c r="M70" s="887">
        <v>0</v>
      </c>
      <c r="N70" s="887">
        <v>1</v>
      </c>
      <c r="O70" s="893">
        <f t="shared" si="9"/>
        <v>0</v>
      </c>
      <c r="P70" s="888">
        <v>730</v>
      </c>
      <c r="Q70" s="889"/>
    </row>
    <row r="71" spans="1:17" s="890" customFormat="1">
      <c r="A71" s="884" t="s">
        <v>171</v>
      </c>
      <c r="B71" s="885" t="s">
        <v>172</v>
      </c>
      <c r="C71" s="875" t="s">
        <v>274</v>
      </c>
      <c r="D71" s="886">
        <v>279</v>
      </c>
      <c r="E71" s="887">
        <v>155</v>
      </c>
      <c r="F71" s="887">
        <v>86</v>
      </c>
      <c r="G71" s="893">
        <f t="shared" si="7"/>
        <v>38</v>
      </c>
      <c r="H71" s="886">
        <v>154</v>
      </c>
      <c r="I71" s="887">
        <v>97</v>
      </c>
      <c r="J71" s="887">
        <v>47</v>
      </c>
      <c r="K71" s="893">
        <f t="shared" si="8"/>
        <v>10</v>
      </c>
      <c r="L71" s="886">
        <v>0</v>
      </c>
      <c r="M71" s="887">
        <v>0</v>
      </c>
      <c r="N71" s="887">
        <v>0</v>
      </c>
      <c r="O71" s="893">
        <f t="shared" si="9"/>
        <v>0</v>
      </c>
      <c r="P71" s="888">
        <v>433</v>
      </c>
      <c r="Q71" s="889"/>
    </row>
    <row r="72" spans="1:17" s="890" customFormat="1">
      <c r="A72" s="884" t="s">
        <v>173</v>
      </c>
      <c r="B72" s="885" t="s">
        <v>174</v>
      </c>
      <c r="C72" s="875" t="s">
        <v>274</v>
      </c>
      <c r="D72" s="886">
        <v>266</v>
      </c>
      <c r="E72" s="887">
        <v>230</v>
      </c>
      <c r="F72" s="887">
        <v>14</v>
      </c>
      <c r="G72" s="893">
        <f t="shared" si="7"/>
        <v>22</v>
      </c>
      <c r="H72" s="886">
        <v>177</v>
      </c>
      <c r="I72" s="887">
        <v>162</v>
      </c>
      <c r="J72" s="887">
        <v>10</v>
      </c>
      <c r="K72" s="893">
        <f t="shared" si="8"/>
        <v>5</v>
      </c>
      <c r="L72" s="886">
        <v>0</v>
      </c>
      <c r="M72" s="887">
        <v>0</v>
      </c>
      <c r="N72" s="887">
        <v>0</v>
      </c>
      <c r="O72" s="893">
        <f t="shared" si="9"/>
        <v>0</v>
      </c>
      <c r="P72" s="888">
        <v>443</v>
      </c>
      <c r="Q72" s="889"/>
    </row>
    <row r="73" spans="1:17" s="890" customFormat="1">
      <c r="A73" s="884" t="s">
        <v>175</v>
      </c>
      <c r="B73" s="885" t="s">
        <v>176</v>
      </c>
      <c r="C73" s="875" t="s">
        <v>275</v>
      </c>
      <c r="D73" s="886">
        <v>391</v>
      </c>
      <c r="E73" s="887">
        <v>323</v>
      </c>
      <c r="F73" s="887">
        <v>46</v>
      </c>
      <c r="G73" s="893">
        <f t="shared" si="7"/>
        <v>22</v>
      </c>
      <c r="H73" s="886">
        <v>273</v>
      </c>
      <c r="I73" s="887">
        <v>247</v>
      </c>
      <c r="J73" s="887">
        <v>22</v>
      </c>
      <c r="K73" s="893">
        <f t="shared" si="8"/>
        <v>4</v>
      </c>
      <c r="L73" s="886">
        <v>0</v>
      </c>
      <c r="M73" s="887">
        <v>0</v>
      </c>
      <c r="N73" s="887">
        <v>0</v>
      </c>
      <c r="O73" s="893">
        <f t="shared" si="9"/>
        <v>0</v>
      </c>
      <c r="P73" s="888">
        <v>664</v>
      </c>
      <c r="Q73" s="889"/>
    </row>
    <row r="74" spans="1:17" s="890" customFormat="1">
      <c r="A74" s="884" t="s">
        <v>179</v>
      </c>
      <c r="B74" s="885" t="s">
        <v>180</v>
      </c>
      <c r="C74" s="875" t="s">
        <v>272</v>
      </c>
      <c r="D74" s="886">
        <v>807</v>
      </c>
      <c r="E74" s="887">
        <v>394</v>
      </c>
      <c r="F74" s="887">
        <v>322</v>
      </c>
      <c r="G74" s="893">
        <f t="shared" si="7"/>
        <v>91</v>
      </c>
      <c r="H74" s="886">
        <v>463</v>
      </c>
      <c r="I74" s="887">
        <v>249</v>
      </c>
      <c r="J74" s="887">
        <v>176</v>
      </c>
      <c r="K74" s="893">
        <f t="shared" si="8"/>
        <v>38</v>
      </c>
      <c r="L74" s="886">
        <v>3</v>
      </c>
      <c r="M74" s="887">
        <v>1</v>
      </c>
      <c r="N74" s="887">
        <v>2</v>
      </c>
      <c r="O74" s="893">
        <f t="shared" si="9"/>
        <v>0</v>
      </c>
      <c r="P74" s="888">
        <v>1273</v>
      </c>
      <c r="Q74" s="889"/>
    </row>
    <row r="75" spans="1:17" s="890" customFormat="1">
      <c r="A75" s="884" t="s">
        <v>183</v>
      </c>
      <c r="B75" s="885" t="s">
        <v>184</v>
      </c>
      <c r="C75" s="875" t="s">
        <v>273</v>
      </c>
      <c r="D75" s="886">
        <v>142</v>
      </c>
      <c r="E75" s="887">
        <v>98</v>
      </c>
      <c r="F75" s="887">
        <v>27</v>
      </c>
      <c r="G75" s="893">
        <f t="shared" si="7"/>
        <v>17</v>
      </c>
      <c r="H75" s="886">
        <v>101</v>
      </c>
      <c r="I75" s="887">
        <v>70</v>
      </c>
      <c r="J75" s="887">
        <v>17</v>
      </c>
      <c r="K75" s="893">
        <f t="shared" si="8"/>
        <v>14</v>
      </c>
      <c r="L75" s="886">
        <v>1</v>
      </c>
      <c r="M75" s="887">
        <v>1</v>
      </c>
      <c r="N75" s="887">
        <v>0</v>
      </c>
      <c r="O75" s="893">
        <f t="shared" si="9"/>
        <v>0</v>
      </c>
      <c r="P75" s="888">
        <v>244</v>
      </c>
      <c r="Q75" s="889"/>
    </row>
    <row r="76" spans="1:17" s="890" customFormat="1">
      <c r="A76" s="884" t="s">
        <v>185</v>
      </c>
      <c r="B76" s="885" t="s">
        <v>186</v>
      </c>
      <c r="C76" s="875" t="s">
        <v>273</v>
      </c>
      <c r="D76" s="886">
        <v>426</v>
      </c>
      <c r="E76" s="887">
        <v>88</v>
      </c>
      <c r="F76" s="887">
        <v>306</v>
      </c>
      <c r="G76" s="893">
        <f t="shared" si="7"/>
        <v>32</v>
      </c>
      <c r="H76" s="886">
        <v>274</v>
      </c>
      <c r="I76" s="887">
        <v>79</v>
      </c>
      <c r="J76" s="887">
        <v>188</v>
      </c>
      <c r="K76" s="893">
        <f t="shared" si="8"/>
        <v>7</v>
      </c>
      <c r="L76" s="886">
        <v>0</v>
      </c>
      <c r="M76" s="887">
        <v>0</v>
      </c>
      <c r="N76" s="887">
        <v>0</v>
      </c>
      <c r="O76" s="893">
        <f t="shared" si="9"/>
        <v>0</v>
      </c>
      <c r="P76" s="888">
        <v>700</v>
      </c>
      <c r="Q76" s="889"/>
    </row>
    <row r="77" spans="1:17" s="890" customFormat="1">
      <c r="A77" s="884" t="s">
        <v>187</v>
      </c>
      <c r="B77" s="885" t="s">
        <v>188</v>
      </c>
      <c r="C77" s="875" t="s">
        <v>271</v>
      </c>
      <c r="D77" s="886">
        <v>282</v>
      </c>
      <c r="E77" s="887">
        <v>127</v>
      </c>
      <c r="F77" s="887">
        <v>118</v>
      </c>
      <c r="G77" s="893">
        <f t="shared" si="7"/>
        <v>37</v>
      </c>
      <c r="H77" s="886">
        <v>183</v>
      </c>
      <c r="I77" s="887">
        <v>100</v>
      </c>
      <c r="J77" s="887">
        <v>68</v>
      </c>
      <c r="K77" s="893">
        <f t="shared" si="8"/>
        <v>15</v>
      </c>
      <c r="L77" s="886">
        <v>0</v>
      </c>
      <c r="M77" s="887">
        <v>0</v>
      </c>
      <c r="N77" s="887">
        <v>0</v>
      </c>
      <c r="O77" s="893">
        <f t="shared" si="9"/>
        <v>0</v>
      </c>
      <c r="P77" s="888">
        <v>465</v>
      </c>
      <c r="Q77" s="889"/>
    </row>
    <row r="78" spans="1:17" s="890" customFormat="1">
      <c r="A78" s="884" t="s">
        <v>189</v>
      </c>
      <c r="B78" s="885" t="s">
        <v>190</v>
      </c>
      <c r="C78" s="875" t="s">
        <v>274</v>
      </c>
      <c r="D78" s="886">
        <v>4452</v>
      </c>
      <c r="E78" s="887">
        <v>1458</v>
      </c>
      <c r="F78" s="887">
        <v>2052</v>
      </c>
      <c r="G78" s="893">
        <f t="shared" si="7"/>
        <v>942</v>
      </c>
      <c r="H78" s="886">
        <v>2639</v>
      </c>
      <c r="I78" s="887">
        <v>1032</v>
      </c>
      <c r="J78" s="887">
        <v>1126</v>
      </c>
      <c r="K78" s="893">
        <f t="shared" si="8"/>
        <v>481</v>
      </c>
      <c r="L78" s="886">
        <v>2</v>
      </c>
      <c r="M78" s="887">
        <v>0</v>
      </c>
      <c r="N78" s="887">
        <v>2</v>
      </c>
      <c r="O78" s="893">
        <f t="shared" si="9"/>
        <v>0</v>
      </c>
      <c r="P78" s="888">
        <v>7093</v>
      </c>
      <c r="Q78" s="889"/>
    </row>
    <row r="79" spans="1:17" s="890" customFormat="1">
      <c r="A79" s="884" t="s">
        <v>191</v>
      </c>
      <c r="B79" s="885" t="s">
        <v>192</v>
      </c>
      <c r="C79" s="875" t="s">
        <v>275</v>
      </c>
      <c r="D79" s="886">
        <v>617</v>
      </c>
      <c r="E79" s="887">
        <v>456</v>
      </c>
      <c r="F79" s="887">
        <v>115</v>
      </c>
      <c r="G79" s="893">
        <f t="shared" si="7"/>
        <v>46</v>
      </c>
      <c r="H79" s="886">
        <v>375</v>
      </c>
      <c r="I79" s="887">
        <v>312</v>
      </c>
      <c r="J79" s="887">
        <v>55</v>
      </c>
      <c r="K79" s="893">
        <f t="shared" si="8"/>
        <v>8</v>
      </c>
      <c r="L79" s="886">
        <v>0</v>
      </c>
      <c r="M79" s="887">
        <v>0</v>
      </c>
      <c r="N79" s="887">
        <v>0</v>
      </c>
      <c r="O79" s="893">
        <f t="shared" si="9"/>
        <v>0</v>
      </c>
      <c r="P79" s="888">
        <v>992</v>
      </c>
      <c r="Q79" s="889"/>
    </row>
    <row r="80" spans="1:17" s="890" customFormat="1">
      <c r="A80" s="884" t="s">
        <v>195</v>
      </c>
      <c r="B80" s="885" t="s">
        <v>196</v>
      </c>
      <c r="C80" s="875" t="s">
        <v>274</v>
      </c>
      <c r="D80" s="886">
        <v>33</v>
      </c>
      <c r="E80" s="887">
        <v>21</v>
      </c>
      <c r="F80" s="887">
        <v>6</v>
      </c>
      <c r="G80" s="893">
        <f t="shared" si="7"/>
        <v>6</v>
      </c>
      <c r="H80" s="886">
        <v>14</v>
      </c>
      <c r="I80" s="887">
        <v>11</v>
      </c>
      <c r="J80" s="887">
        <v>3</v>
      </c>
      <c r="K80" s="893">
        <f t="shared" si="8"/>
        <v>0</v>
      </c>
      <c r="L80" s="886">
        <v>0</v>
      </c>
      <c r="M80" s="887">
        <v>0</v>
      </c>
      <c r="N80" s="887">
        <v>0</v>
      </c>
      <c r="O80" s="893">
        <f t="shared" si="9"/>
        <v>0</v>
      </c>
      <c r="P80" s="888">
        <v>47</v>
      </c>
      <c r="Q80" s="889"/>
    </row>
    <row r="81" spans="1:17" s="890" customFormat="1">
      <c r="A81" s="884" t="s">
        <v>199</v>
      </c>
      <c r="B81" s="885" t="s">
        <v>279</v>
      </c>
      <c r="C81" s="875" t="s">
        <v>273</v>
      </c>
      <c r="D81" s="886">
        <v>131</v>
      </c>
      <c r="E81" s="887">
        <v>44</v>
      </c>
      <c r="F81" s="887">
        <v>78</v>
      </c>
      <c r="G81" s="893">
        <f t="shared" si="7"/>
        <v>9</v>
      </c>
      <c r="H81" s="886">
        <v>77</v>
      </c>
      <c r="I81" s="887">
        <v>29</v>
      </c>
      <c r="J81" s="887">
        <v>43</v>
      </c>
      <c r="K81" s="893">
        <f t="shared" si="8"/>
        <v>5</v>
      </c>
      <c r="L81" s="886">
        <v>0</v>
      </c>
      <c r="M81" s="887">
        <v>0</v>
      </c>
      <c r="N81" s="887">
        <v>0</v>
      </c>
      <c r="O81" s="893">
        <f t="shared" si="9"/>
        <v>0</v>
      </c>
      <c r="P81" s="888">
        <v>208</v>
      </c>
      <c r="Q81" s="889"/>
    </row>
    <row r="82" spans="1:17" s="890" customFormat="1">
      <c r="A82" s="884" t="s">
        <v>203</v>
      </c>
      <c r="B82" s="885" t="s">
        <v>311</v>
      </c>
      <c r="C82" s="875" t="s">
        <v>272</v>
      </c>
      <c r="D82" s="886">
        <v>986</v>
      </c>
      <c r="E82" s="887">
        <v>585</v>
      </c>
      <c r="F82" s="887">
        <v>254</v>
      </c>
      <c r="G82" s="893">
        <f t="shared" si="7"/>
        <v>147</v>
      </c>
      <c r="H82" s="886">
        <v>540</v>
      </c>
      <c r="I82" s="887">
        <v>374</v>
      </c>
      <c r="J82" s="887">
        <v>123</v>
      </c>
      <c r="K82" s="893">
        <f t="shared" si="8"/>
        <v>43</v>
      </c>
      <c r="L82" s="886">
        <v>1</v>
      </c>
      <c r="M82" s="887">
        <v>1</v>
      </c>
      <c r="N82" s="887">
        <v>0</v>
      </c>
      <c r="O82" s="893">
        <f t="shared" si="9"/>
        <v>0</v>
      </c>
      <c r="P82" s="888">
        <v>1527</v>
      </c>
      <c r="Q82" s="889"/>
    </row>
    <row r="83" spans="1:17" s="890" customFormat="1">
      <c r="A83" s="884" t="s">
        <v>205</v>
      </c>
      <c r="B83" s="885" t="s">
        <v>303</v>
      </c>
      <c r="C83" s="875" t="s">
        <v>272</v>
      </c>
      <c r="D83" s="886">
        <v>251</v>
      </c>
      <c r="E83" s="887">
        <v>175</v>
      </c>
      <c r="F83" s="887">
        <v>34</v>
      </c>
      <c r="G83" s="893">
        <f t="shared" si="7"/>
        <v>42</v>
      </c>
      <c r="H83" s="886">
        <v>169</v>
      </c>
      <c r="I83" s="887">
        <v>144</v>
      </c>
      <c r="J83" s="887">
        <v>15</v>
      </c>
      <c r="K83" s="893">
        <f t="shared" si="8"/>
        <v>10</v>
      </c>
      <c r="L83" s="886">
        <v>0</v>
      </c>
      <c r="M83" s="887">
        <v>0</v>
      </c>
      <c r="N83" s="887">
        <v>0</v>
      </c>
      <c r="O83" s="893">
        <f t="shared" si="9"/>
        <v>0</v>
      </c>
      <c r="P83" s="888">
        <v>420</v>
      </c>
      <c r="Q83" s="889"/>
    </row>
    <row r="84" spans="1:17" s="890" customFormat="1">
      <c r="A84" s="884" t="s">
        <v>207</v>
      </c>
      <c r="B84" s="885" t="s">
        <v>304</v>
      </c>
      <c r="C84" s="875" t="s">
        <v>274</v>
      </c>
      <c r="D84" s="886">
        <v>1233</v>
      </c>
      <c r="E84" s="887">
        <v>790</v>
      </c>
      <c r="F84" s="887">
        <v>215</v>
      </c>
      <c r="G84" s="893">
        <f t="shared" si="7"/>
        <v>228</v>
      </c>
      <c r="H84" s="886">
        <v>767</v>
      </c>
      <c r="I84" s="887">
        <v>536</v>
      </c>
      <c r="J84" s="887">
        <v>101</v>
      </c>
      <c r="K84" s="893">
        <f t="shared" si="8"/>
        <v>130</v>
      </c>
      <c r="L84" s="886">
        <v>1</v>
      </c>
      <c r="M84" s="887">
        <v>1</v>
      </c>
      <c r="N84" s="887">
        <v>0</v>
      </c>
      <c r="O84" s="893">
        <f t="shared" si="9"/>
        <v>0</v>
      </c>
      <c r="P84" s="888">
        <v>2001</v>
      </c>
      <c r="Q84" s="889"/>
    </row>
    <row r="85" spans="1:17" s="890" customFormat="1">
      <c r="A85" s="884" t="s">
        <v>209</v>
      </c>
      <c r="B85" s="885" t="s">
        <v>210</v>
      </c>
      <c r="C85" s="875" t="s">
        <v>275</v>
      </c>
      <c r="D85" s="886">
        <v>649</v>
      </c>
      <c r="E85" s="887">
        <v>563</v>
      </c>
      <c r="F85" s="887">
        <v>14</v>
      </c>
      <c r="G85" s="893">
        <f t="shared" si="7"/>
        <v>72</v>
      </c>
      <c r="H85" s="886">
        <v>462</v>
      </c>
      <c r="I85" s="887">
        <v>437</v>
      </c>
      <c r="J85" s="887">
        <v>3</v>
      </c>
      <c r="K85" s="893">
        <f t="shared" si="8"/>
        <v>22</v>
      </c>
      <c r="L85" s="886">
        <v>2</v>
      </c>
      <c r="M85" s="887">
        <v>0</v>
      </c>
      <c r="N85" s="887">
        <v>1</v>
      </c>
      <c r="O85" s="893">
        <f t="shared" si="9"/>
        <v>1</v>
      </c>
      <c r="P85" s="888">
        <v>1113</v>
      </c>
      <c r="Q85" s="889"/>
    </row>
    <row r="86" spans="1:17" s="890" customFormat="1">
      <c r="A86" s="884" t="s">
        <v>211</v>
      </c>
      <c r="B86" s="885" t="s">
        <v>212</v>
      </c>
      <c r="C86" s="875" t="s">
        <v>275</v>
      </c>
      <c r="D86" s="886">
        <v>547</v>
      </c>
      <c r="E86" s="887">
        <v>490</v>
      </c>
      <c r="F86" s="887">
        <v>11</v>
      </c>
      <c r="G86" s="893">
        <f t="shared" si="7"/>
        <v>46</v>
      </c>
      <c r="H86" s="886">
        <v>412</v>
      </c>
      <c r="I86" s="887">
        <v>386</v>
      </c>
      <c r="J86" s="887">
        <v>2</v>
      </c>
      <c r="K86" s="893">
        <f t="shared" si="8"/>
        <v>24</v>
      </c>
      <c r="L86" s="886">
        <v>4</v>
      </c>
      <c r="M86" s="887">
        <v>4</v>
      </c>
      <c r="N86" s="887">
        <v>0</v>
      </c>
      <c r="O86" s="893">
        <f t="shared" si="9"/>
        <v>0</v>
      </c>
      <c r="P86" s="888">
        <v>963</v>
      </c>
      <c r="Q86" s="889"/>
    </row>
    <row r="87" spans="1:17" s="890" customFormat="1">
      <c r="A87" s="884" t="s">
        <v>213</v>
      </c>
      <c r="B87" s="885" t="s">
        <v>214</v>
      </c>
      <c r="C87" s="875" t="s">
        <v>274</v>
      </c>
      <c r="D87" s="886">
        <v>249</v>
      </c>
      <c r="E87" s="887">
        <v>180</v>
      </c>
      <c r="F87" s="887">
        <v>13</v>
      </c>
      <c r="G87" s="893">
        <f t="shared" si="7"/>
        <v>56</v>
      </c>
      <c r="H87" s="886">
        <v>148</v>
      </c>
      <c r="I87" s="887">
        <v>113</v>
      </c>
      <c r="J87" s="887">
        <v>5</v>
      </c>
      <c r="K87" s="893">
        <f t="shared" si="8"/>
        <v>30</v>
      </c>
      <c r="L87" s="886">
        <v>0</v>
      </c>
      <c r="M87" s="887">
        <v>0</v>
      </c>
      <c r="N87" s="887">
        <v>0</v>
      </c>
      <c r="O87" s="893">
        <f t="shared" si="9"/>
        <v>0</v>
      </c>
      <c r="P87" s="888">
        <v>397</v>
      </c>
      <c r="Q87" s="889"/>
    </row>
    <row r="88" spans="1:17" s="890" customFormat="1">
      <c r="A88" s="884" t="s">
        <v>215</v>
      </c>
      <c r="B88" s="885" t="s">
        <v>216</v>
      </c>
      <c r="C88" s="875" t="s">
        <v>275</v>
      </c>
      <c r="D88" s="886">
        <v>678</v>
      </c>
      <c r="E88" s="887">
        <v>588</v>
      </c>
      <c r="F88" s="887">
        <v>24</v>
      </c>
      <c r="G88" s="893">
        <f t="shared" si="7"/>
        <v>66</v>
      </c>
      <c r="H88" s="886">
        <v>460</v>
      </c>
      <c r="I88" s="887">
        <v>424</v>
      </c>
      <c r="J88" s="887">
        <v>16</v>
      </c>
      <c r="K88" s="893">
        <f t="shared" si="8"/>
        <v>20</v>
      </c>
      <c r="L88" s="886">
        <v>0</v>
      </c>
      <c r="M88" s="887">
        <v>0</v>
      </c>
      <c r="N88" s="887">
        <v>0</v>
      </c>
      <c r="O88" s="893">
        <f t="shared" si="9"/>
        <v>0</v>
      </c>
      <c r="P88" s="888">
        <v>1138</v>
      </c>
      <c r="Q88" s="889"/>
    </row>
    <row r="89" spans="1:17" s="890" customFormat="1">
      <c r="A89" s="884" t="s">
        <v>217</v>
      </c>
      <c r="B89" s="885" t="s">
        <v>218</v>
      </c>
      <c r="C89" s="875" t="s">
        <v>271</v>
      </c>
      <c r="D89" s="886">
        <v>422</v>
      </c>
      <c r="E89" s="887">
        <v>61</v>
      </c>
      <c r="F89" s="887">
        <v>315</v>
      </c>
      <c r="G89" s="893">
        <f t="shared" si="7"/>
        <v>46</v>
      </c>
      <c r="H89" s="886">
        <v>253</v>
      </c>
      <c r="I89" s="887">
        <v>51</v>
      </c>
      <c r="J89" s="887">
        <v>179</v>
      </c>
      <c r="K89" s="893">
        <f t="shared" si="8"/>
        <v>23</v>
      </c>
      <c r="L89" s="886">
        <v>1</v>
      </c>
      <c r="M89" s="887">
        <v>0</v>
      </c>
      <c r="N89" s="887">
        <v>1</v>
      </c>
      <c r="O89" s="893">
        <f t="shared" si="9"/>
        <v>0</v>
      </c>
      <c r="P89" s="888">
        <v>676</v>
      </c>
      <c r="Q89" s="889"/>
    </row>
    <row r="90" spans="1:17" s="890" customFormat="1">
      <c r="A90" s="884" t="s">
        <v>219</v>
      </c>
      <c r="B90" s="885" t="s">
        <v>220</v>
      </c>
      <c r="C90" s="875" t="s">
        <v>274</v>
      </c>
      <c r="D90" s="886">
        <v>1458</v>
      </c>
      <c r="E90" s="887">
        <v>714</v>
      </c>
      <c r="F90" s="887">
        <v>578</v>
      </c>
      <c r="G90" s="893">
        <f t="shared" si="7"/>
        <v>166</v>
      </c>
      <c r="H90" s="886">
        <v>885</v>
      </c>
      <c r="I90" s="887">
        <v>509</v>
      </c>
      <c r="J90" s="887">
        <v>312</v>
      </c>
      <c r="K90" s="893">
        <f t="shared" si="8"/>
        <v>64</v>
      </c>
      <c r="L90" s="886">
        <v>0</v>
      </c>
      <c r="M90" s="887">
        <v>0</v>
      </c>
      <c r="N90" s="887">
        <v>0</v>
      </c>
      <c r="O90" s="893">
        <f t="shared" si="9"/>
        <v>0</v>
      </c>
      <c r="P90" s="888">
        <v>2343</v>
      </c>
      <c r="Q90" s="889"/>
    </row>
    <row r="91" spans="1:17" s="890" customFormat="1">
      <c r="A91" s="884" t="s">
        <v>221</v>
      </c>
      <c r="B91" s="885" t="s">
        <v>222</v>
      </c>
      <c r="C91" s="875" t="s">
        <v>274</v>
      </c>
      <c r="D91" s="886">
        <v>1196</v>
      </c>
      <c r="E91" s="887">
        <v>386</v>
      </c>
      <c r="F91" s="887">
        <v>467</v>
      </c>
      <c r="G91" s="893">
        <f t="shared" si="7"/>
        <v>343</v>
      </c>
      <c r="H91" s="886">
        <v>670</v>
      </c>
      <c r="I91" s="887">
        <v>273</v>
      </c>
      <c r="J91" s="887">
        <v>235</v>
      </c>
      <c r="K91" s="893">
        <f t="shared" si="8"/>
        <v>162</v>
      </c>
      <c r="L91" s="886">
        <v>0</v>
      </c>
      <c r="M91" s="887">
        <v>0</v>
      </c>
      <c r="N91" s="887">
        <v>0</v>
      </c>
      <c r="O91" s="893">
        <f t="shared" si="9"/>
        <v>0</v>
      </c>
      <c r="P91" s="888">
        <v>1866</v>
      </c>
      <c r="Q91" s="889"/>
    </row>
    <row r="92" spans="1:17" s="890" customFormat="1">
      <c r="A92" s="884" t="s">
        <v>225</v>
      </c>
      <c r="B92" s="885" t="s">
        <v>226</v>
      </c>
      <c r="C92" s="875" t="s">
        <v>271</v>
      </c>
      <c r="D92" s="886">
        <v>145</v>
      </c>
      <c r="E92" s="887">
        <v>46</v>
      </c>
      <c r="F92" s="887">
        <v>93</v>
      </c>
      <c r="G92" s="893">
        <f t="shared" si="7"/>
        <v>6</v>
      </c>
      <c r="H92" s="886">
        <v>92</v>
      </c>
      <c r="I92" s="887">
        <v>36</v>
      </c>
      <c r="J92" s="887">
        <v>53</v>
      </c>
      <c r="K92" s="893">
        <f t="shared" si="8"/>
        <v>3</v>
      </c>
      <c r="L92" s="886">
        <v>0</v>
      </c>
      <c r="M92" s="887">
        <v>0</v>
      </c>
      <c r="N92" s="887">
        <v>0</v>
      </c>
      <c r="O92" s="893">
        <f t="shared" si="9"/>
        <v>0</v>
      </c>
      <c r="P92" s="888">
        <v>237</v>
      </c>
      <c r="Q92" s="889"/>
    </row>
    <row r="93" spans="1:17" s="890" customFormat="1">
      <c r="A93" s="884" t="s">
        <v>227</v>
      </c>
      <c r="B93" s="885" t="s">
        <v>228</v>
      </c>
      <c r="C93" s="875" t="s">
        <v>271</v>
      </c>
      <c r="D93" s="886">
        <v>253</v>
      </c>
      <c r="E93" s="887">
        <v>45</v>
      </c>
      <c r="F93" s="887">
        <v>172</v>
      </c>
      <c r="G93" s="893">
        <f t="shared" si="7"/>
        <v>36</v>
      </c>
      <c r="H93" s="886">
        <v>153</v>
      </c>
      <c r="I93" s="887">
        <v>32</v>
      </c>
      <c r="J93" s="887">
        <v>110</v>
      </c>
      <c r="K93" s="893">
        <f t="shared" si="8"/>
        <v>11</v>
      </c>
      <c r="L93" s="886">
        <v>0</v>
      </c>
      <c r="M93" s="887">
        <v>0</v>
      </c>
      <c r="N93" s="887">
        <v>0</v>
      </c>
      <c r="O93" s="893">
        <f t="shared" si="9"/>
        <v>0</v>
      </c>
      <c r="P93" s="888">
        <v>406</v>
      </c>
      <c r="Q93" s="889"/>
    </row>
    <row r="94" spans="1:17" s="890" customFormat="1">
      <c r="A94" s="884" t="s">
        <v>229</v>
      </c>
      <c r="B94" s="885" t="s">
        <v>230</v>
      </c>
      <c r="C94" s="875" t="s">
        <v>275</v>
      </c>
      <c r="D94" s="886">
        <v>819</v>
      </c>
      <c r="E94" s="887">
        <v>672</v>
      </c>
      <c r="F94" s="887">
        <v>52</v>
      </c>
      <c r="G94" s="893">
        <f t="shared" si="7"/>
        <v>95</v>
      </c>
      <c r="H94" s="886">
        <v>579</v>
      </c>
      <c r="I94" s="887">
        <v>527</v>
      </c>
      <c r="J94" s="887">
        <v>24</v>
      </c>
      <c r="K94" s="893">
        <f t="shared" si="8"/>
        <v>28</v>
      </c>
      <c r="L94" s="886">
        <v>0</v>
      </c>
      <c r="M94" s="887">
        <v>0</v>
      </c>
      <c r="N94" s="887">
        <v>0</v>
      </c>
      <c r="O94" s="893">
        <f t="shared" si="9"/>
        <v>0</v>
      </c>
      <c r="P94" s="888">
        <v>1398</v>
      </c>
      <c r="Q94" s="889"/>
    </row>
    <row r="95" spans="1:17" s="890" customFormat="1">
      <c r="A95" s="884" t="s">
        <v>233</v>
      </c>
      <c r="B95" s="885" t="s">
        <v>234</v>
      </c>
      <c r="C95" s="875" t="s">
        <v>274</v>
      </c>
      <c r="D95" s="886">
        <v>435</v>
      </c>
      <c r="E95" s="887">
        <v>295</v>
      </c>
      <c r="F95" s="887">
        <v>64</v>
      </c>
      <c r="G95" s="893">
        <f t="shared" si="7"/>
        <v>76</v>
      </c>
      <c r="H95" s="886">
        <v>283</v>
      </c>
      <c r="I95" s="887">
        <v>226</v>
      </c>
      <c r="J95" s="887">
        <v>37</v>
      </c>
      <c r="K95" s="893">
        <f t="shared" si="8"/>
        <v>20</v>
      </c>
      <c r="L95" s="886">
        <v>0</v>
      </c>
      <c r="M95" s="887">
        <v>0</v>
      </c>
      <c r="N95" s="887">
        <v>0</v>
      </c>
      <c r="O95" s="893">
        <f t="shared" si="9"/>
        <v>0</v>
      </c>
      <c r="P95" s="888">
        <v>718</v>
      </c>
      <c r="Q95" s="889"/>
    </row>
    <row r="96" spans="1:17" s="890" customFormat="1">
      <c r="A96" s="884" t="s">
        <v>235</v>
      </c>
      <c r="B96" s="885" t="s">
        <v>236</v>
      </c>
      <c r="C96" s="875" t="s">
        <v>275</v>
      </c>
      <c r="D96" s="886">
        <v>645</v>
      </c>
      <c r="E96" s="887">
        <v>587</v>
      </c>
      <c r="F96" s="887">
        <v>24</v>
      </c>
      <c r="G96" s="893">
        <f t="shared" si="7"/>
        <v>34</v>
      </c>
      <c r="H96" s="886">
        <v>400</v>
      </c>
      <c r="I96" s="887">
        <v>376</v>
      </c>
      <c r="J96" s="887">
        <v>13</v>
      </c>
      <c r="K96" s="893">
        <f t="shared" si="8"/>
        <v>11</v>
      </c>
      <c r="L96" s="886">
        <v>0</v>
      </c>
      <c r="M96" s="887">
        <v>0</v>
      </c>
      <c r="N96" s="887">
        <v>0</v>
      </c>
      <c r="O96" s="893">
        <f t="shared" si="9"/>
        <v>0</v>
      </c>
      <c r="P96" s="888">
        <v>1045</v>
      </c>
      <c r="Q96" s="889"/>
    </row>
    <row r="97" spans="1:17" s="890" customFormat="1">
      <c r="A97" s="884" t="s">
        <v>237</v>
      </c>
      <c r="B97" s="885" t="s">
        <v>238</v>
      </c>
      <c r="C97" s="875" t="s">
        <v>273</v>
      </c>
      <c r="D97" s="886">
        <v>299</v>
      </c>
      <c r="E97" s="887">
        <v>98</v>
      </c>
      <c r="F97" s="887">
        <v>161</v>
      </c>
      <c r="G97" s="893">
        <f t="shared" si="7"/>
        <v>40</v>
      </c>
      <c r="H97" s="886">
        <v>162</v>
      </c>
      <c r="I97" s="887">
        <v>61</v>
      </c>
      <c r="J97" s="887">
        <v>85</v>
      </c>
      <c r="K97" s="893">
        <f t="shared" si="8"/>
        <v>16</v>
      </c>
      <c r="L97" s="886">
        <v>0</v>
      </c>
      <c r="M97" s="887">
        <v>0</v>
      </c>
      <c r="N97" s="887">
        <v>0</v>
      </c>
      <c r="O97" s="893">
        <f t="shared" si="9"/>
        <v>0</v>
      </c>
      <c r="P97" s="888">
        <v>461</v>
      </c>
      <c r="Q97" s="889"/>
    </row>
    <row r="98" spans="1:17" s="890" customFormat="1">
      <c r="A98" s="884" t="s">
        <v>243</v>
      </c>
      <c r="B98" s="885" t="s">
        <v>244</v>
      </c>
      <c r="C98" s="875" t="s">
        <v>275</v>
      </c>
      <c r="D98" s="886">
        <v>1217</v>
      </c>
      <c r="E98" s="887">
        <v>1019</v>
      </c>
      <c r="F98" s="887">
        <v>55</v>
      </c>
      <c r="G98" s="893">
        <f t="shared" si="7"/>
        <v>143</v>
      </c>
      <c r="H98" s="886">
        <v>879</v>
      </c>
      <c r="I98" s="887">
        <v>820</v>
      </c>
      <c r="J98" s="887">
        <v>28</v>
      </c>
      <c r="K98" s="893">
        <f t="shared" si="8"/>
        <v>31</v>
      </c>
      <c r="L98" s="886">
        <v>4</v>
      </c>
      <c r="M98" s="887">
        <v>4</v>
      </c>
      <c r="N98" s="887">
        <v>0</v>
      </c>
      <c r="O98" s="893">
        <f t="shared" si="9"/>
        <v>0</v>
      </c>
      <c r="P98" s="888">
        <v>2100</v>
      </c>
      <c r="Q98" s="889"/>
    </row>
    <row r="99" spans="1:17" s="890" customFormat="1">
      <c r="A99" s="884" t="s">
        <v>245</v>
      </c>
      <c r="B99" s="885" t="s">
        <v>246</v>
      </c>
      <c r="C99" s="875" t="s">
        <v>275</v>
      </c>
      <c r="D99" s="886">
        <v>437</v>
      </c>
      <c r="E99" s="887">
        <v>355</v>
      </c>
      <c r="F99" s="887">
        <v>44</v>
      </c>
      <c r="G99" s="893">
        <f t="shared" si="7"/>
        <v>38</v>
      </c>
      <c r="H99" s="886">
        <v>269</v>
      </c>
      <c r="I99" s="887">
        <v>242</v>
      </c>
      <c r="J99" s="887">
        <v>16</v>
      </c>
      <c r="K99" s="893">
        <f t="shared" si="8"/>
        <v>11</v>
      </c>
      <c r="L99" s="886">
        <v>0</v>
      </c>
      <c r="M99" s="887">
        <v>0</v>
      </c>
      <c r="N99" s="887">
        <v>0</v>
      </c>
      <c r="O99" s="893">
        <f t="shared" si="9"/>
        <v>0</v>
      </c>
      <c r="P99" s="888">
        <v>706</v>
      </c>
      <c r="Q99" s="889"/>
    </row>
    <row r="100" spans="1:17" s="890" customFormat="1">
      <c r="A100" s="884" t="s">
        <v>247</v>
      </c>
      <c r="B100" s="885" t="s">
        <v>248</v>
      </c>
      <c r="C100" s="875" t="s">
        <v>271</v>
      </c>
      <c r="D100" s="886">
        <v>440</v>
      </c>
      <c r="E100" s="887">
        <v>200</v>
      </c>
      <c r="F100" s="887">
        <v>204</v>
      </c>
      <c r="G100" s="893">
        <f t="shared" si="7"/>
        <v>36</v>
      </c>
      <c r="H100" s="886">
        <v>272</v>
      </c>
      <c r="I100" s="887">
        <v>129</v>
      </c>
      <c r="J100" s="887">
        <v>117</v>
      </c>
      <c r="K100" s="893">
        <f t="shared" si="8"/>
        <v>26</v>
      </c>
      <c r="L100" s="886">
        <v>0</v>
      </c>
      <c r="M100" s="887">
        <v>0</v>
      </c>
      <c r="N100" s="887">
        <v>0</v>
      </c>
      <c r="O100" s="893">
        <f t="shared" si="9"/>
        <v>0</v>
      </c>
      <c r="P100" s="888">
        <v>712</v>
      </c>
      <c r="Q100" s="889"/>
    </row>
    <row r="101" spans="1:17" s="890" customFormat="1">
      <c r="A101" s="884" t="s">
        <v>14</v>
      </c>
      <c r="B101" s="885" t="s">
        <v>15</v>
      </c>
      <c r="C101" s="875" t="s">
        <v>274</v>
      </c>
      <c r="D101" s="886">
        <v>1419</v>
      </c>
      <c r="E101" s="887">
        <v>305</v>
      </c>
      <c r="F101" s="887">
        <v>770</v>
      </c>
      <c r="G101" s="893">
        <f t="shared" ref="G101:G125" si="10">D101-E101-F101</f>
        <v>344</v>
      </c>
      <c r="H101" s="886">
        <v>924</v>
      </c>
      <c r="I101" s="887">
        <v>223</v>
      </c>
      <c r="J101" s="887">
        <v>511</v>
      </c>
      <c r="K101" s="893">
        <f t="shared" ref="K101:K125" si="11">H101-I101-J101</f>
        <v>190</v>
      </c>
      <c r="L101" s="886">
        <v>3</v>
      </c>
      <c r="M101" s="887">
        <v>1</v>
      </c>
      <c r="N101" s="887">
        <v>2</v>
      </c>
      <c r="O101" s="893">
        <f t="shared" ref="O101:O125" si="12">L101-M101-N101</f>
        <v>0</v>
      </c>
      <c r="P101" s="888">
        <v>2346</v>
      </c>
      <c r="Q101" s="889"/>
    </row>
    <row r="102" spans="1:17" s="890" customFormat="1">
      <c r="A102" s="884" t="s">
        <v>35</v>
      </c>
      <c r="B102" s="885" t="s">
        <v>36</v>
      </c>
      <c r="C102" s="875" t="s">
        <v>275</v>
      </c>
      <c r="D102" s="886">
        <v>920</v>
      </c>
      <c r="E102" s="887">
        <v>706</v>
      </c>
      <c r="F102" s="887">
        <v>118</v>
      </c>
      <c r="G102" s="893">
        <f t="shared" si="10"/>
        <v>96</v>
      </c>
      <c r="H102" s="886">
        <v>633</v>
      </c>
      <c r="I102" s="887">
        <v>551</v>
      </c>
      <c r="J102" s="887">
        <v>69</v>
      </c>
      <c r="K102" s="893">
        <f t="shared" si="11"/>
        <v>13</v>
      </c>
      <c r="L102" s="886">
        <v>6</v>
      </c>
      <c r="M102" s="887">
        <v>6</v>
      </c>
      <c r="N102" s="887">
        <v>0</v>
      </c>
      <c r="O102" s="893">
        <f t="shared" si="12"/>
        <v>0</v>
      </c>
      <c r="P102" s="888">
        <v>1559</v>
      </c>
      <c r="Q102" s="889"/>
    </row>
    <row r="103" spans="1:17" s="890" customFormat="1">
      <c r="A103" s="884" t="s">
        <v>53</v>
      </c>
      <c r="B103" s="885" t="s">
        <v>54</v>
      </c>
      <c r="C103" s="875" t="s">
        <v>272</v>
      </c>
      <c r="D103" s="886">
        <v>1000</v>
      </c>
      <c r="E103" s="887">
        <v>161</v>
      </c>
      <c r="F103" s="887">
        <v>703</v>
      </c>
      <c r="G103" s="893">
        <f t="shared" si="10"/>
        <v>136</v>
      </c>
      <c r="H103" s="886">
        <v>602</v>
      </c>
      <c r="I103" s="887">
        <v>140</v>
      </c>
      <c r="J103" s="887">
        <v>399</v>
      </c>
      <c r="K103" s="893">
        <f t="shared" si="11"/>
        <v>63</v>
      </c>
      <c r="L103" s="886">
        <v>2</v>
      </c>
      <c r="M103" s="887">
        <v>0</v>
      </c>
      <c r="N103" s="887">
        <v>0</v>
      </c>
      <c r="O103" s="893">
        <f t="shared" si="12"/>
        <v>2</v>
      </c>
      <c r="P103" s="888">
        <v>1604</v>
      </c>
      <c r="Q103" s="889"/>
    </row>
    <row r="104" spans="1:17" s="890" customFormat="1">
      <c r="A104" s="884" t="s">
        <v>55</v>
      </c>
      <c r="B104" s="885" t="s">
        <v>56</v>
      </c>
      <c r="C104" s="875" t="s">
        <v>271</v>
      </c>
      <c r="D104" s="886">
        <v>3534</v>
      </c>
      <c r="E104" s="887">
        <v>646</v>
      </c>
      <c r="F104" s="887">
        <v>2526</v>
      </c>
      <c r="G104" s="893">
        <f t="shared" si="10"/>
        <v>362</v>
      </c>
      <c r="H104" s="886">
        <v>1950</v>
      </c>
      <c r="I104" s="887">
        <v>465</v>
      </c>
      <c r="J104" s="887">
        <v>1387</v>
      </c>
      <c r="K104" s="893">
        <f t="shared" si="11"/>
        <v>98</v>
      </c>
      <c r="L104" s="886">
        <v>0</v>
      </c>
      <c r="M104" s="887">
        <v>0</v>
      </c>
      <c r="N104" s="887">
        <v>0</v>
      </c>
      <c r="O104" s="893">
        <f t="shared" si="12"/>
        <v>0</v>
      </c>
      <c r="P104" s="888">
        <v>5485</v>
      </c>
      <c r="Q104" s="889"/>
    </row>
    <row r="105" spans="1:17" s="890" customFormat="1">
      <c r="A105" s="884" t="s">
        <v>67</v>
      </c>
      <c r="B105" s="885" t="s">
        <v>68</v>
      </c>
      <c r="C105" s="875" t="s">
        <v>272</v>
      </c>
      <c r="D105" s="886">
        <v>1628</v>
      </c>
      <c r="E105" s="887">
        <v>243</v>
      </c>
      <c r="F105" s="887">
        <v>1196</v>
      </c>
      <c r="G105" s="893">
        <f t="shared" si="10"/>
        <v>189</v>
      </c>
      <c r="H105" s="886">
        <v>938</v>
      </c>
      <c r="I105" s="887">
        <v>180</v>
      </c>
      <c r="J105" s="887">
        <v>691</v>
      </c>
      <c r="K105" s="893">
        <f t="shared" si="11"/>
        <v>67</v>
      </c>
      <c r="L105" s="886">
        <v>5</v>
      </c>
      <c r="M105" s="887">
        <v>1</v>
      </c>
      <c r="N105" s="887">
        <v>4</v>
      </c>
      <c r="O105" s="893">
        <f t="shared" si="12"/>
        <v>0</v>
      </c>
      <c r="P105" s="888">
        <v>2571</v>
      </c>
      <c r="Q105" s="889"/>
    </row>
    <row r="106" spans="1:17" s="890" customFormat="1">
      <c r="A106" s="884" t="s">
        <v>83</v>
      </c>
      <c r="B106" s="885" t="s">
        <v>84</v>
      </c>
      <c r="C106" s="875" t="s">
        <v>271</v>
      </c>
      <c r="D106" s="886">
        <v>491</v>
      </c>
      <c r="E106" s="887">
        <v>13</v>
      </c>
      <c r="F106" s="887">
        <v>404</v>
      </c>
      <c r="G106" s="893">
        <f t="shared" si="10"/>
        <v>74</v>
      </c>
      <c r="H106" s="886">
        <v>254</v>
      </c>
      <c r="I106" s="887">
        <v>13</v>
      </c>
      <c r="J106" s="887">
        <v>230</v>
      </c>
      <c r="K106" s="893">
        <f t="shared" si="11"/>
        <v>11</v>
      </c>
      <c r="L106" s="886">
        <v>3</v>
      </c>
      <c r="M106" s="887">
        <v>0</v>
      </c>
      <c r="N106" s="887">
        <v>3</v>
      </c>
      <c r="O106" s="893">
        <f t="shared" si="12"/>
        <v>0</v>
      </c>
      <c r="P106" s="888">
        <v>748</v>
      </c>
      <c r="Q106" s="889"/>
    </row>
    <row r="107" spans="1:17" s="890" customFormat="1">
      <c r="A107" s="884" t="s">
        <v>89</v>
      </c>
      <c r="B107" s="885" t="s">
        <v>90</v>
      </c>
      <c r="C107" s="875" t="s">
        <v>274</v>
      </c>
      <c r="D107" s="886">
        <v>724</v>
      </c>
      <c r="E107" s="887">
        <v>188</v>
      </c>
      <c r="F107" s="887">
        <v>428</v>
      </c>
      <c r="G107" s="893">
        <f t="shared" si="10"/>
        <v>108</v>
      </c>
      <c r="H107" s="886">
        <v>436</v>
      </c>
      <c r="I107" s="887">
        <v>141</v>
      </c>
      <c r="J107" s="887">
        <v>241</v>
      </c>
      <c r="K107" s="893">
        <f t="shared" si="11"/>
        <v>54</v>
      </c>
      <c r="L107" s="886">
        <v>2</v>
      </c>
      <c r="M107" s="887">
        <v>0</v>
      </c>
      <c r="N107" s="887">
        <v>1</v>
      </c>
      <c r="O107" s="893">
        <f t="shared" si="12"/>
        <v>1</v>
      </c>
      <c r="P107" s="888">
        <v>1162</v>
      </c>
      <c r="Q107" s="889"/>
    </row>
    <row r="108" spans="1:17" s="890" customFormat="1">
      <c r="A108" s="884" t="s">
        <v>91</v>
      </c>
      <c r="B108" s="885" t="s">
        <v>92</v>
      </c>
      <c r="C108" s="875" t="s">
        <v>275</v>
      </c>
      <c r="D108" s="886">
        <v>261</v>
      </c>
      <c r="E108" s="887">
        <v>206</v>
      </c>
      <c r="F108" s="887">
        <v>38</v>
      </c>
      <c r="G108" s="893">
        <f t="shared" si="10"/>
        <v>17</v>
      </c>
      <c r="H108" s="886">
        <v>165</v>
      </c>
      <c r="I108" s="887">
        <v>132</v>
      </c>
      <c r="J108" s="887">
        <v>26</v>
      </c>
      <c r="K108" s="893">
        <f t="shared" si="11"/>
        <v>7</v>
      </c>
      <c r="L108" s="886">
        <v>0</v>
      </c>
      <c r="M108" s="887">
        <v>0</v>
      </c>
      <c r="N108" s="887">
        <v>0</v>
      </c>
      <c r="O108" s="893">
        <f t="shared" si="12"/>
        <v>0</v>
      </c>
      <c r="P108" s="888">
        <v>426</v>
      </c>
      <c r="Q108" s="889"/>
    </row>
    <row r="109" spans="1:17" s="890" customFormat="1">
      <c r="A109" s="884" t="s">
        <v>107</v>
      </c>
      <c r="B109" s="885" t="s">
        <v>108</v>
      </c>
      <c r="C109" s="875" t="s">
        <v>271</v>
      </c>
      <c r="D109" s="886">
        <v>4197</v>
      </c>
      <c r="E109" s="887">
        <v>549</v>
      </c>
      <c r="F109" s="887">
        <v>3096</v>
      </c>
      <c r="G109" s="893">
        <f t="shared" si="10"/>
        <v>552</v>
      </c>
      <c r="H109" s="886">
        <v>2416</v>
      </c>
      <c r="I109" s="887">
        <v>432</v>
      </c>
      <c r="J109" s="887">
        <v>1801</v>
      </c>
      <c r="K109" s="893">
        <f t="shared" si="11"/>
        <v>183</v>
      </c>
      <c r="L109" s="886">
        <v>6</v>
      </c>
      <c r="M109" s="887">
        <v>0</v>
      </c>
      <c r="N109" s="887">
        <v>6</v>
      </c>
      <c r="O109" s="893">
        <f t="shared" si="12"/>
        <v>0</v>
      </c>
      <c r="P109" s="888">
        <v>6619</v>
      </c>
      <c r="Q109" s="889"/>
    </row>
    <row r="110" spans="1:17" s="890" customFormat="1">
      <c r="A110" s="884" t="s">
        <v>117</v>
      </c>
      <c r="B110" s="885" t="s">
        <v>118</v>
      </c>
      <c r="C110" s="875" t="s">
        <v>273</v>
      </c>
      <c r="D110" s="886">
        <v>1000</v>
      </c>
      <c r="E110" s="887">
        <v>276</v>
      </c>
      <c r="F110" s="887">
        <v>623</v>
      </c>
      <c r="G110" s="893">
        <f t="shared" si="10"/>
        <v>101</v>
      </c>
      <c r="H110" s="886">
        <v>609</v>
      </c>
      <c r="I110" s="887">
        <v>207</v>
      </c>
      <c r="J110" s="887">
        <v>363</v>
      </c>
      <c r="K110" s="893">
        <f t="shared" si="11"/>
        <v>39</v>
      </c>
      <c r="L110" s="886">
        <v>1</v>
      </c>
      <c r="M110" s="887">
        <v>0</v>
      </c>
      <c r="N110" s="887">
        <v>1</v>
      </c>
      <c r="O110" s="893">
        <f t="shared" si="12"/>
        <v>0</v>
      </c>
      <c r="P110" s="888">
        <v>1610</v>
      </c>
      <c r="Q110" s="889"/>
    </row>
    <row r="111" spans="1:17" s="890" customFormat="1">
      <c r="A111" s="884" t="s">
        <v>139</v>
      </c>
      <c r="B111" s="885" t="s">
        <v>140</v>
      </c>
      <c r="C111" s="875" t="s">
        <v>272</v>
      </c>
      <c r="D111" s="886">
        <v>2118</v>
      </c>
      <c r="E111" s="887">
        <v>370</v>
      </c>
      <c r="F111" s="887">
        <v>1469</v>
      </c>
      <c r="G111" s="893">
        <f t="shared" si="10"/>
        <v>279</v>
      </c>
      <c r="H111" s="886">
        <v>1188</v>
      </c>
      <c r="I111" s="887">
        <v>282</v>
      </c>
      <c r="J111" s="887">
        <v>837</v>
      </c>
      <c r="K111" s="893">
        <f t="shared" si="11"/>
        <v>69</v>
      </c>
      <c r="L111" s="886">
        <v>2</v>
      </c>
      <c r="M111" s="887">
        <v>0</v>
      </c>
      <c r="N111" s="887">
        <v>2</v>
      </c>
      <c r="O111" s="893">
        <f t="shared" si="12"/>
        <v>0</v>
      </c>
      <c r="P111" s="888">
        <v>3308</v>
      </c>
      <c r="Q111" s="889"/>
    </row>
    <row r="112" spans="1:17" s="890" customFormat="1">
      <c r="A112" s="884" t="s">
        <v>143</v>
      </c>
      <c r="B112" s="885" t="s">
        <v>144</v>
      </c>
      <c r="C112" s="875" t="s">
        <v>274</v>
      </c>
      <c r="D112" s="886">
        <v>753</v>
      </c>
      <c r="E112" s="887">
        <v>272</v>
      </c>
      <c r="F112" s="887">
        <v>226</v>
      </c>
      <c r="G112" s="893">
        <f t="shared" si="10"/>
        <v>255</v>
      </c>
      <c r="H112" s="886">
        <v>423</v>
      </c>
      <c r="I112" s="887">
        <v>180</v>
      </c>
      <c r="J112" s="887">
        <v>142</v>
      </c>
      <c r="K112" s="893">
        <f t="shared" si="11"/>
        <v>101</v>
      </c>
      <c r="L112" s="886">
        <v>0</v>
      </c>
      <c r="M112" s="887">
        <v>0</v>
      </c>
      <c r="N112" s="887">
        <v>0</v>
      </c>
      <c r="O112" s="893">
        <f t="shared" si="12"/>
        <v>0</v>
      </c>
      <c r="P112" s="888">
        <v>1176</v>
      </c>
      <c r="Q112" s="889"/>
    </row>
    <row r="113" spans="1:17" s="890" customFormat="1">
      <c r="A113" s="884" t="s">
        <v>145</v>
      </c>
      <c r="B113" s="885" t="s">
        <v>146</v>
      </c>
      <c r="C113" s="875" t="s">
        <v>274</v>
      </c>
      <c r="D113" s="886">
        <v>174</v>
      </c>
      <c r="E113" s="887">
        <v>59</v>
      </c>
      <c r="F113" s="887">
        <v>46</v>
      </c>
      <c r="G113" s="893">
        <f t="shared" si="10"/>
        <v>69</v>
      </c>
      <c r="H113" s="886">
        <v>100</v>
      </c>
      <c r="I113" s="887">
        <v>47</v>
      </c>
      <c r="J113" s="887">
        <v>26</v>
      </c>
      <c r="K113" s="893">
        <f t="shared" si="11"/>
        <v>27</v>
      </c>
      <c r="L113" s="886">
        <v>0</v>
      </c>
      <c r="M113" s="887">
        <v>0</v>
      </c>
      <c r="N113" s="887">
        <v>0</v>
      </c>
      <c r="O113" s="893">
        <f t="shared" si="12"/>
        <v>0</v>
      </c>
      <c r="P113" s="888">
        <v>274</v>
      </c>
      <c r="Q113" s="889"/>
    </row>
    <row r="114" spans="1:17" s="890" customFormat="1">
      <c r="A114" s="884" t="s">
        <v>159</v>
      </c>
      <c r="B114" s="885" t="s">
        <v>160</v>
      </c>
      <c r="C114" s="875" t="s">
        <v>271</v>
      </c>
      <c r="D114" s="886">
        <v>6098</v>
      </c>
      <c r="E114" s="887">
        <v>627</v>
      </c>
      <c r="F114" s="887">
        <v>4614</v>
      </c>
      <c r="G114" s="893">
        <f t="shared" si="10"/>
        <v>857</v>
      </c>
      <c r="H114" s="886">
        <v>3434</v>
      </c>
      <c r="I114" s="887">
        <v>474</v>
      </c>
      <c r="J114" s="887">
        <v>2572</v>
      </c>
      <c r="K114" s="893">
        <f t="shared" si="11"/>
        <v>388</v>
      </c>
      <c r="L114" s="886">
        <v>8</v>
      </c>
      <c r="M114" s="887">
        <v>0</v>
      </c>
      <c r="N114" s="887">
        <v>5</v>
      </c>
      <c r="O114" s="893">
        <f t="shared" si="12"/>
        <v>3</v>
      </c>
      <c r="P114" s="888">
        <v>9540</v>
      </c>
      <c r="Q114" s="889"/>
    </row>
    <row r="115" spans="1:17" s="890" customFormat="1">
      <c r="A115" s="884" t="s">
        <v>161</v>
      </c>
      <c r="B115" s="885" t="s">
        <v>162</v>
      </c>
      <c r="C115" s="875" t="s">
        <v>271</v>
      </c>
      <c r="D115" s="886">
        <v>7489</v>
      </c>
      <c r="E115" s="887">
        <v>663</v>
      </c>
      <c r="F115" s="887">
        <v>6065</v>
      </c>
      <c r="G115" s="893">
        <f t="shared" si="10"/>
        <v>761</v>
      </c>
      <c r="H115" s="886">
        <v>4061</v>
      </c>
      <c r="I115" s="887">
        <v>498</v>
      </c>
      <c r="J115" s="887">
        <v>3291</v>
      </c>
      <c r="K115" s="893">
        <f t="shared" si="11"/>
        <v>272</v>
      </c>
      <c r="L115" s="886">
        <v>3</v>
      </c>
      <c r="M115" s="887">
        <v>0</v>
      </c>
      <c r="N115" s="887">
        <v>3</v>
      </c>
      <c r="O115" s="893">
        <f t="shared" si="12"/>
        <v>0</v>
      </c>
      <c r="P115" s="888">
        <v>11553</v>
      </c>
      <c r="Q115" s="889"/>
    </row>
    <row r="116" spans="1:17" s="890" customFormat="1">
      <c r="A116" s="884" t="s">
        <v>167</v>
      </c>
      <c r="B116" s="885" t="s">
        <v>168</v>
      </c>
      <c r="C116" s="875" t="s">
        <v>275</v>
      </c>
      <c r="D116" s="886">
        <v>154</v>
      </c>
      <c r="E116" s="887">
        <v>106</v>
      </c>
      <c r="F116" s="887">
        <v>21</v>
      </c>
      <c r="G116" s="893">
        <f t="shared" si="10"/>
        <v>27</v>
      </c>
      <c r="H116" s="886">
        <v>101</v>
      </c>
      <c r="I116" s="887">
        <v>79</v>
      </c>
      <c r="J116" s="887">
        <v>12</v>
      </c>
      <c r="K116" s="893">
        <f t="shared" si="11"/>
        <v>10</v>
      </c>
      <c r="L116" s="886">
        <v>0</v>
      </c>
      <c r="M116" s="887">
        <v>0</v>
      </c>
      <c r="N116" s="887">
        <v>0</v>
      </c>
      <c r="O116" s="893">
        <f t="shared" si="12"/>
        <v>0</v>
      </c>
      <c r="P116" s="888">
        <v>255</v>
      </c>
      <c r="Q116" s="889"/>
    </row>
    <row r="117" spans="1:17" s="890" customFormat="1">
      <c r="A117" s="884" t="s">
        <v>177</v>
      </c>
      <c r="B117" s="885" t="s">
        <v>178</v>
      </c>
      <c r="C117" s="875" t="s">
        <v>273</v>
      </c>
      <c r="D117" s="886">
        <v>1705</v>
      </c>
      <c r="E117" s="887">
        <v>71</v>
      </c>
      <c r="F117" s="887">
        <v>1505</v>
      </c>
      <c r="G117" s="893">
        <f t="shared" si="10"/>
        <v>129</v>
      </c>
      <c r="H117" s="886">
        <v>1035</v>
      </c>
      <c r="I117" s="887">
        <v>60</v>
      </c>
      <c r="J117" s="887">
        <v>924</v>
      </c>
      <c r="K117" s="893">
        <f t="shared" si="11"/>
        <v>51</v>
      </c>
      <c r="L117" s="886">
        <v>1</v>
      </c>
      <c r="M117" s="887">
        <v>0</v>
      </c>
      <c r="N117" s="887">
        <v>1</v>
      </c>
      <c r="O117" s="893">
        <f t="shared" si="12"/>
        <v>0</v>
      </c>
      <c r="P117" s="888">
        <v>2741</v>
      </c>
      <c r="Q117" s="889"/>
    </row>
    <row r="118" spans="1:17" s="890" customFormat="1">
      <c r="A118" s="884" t="s">
        <v>181</v>
      </c>
      <c r="B118" s="885" t="s">
        <v>182</v>
      </c>
      <c r="C118" s="875" t="s">
        <v>271</v>
      </c>
      <c r="D118" s="886">
        <v>3907</v>
      </c>
      <c r="E118" s="887">
        <v>343</v>
      </c>
      <c r="F118" s="887">
        <v>3236</v>
      </c>
      <c r="G118" s="893">
        <f t="shared" si="10"/>
        <v>328</v>
      </c>
      <c r="H118" s="886">
        <v>2075</v>
      </c>
      <c r="I118" s="887">
        <v>255</v>
      </c>
      <c r="J118" s="887">
        <v>1699</v>
      </c>
      <c r="K118" s="893">
        <f t="shared" si="11"/>
        <v>121</v>
      </c>
      <c r="L118" s="886">
        <v>5</v>
      </c>
      <c r="M118" s="887">
        <v>0</v>
      </c>
      <c r="N118" s="887">
        <v>5</v>
      </c>
      <c r="O118" s="893">
        <f t="shared" si="12"/>
        <v>0</v>
      </c>
      <c r="P118" s="888">
        <v>5988</v>
      </c>
      <c r="Q118" s="889"/>
    </row>
    <row r="119" spans="1:17" s="890" customFormat="1">
      <c r="A119" s="884" t="s">
        <v>193</v>
      </c>
      <c r="B119" s="885" t="s">
        <v>194</v>
      </c>
      <c r="C119" s="875" t="s">
        <v>275</v>
      </c>
      <c r="D119" s="886">
        <v>262</v>
      </c>
      <c r="E119" s="887">
        <v>158</v>
      </c>
      <c r="F119" s="887">
        <v>62</v>
      </c>
      <c r="G119" s="893">
        <f t="shared" si="10"/>
        <v>42</v>
      </c>
      <c r="H119" s="886">
        <v>171</v>
      </c>
      <c r="I119" s="887">
        <v>124</v>
      </c>
      <c r="J119" s="887">
        <v>38</v>
      </c>
      <c r="K119" s="893">
        <f t="shared" si="11"/>
        <v>9</v>
      </c>
      <c r="L119" s="886">
        <v>1</v>
      </c>
      <c r="M119" s="887">
        <v>0</v>
      </c>
      <c r="N119" s="887">
        <v>1</v>
      </c>
      <c r="O119" s="893">
        <f t="shared" si="12"/>
        <v>0</v>
      </c>
      <c r="P119" s="888">
        <v>434</v>
      </c>
      <c r="Q119" s="889"/>
    </row>
    <row r="120" spans="1:17" s="890" customFormat="1">
      <c r="A120" s="884" t="s">
        <v>197</v>
      </c>
      <c r="B120" s="885" t="s">
        <v>198</v>
      </c>
      <c r="C120" s="875" t="s">
        <v>273</v>
      </c>
      <c r="D120" s="886">
        <v>8778</v>
      </c>
      <c r="E120" s="887">
        <v>365</v>
      </c>
      <c r="F120" s="887">
        <v>7024</v>
      </c>
      <c r="G120" s="893">
        <f t="shared" si="10"/>
        <v>1389</v>
      </c>
      <c r="H120" s="886">
        <v>5004</v>
      </c>
      <c r="I120" s="887">
        <v>310</v>
      </c>
      <c r="J120" s="887">
        <v>4191</v>
      </c>
      <c r="K120" s="893">
        <f t="shared" si="11"/>
        <v>503</v>
      </c>
      <c r="L120" s="886">
        <v>19</v>
      </c>
      <c r="M120" s="887">
        <v>1</v>
      </c>
      <c r="N120" s="887">
        <v>15</v>
      </c>
      <c r="O120" s="893">
        <f t="shared" si="12"/>
        <v>3</v>
      </c>
      <c r="P120" s="888">
        <v>13801</v>
      </c>
      <c r="Q120" s="889"/>
    </row>
    <row r="121" spans="1:17" s="890" customFormat="1">
      <c r="A121" s="884" t="s">
        <v>201</v>
      </c>
      <c r="B121" s="885" t="s">
        <v>202</v>
      </c>
      <c r="C121" s="875" t="s">
        <v>272</v>
      </c>
      <c r="D121" s="886">
        <v>4174</v>
      </c>
      <c r="E121" s="887">
        <v>1400</v>
      </c>
      <c r="F121" s="887">
        <v>2263</v>
      </c>
      <c r="G121" s="893">
        <f t="shared" si="10"/>
        <v>511</v>
      </c>
      <c r="H121" s="886">
        <v>2621</v>
      </c>
      <c r="I121" s="887">
        <v>1097</v>
      </c>
      <c r="J121" s="887">
        <v>1238</v>
      </c>
      <c r="K121" s="893">
        <f t="shared" si="11"/>
        <v>286</v>
      </c>
      <c r="L121" s="886">
        <v>9</v>
      </c>
      <c r="M121" s="887">
        <v>0</v>
      </c>
      <c r="N121" s="887">
        <v>9</v>
      </c>
      <c r="O121" s="893">
        <f t="shared" si="12"/>
        <v>0</v>
      </c>
      <c r="P121" s="888">
        <v>6804</v>
      </c>
      <c r="Q121" s="889"/>
    </row>
    <row r="122" spans="1:17" s="890" customFormat="1">
      <c r="A122" s="884" t="s">
        <v>223</v>
      </c>
      <c r="B122" s="885" t="s">
        <v>224</v>
      </c>
      <c r="C122" s="875" t="s">
        <v>271</v>
      </c>
      <c r="D122" s="886">
        <v>1411</v>
      </c>
      <c r="E122" s="887">
        <v>199</v>
      </c>
      <c r="F122" s="887">
        <v>1079</v>
      </c>
      <c r="G122" s="893">
        <f t="shared" si="10"/>
        <v>133</v>
      </c>
      <c r="H122" s="886">
        <v>683</v>
      </c>
      <c r="I122" s="887">
        <v>109</v>
      </c>
      <c r="J122" s="887">
        <v>530</v>
      </c>
      <c r="K122" s="893">
        <f t="shared" si="11"/>
        <v>44</v>
      </c>
      <c r="L122" s="886">
        <v>1</v>
      </c>
      <c r="M122" s="887">
        <v>0</v>
      </c>
      <c r="N122" s="887">
        <v>1</v>
      </c>
      <c r="O122" s="893">
        <f t="shared" si="12"/>
        <v>0</v>
      </c>
      <c r="P122" s="888">
        <v>2095</v>
      </c>
      <c r="Q122" s="889"/>
    </row>
    <row r="123" spans="1:17" s="890" customFormat="1">
      <c r="A123" s="884" t="s">
        <v>231</v>
      </c>
      <c r="B123" s="885" t="s">
        <v>232</v>
      </c>
      <c r="C123" s="875" t="s">
        <v>271</v>
      </c>
      <c r="D123" s="886">
        <v>3893</v>
      </c>
      <c r="E123" s="887">
        <v>850</v>
      </c>
      <c r="F123" s="887">
        <v>2295</v>
      </c>
      <c r="G123" s="893">
        <f t="shared" si="10"/>
        <v>748</v>
      </c>
      <c r="H123" s="886">
        <v>2174</v>
      </c>
      <c r="I123" s="887">
        <v>627</v>
      </c>
      <c r="J123" s="887">
        <v>1207</v>
      </c>
      <c r="K123" s="893">
        <f t="shared" si="11"/>
        <v>340</v>
      </c>
      <c r="L123" s="886">
        <v>3</v>
      </c>
      <c r="M123" s="887">
        <v>1</v>
      </c>
      <c r="N123" s="887">
        <v>0</v>
      </c>
      <c r="O123" s="893">
        <f t="shared" si="12"/>
        <v>2</v>
      </c>
      <c r="P123" s="888">
        <v>6070</v>
      </c>
      <c r="Q123" s="889"/>
    </row>
    <row r="124" spans="1:17" s="890" customFormat="1">
      <c r="A124" s="884" t="s">
        <v>239</v>
      </c>
      <c r="B124" s="885" t="s">
        <v>240</v>
      </c>
      <c r="C124" s="875" t="s">
        <v>271</v>
      </c>
      <c r="D124" s="886">
        <v>172</v>
      </c>
      <c r="E124" s="887">
        <v>46</v>
      </c>
      <c r="F124" s="887">
        <v>103</v>
      </c>
      <c r="G124" s="893">
        <f t="shared" si="10"/>
        <v>23</v>
      </c>
      <c r="H124" s="886">
        <v>111</v>
      </c>
      <c r="I124" s="887">
        <v>40</v>
      </c>
      <c r="J124" s="887">
        <v>57</v>
      </c>
      <c r="K124" s="893">
        <f t="shared" si="11"/>
        <v>14</v>
      </c>
      <c r="L124" s="886">
        <v>0</v>
      </c>
      <c r="M124" s="887">
        <v>0</v>
      </c>
      <c r="N124" s="887">
        <v>0</v>
      </c>
      <c r="O124" s="893">
        <f t="shared" si="12"/>
        <v>0</v>
      </c>
      <c r="P124" s="888">
        <v>283</v>
      </c>
      <c r="Q124" s="889"/>
    </row>
    <row r="125" spans="1:17" s="890" customFormat="1">
      <c r="A125" s="884" t="s">
        <v>241</v>
      </c>
      <c r="B125" s="885" t="s">
        <v>242</v>
      </c>
      <c r="C125" s="875" t="s">
        <v>274</v>
      </c>
      <c r="D125" s="886">
        <v>562</v>
      </c>
      <c r="E125" s="887">
        <v>328</v>
      </c>
      <c r="F125" s="887">
        <v>172</v>
      </c>
      <c r="G125" s="893">
        <f t="shared" si="10"/>
        <v>62</v>
      </c>
      <c r="H125" s="886">
        <v>326</v>
      </c>
      <c r="I125" s="887">
        <v>225</v>
      </c>
      <c r="J125" s="887">
        <v>77</v>
      </c>
      <c r="K125" s="893">
        <f t="shared" si="11"/>
        <v>24</v>
      </c>
      <c r="L125" s="886">
        <v>1</v>
      </c>
      <c r="M125" s="887">
        <v>0</v>
      </c>
      <c r="N125" s="887">
        <v>1</v>
      </c>
      <c r="O125" s="893">
        <f t="shared" si="12"/>
        <v>0</v>
      </c>
      <c r="P125" s="888">
        <v>889</v>
      </c>
      <c r="Q125" s="889"/>
    </row>
    <row r="126" spans="1:17">
      <c r="B126" s="745"/>
      <c r="C126" s="745"/>
      <c r="D126" s="746"/>
      <c r="E126" s="746"/>
      <c r="F126" s="746"/>
    </row>
    <row r="127" spans="1:17">
      <c r="A127" s="747" t="s">
        <v>970</v>
      </c>
      <c r="B127" s="745"/>
      <c r="C127" s="745"/>
      <c r="D127" s="746"/>
      <c r="E127" s="746"/>
      <c r="F127" s="746"/>
    </row>
    <row r="128" spans="1:17">
      <c r="A128" s="744" t="s">
        <v>273</v>
      </c>
      <c r="B128" s="745"/>
      <c r="C128" s="745"/>
      <c r="D128" s="752">
        <f>SUM(E128:G128)</f>
        <v>25157</v>
      </c>
      <c r="E128" s="748">
        <f>E9+E20+E22+E24+E26+E30+E33+E37+E42+E47+E48+E53+E55+E56+E60+E64+E67+E69+E70+E75+E76+E81+E97+E110+E117+E120</f>
        <v>4576</v>
      </c>
      <c r="F128" s="748">
        <f>F9+F20+F22+F24+F26+F30+F33+F37+F42+F47+F48+F53+F55+F56+F60+F64+F67+F69+F70+F75+F76+F81+F97+F110+F117+F120</f>
        <v>16707</v>
      </c>
      <c r="G128" s="749">
        <f>G9+G20+G22+G24+G26+G30+G33+G37+G42+G47+G48+G53+G55+G56+G60+G64+G67+G69+G70+G75+G76+G81+G97+G110+G117+G120</f>
        <v>3874</v>
      </c>
      <c r="H128" s="752">
        <f>SUM(I128:K128)</f>
        <v>14764</v>
      </c>
      <c r="I128" s="748">
        <f>I9+I20+I22+I24+I26+I30+I33+I37+I42+I47+I48+I53+I55+I56+I60+I64+I67+I69+I70+I75+I76+I81+I97+I110+I117+I120</f>
        <v>3319</v>
      </c>
      <c r="J128" s="748">
        <f>J9+J20+J22+J24+J26+J30+J33+J37+J42+J47+J48+J53+J55+J56+J60+J64+J67+J69+J70+J75+J76+J81+J97+J110+J117+J120</f>
        <v>9824</v>
      </c>
      <c r="K128" s="749">
        <f>K9+K20+K22+K24+K26+K30+K33+K37+K42+K47+K48+K53+K55+K56+K60+K64+K67+K69+K70+K75+K76+K81+K97+K110+K117+K120</f>
        <v>1621</v>
      </c>
      <c r="L128" s="752">
        <f>SUM(M128:O128)</f>
        <v>35</v>
      </c>
      <c r="M128" s="748">
        <f>M9+M20+M22+M24+M26+M30+M33+M37+M42+M47+M48+M53+M55+M56+M60+M64+M67+M69+M70+M75+M76+M81+M97+M110+M117+M120</f>
        <v>4</v>
      </c>
      <c r="N128" s="748">
        <f>N9+N20+N22+N24+N26+N30+N33+N37+N42+N47+N48+N53+N55+N56+N60+N64+N67+N69+N70+N75+N76+N81+N97+N110+N117+N120</f>
        <v>24</v>
      </c>
      <c r="O128" s="749">
        <f>O9+O20+O22+O24+O26+O30+O33+O37+O42+O47+O48+O53+O55+O56+O60+O64+O67+O69+O70+O75+O76+O81+O97+O110+O117+O120</f>
        <v>7</v>
      </c>
      <c r="P128" s="753">
        <f>D128+H128+L128</f>
        <v>39956</v>
      </c>
    </row>
    <row r="129" spans="1:16">
      <c r="A129" s="744" t="s">
        <v>271</v>
      </c>
      <c r="B129" s="745"/>
      <c r="C129" s="745"/>
      <c r="D129" s="754">
        <f>SUM(E129:G129)</f>
        <v>36578</v>
      </c>
      <c r="E129" s="748">
        <f>E6+E18+E32+E41+E45+E51+E52+E62+E68+E77+E89+E92+E93+E100+E104+E106+E109+E114+E115+E118+E122+E123+E124</f>
        <v>5647</v>
      </c>
      <c r="F129" s="748">
        <f>F6+F18+F32+F41+F45+F51+F52+F62+F68+F77+F89+F92+F93+F100+F104+F106+F109+F114+F115+F118+F122+F123+F124</f>
        <v>26626</v>
      </c>
      <c r="G129" s="749">
        <f>G6+G18+G32+G41+G45+G51+G52+G62+G68+G77+G89+G92+G93+G100+G104+G106+G109+G114+G115+G118+G122+G123+G124</f>
        <v>4305</v>
      </c>
      <c r="H129" s="754">
        <f>SUM(I129:K129)</f>
        <v>20269</v>
      </c>
      <c r="I129" s="748">
        <f>I6+I18+I32+I41+I45+I51+I52+I62+I68+I77+I89+I92+I93+I100+I104+I106+I109+I114+I115+I118+I122+I123+I124</f>
        <v>4098</v>
      </c>
      <c r="J129" s="748">
        <f>J6+J18+J32+J41+J45+J51+J52+J62+J68+J77+J89+J92+J93+J100+J104+J106+J109+J114+J115+J118+J122+J123+J124</f>
        <v>14534</v>
      </c>
      <c r="K129" s="749">
        <f>K6+K18+K32+K41+K45+K51+K52+K62+K68+K77+K89+K92+K93+K100+K104+K106+K109+K114+K115+K118+K122+K123+K124</f>
        <v>1637</v>
      </c>
      <c r="L129" s="754">
        <f>SUM(M129:O129)</f>
        <v>32</v>
      </c>
      <c r="M129" s="748">
        <f>M6+M18+M32+M41+M45+M51+M52+M62+M68+M77+M89+M92+M93+M100+M104+M106+M109+M114+M115+M118+M122+M123+M124</f>
        <v>2</v>
      </c>
      <c r="N129" s="748">
        <f>N6+N18+N32+N41+N45+N51+N52+N62+N68+N77+N89+N92+N93+N100+N104+N106+N109+N114+N115+N118+N122+N123+N124</f>
        <v>25</v>
      </c>
      <c r="O129" s="749">
        <f>O6+O18+O32+O41+O45+O51+O52+O62+O68+O77+O89+O92+O93+O100+O104+O106+O109+O114+O115+O118+O122+O123+O124</f>
        <v>5</v>
      </c>
      <c r="P129" s="755">
        <f>D129+H129+L129</f>
        <v>56879</v>
      </c>
    </row>
    <row r="130" spans="1:16">
      <c r="A130" s="744" t="s">
        <v>274</v>
      </c>
      <c r="B130" s="745"/>
      <c r="C130" s="745"/>
      <c r="D130" s="754">
        <f>SUM(E130:G130)</f>
        <v>22862</v>
      </c>
      <c r="E130" s="748">
        <f>E12+E27+E29+E34+E35+E39+E44+E54+E58+E59+E61+E71+E72+E78+E80+E84+E87+E90+E91+E95+E101+E107+E112+E113+E125</f>
        <v>9284</v>
      </c>
      <c r="F130" s="748">
        <f>F12+F27+F29+F34+F35+F39+F44+F54+F58+F59+F61+F71+F72+F78+F80+F84+F87+F90+F91+F95+F101+F107+F112+F113+F125</f>
        <v>8627</v>
      </c>
      <c r="G130" s="749">
        <f>G12+G27+G29+G34+G35+G39+G44+G54+G58+G59+G61+G71+G72+G78+G80+G84+G87+G90+G91+G95+G101+G107+G112+G113+G125</f>
        <v>4951</v>
      </c>
      <c r="H130" s="754">
        <f>SUM(I130:K130)</f>
        <v>14049</v>
      </c>
      <c r="I130" s="748">
        <f>I12+I27+I29+I34+I35+I39+I44+I54+I58+I59+I61+I71+I72+I78+I80+I84+I87+I90+I91+I95+I101+I107+I112+I113+I125</f>
        <v>6602</v>
      </c>
      <c r="J130" s="748">
        <f>J12+J27+J29+J34+J35+J39+J44+J54+J58+J59+J61+J71+J72+J78+J80+J84+J87+J90+J91+J95+J101+J107+J112+J113+J125</f>
        <v>4955</v>
      </c>
      <c r="K130" s="749">
        <f>K12+K27+K29+K34+K35+K39+K44+K54+K58+K59+K61+K71+K72+K78+K80+K84+K87+K90+K91+K95+K101+K107+K112+K113+K125</f>
        <v>2492</v>
      </c>
      <c r="L130" s="754">
        <f>SUM(M130:O130)</f>
        <v>37</v>
      </c>
      <c r="M130" s="748">
        <f>M12+M27+M29+M34+M35+M39+M44+M54+M58+M59+M61+M71+M72+M78+M80+M84+M87+M90+M91+M95+M101+M107+M112+M113+M125</f>
        <v>9</v>
      </c>
      <c r="N130" s="748">
        <f>N12+N27+N29+N34+N35+N39+N44+N54+N58+N59+N61+N71+N72+N78+N80+N84+N87+N90+N91+N95+N101+N107+N112+N113+N125</f>
        <v>18</v>
      </c>
      <c r="O130" s="749">
        <f>O12+O27+O29+O34+O35+O39+O44+O54+O58+O59+O61+O71+O72+O78+O80+O84+O87+O90+O91+O95+O101+O107+O112+O113+O125</f>
        <v>10</v>
      </c>
      <c r="P130" s="755">
        <f>D130+H130+L130</f>
        <v>36948</v>
      </c>
    </row>
    <row r="131" spans="1:16">
      <c r="A131" s="744" t="s">
        <v>272</v>
      </c>
      <c r="B131" s="745"/>
      <c r="C131" s="745"/>
      <c r="D131" s="754">
        <f>SUM(E131:G131)</f>
        <v>20383</v>
      </c>
      <c r="E131" s="748">
        <f>E7+E8+E10+E11+E13+E14+E15+E17+E21+E25+E28+E38+E46+E49+E50+E63+E66+E74+E82+E83+E103+E105+E111+E121</f>
        <v>8293</v>
      </c>
      <c r="F131" s="748">
        <f>F7+F8+F10+F11+F13+F14+F15+F17+F21+F25+F28+F38+F46+F49+F50+F63+F66+F74+F82+F83+F103+F105+F111+F121</f>
        <v>9572</v>
      </c>
      <c r="G131" s="749">
        <f>G7+G8+G10+G11+G13+G14+G15+G17+G21+G25+G28+G38+G46+G49+G50+G63+G66+G74+G82+G83+G103+G105+G111+G121</f>
        <v>2518</v>
      </c>
      <c r="H131" s="754">
        <f>SUM(I131:K131)</f>
        <v>12252</v>
      </c>
      <c r="I131" s="748">
        <f>I7+I8+I10+I11+I13+I14+I15+I17+I21+I25+I28+I38+I46+I49+I50+I63+I66+I74+I82+I83+I103+I105+I111+I121</f>
        <v>5975</v>
      </c>
      <c r="J131" s="748">
        <f>J7+J8+J10+J11+J13+J14+J15+J17+J21+J25+J28+J38+J46+J49+J50+J63+J66+J74+J82+J83+J103+J105+J111+J121</f>
        <v>5323</v>
      </c>
      <c r="K131" s="749">
        <f>K7+K8+K10+K11+K13+K14+K15+K17+K21+K25+K28+K38+K46+K49+K50+K63+K66+K74+K82+K83+K103+K105+K111+K121</f>
        <v>954</v>
      </c>
      <c r="L131" s="754">
        <f>SUM(M131:O131)</f>
        <v>29</v>
      </c>
      <c r="M131" s="748">
        <f>M7+M8+M10+M11+M13+M14+M15+M17+M21+M25+M28+M38+M46+M49+M50+M63+M66+M74+M82+M83+M103+M105+M111+M121</f>
        <v>6</v>
      </c>
      <c r="N131" s="748">
        <f>N7+N8+N10+N11+N13+N14+N15+N17+N21+N25+N28+N38+N46+N49+N50+N63+N66+N74+N82+N83+N103+N105+N111+N121</f>
        <v>21</v>
      </c>
      <c r="O131" s="749">
        <f>O7+O8+O10+O11+O13+O14+O15+O17+O21+O25+O28+O38+O46+O49+O50+O63+O66+O74+O82+O83+O103+O105+O111+O121</f>
        <v>2</v>
      </c>
      <c r="P131" s="755">
        <f>D131+H131+L131</f>
        <v>32664</v>
      </c>
    </row>
    <row r="132" spans="1:16">
      <c r="A132" s="744" t="s">
        <v>275</v>
      </c>
      <c r="D132" s="716">
        <f>SUM(E132:G132)</f>
        <v>11153</v>
      </c>
      <c r="E132" s="750">
        <f>E16+E19+E23+E31+E36+E40+E43+E57+E65+E73+E79+E85+E86+E88+E94+E96+E98+E99+E102+E108+E116+E119</f>
        <v>9284</v>
      </c>
      <c r="F132" s="750">
        <f>F16+F19+F23+F31+F36+F40+F43+F57+F65+F73+F79+F85+F86+F88+F94+F96+F98+F99+F102+F108+F116+F119</f>
        <v>835</v>
      </c>
      <c r="G132" s="751">
        <f>G16+G19+G23+G31+G36+G40+G43+G57+G65+G73+G79+G85+G86+G88+G94+G96+G98+G99+G102+G108+G116+G119</f>
        <v>1034</v>
      </c>
      <c r="H132" s="716">
        <f>SUM(I132:K132)</f>
        <v>7608</v>
      </c>
      <c r="I132" s="750">
        <f>I16+I19+I23+I31+I36+I40+I43+I57+I65+I73+I79+I85+I86+I88+I94+I96+I98+I99+I102+I108+I116+I119</f>
        <v>6867</v>
      </c>
      <c r="J132" s="750">
        <f>J16+J19+J23+J31+J36+J40+J43+J57+J65+J73+J79+J85+J86+J88+J94+J96+J98+J99+J102+J108+J116+J119</f>
        <v>426</v>
      </c>
      <c r="K132" s="751">
        <f>K16+K19+K23+K31+K36+K40+K43+K57+K65+K73+K79+K85+K86+K88+K94+K96+K98+K99+K102+K108+K116+K119</f>
        <v>315</v>
      </c>
      <c r="L132" s="716">
        <f>SUM(M132:O132)</f>
        <v>26</v>
      </c>
      <c r="M132" s="750">
        <f>M16+M19+M23+M31+M36+M40+M43+M57+M65+M73+M79+M85+M86+M88+M94+M96+M98+M99+M102+M108+M116+M119</f>
        <v>23</v>
      </c>
      <c r="N132" s="750">
        <f>N16+N19+N23+N31+N36+N40+N43+N57+N65+N73+N79+N85+N86+N88+N94+N96+N98+N99+N102+N108+N116+N119</f>
        <v>2</v>
      </c>
      <c r="O132" s="751">
        <f>O16+O19+O23+O31+O36+O40+O43+O57+O65+O73+O79+O85+O86+O88+O94+O96+O98+O99+O102+O108+O116+O119</f>
        <v>1</v>
      </c>
      <c r="P132" s="717">
        <f>D132+H132+L132</f>
        <v>18787</v>
      </c>
    </row>
    <row r="134" spans="1:16">
      <c r="A134" s="1651" t="s">
        <v>1121</v>
      </c>
      <c r="B134" s="1651"/>
      <c r="C134" s="1651"/>
      <c r="D134" s="1651"/>
      <c r="E134" s="1651"/>
      <c r="F134" s="1651"/>
      <c r="G134" s="1651"/>
      <c r="H134" s="1651"/>
      <c r="I134" s="1651"/>
      <c r="J134" s="1651"/>
      <c r="K134" s="1651"/>
      <c r="L134" s="1651"/>
      <c r="M134" s="1651"/>
      <c r="N134" s="1651"/>
      <c r="O134" s="1651"/>
      <c r="P134" s="1651"/>
    </row>
    <row r="136" spans="1:16" s="542" customFormat="1">
      <c r="A136" s="542" t="s">
        <v>249</v>
      </c>
    </row>
    <row r="137" spans="1:16" s="542" customFormat="1">
      <c r="A137" s="543" t="s">
        <v>250</v>
      </c>
      <c r="B137" s="544" t="s">
        <v>251</v>
      </c>
      <c r="C137" s="544"/>
    </row>
  </sheetData>
  <autoFilter ref="A4:C4"/>
  <mergeCells count="5">
    <mergeCell ref="A134:P134"/>
    <mergeCell ref="A1:L1"/>
    <mergeCell ref="D3:G3"/>
    <mergeCell ref="H3:K3"/>
    <mergeCell ref="L3:O3"/>
  </mergeCells>
  <hyperlinks>
    <hyperlink ref="B137" r:id="rId1"/>
  </hyperlinks>
  <pageMargins left="0.75" right="0.75" top="1" bottom="1" header="0.5" footer="0.5"/>
  <pageSetup orientation="portrait" r:id="rId2"/>
</worksheet>
</file>

<file path=xl/worksheets/sheet12.xml><?xml version="1.0" encoding="utf-8"?>
<worksheet xmlns="http://schemas.openxmlformats.org/spreadsheetml/2006/main" xmlns:r="http://schemas.openxmlformats.org/officeDocument/2006/relationships">
  <dimension ref="A1:AM138"/>
  <sheetViews>
    <sheetView workbookViewId="0">
      <pane ySplit="5" topLeftCell="A6" activePane="bottomLeft" state="frozen"/>
      <selection pane="bottomLeft" activeCell="AL135" sqref="AL135"/>
    </sheetView>
  </sheetViews>
  <sheetFormatPr defaultRowHeight="15.75"/>
  <cols>
    <col min="1" max="1" width="9.375" style="756" customWidth="1"/>
    <col min="2" max="2" width="30.125" style="756" customWidth="1"/>
    <col min="3" max="3" width="14.5" style="756" customWidth="1"/>
    <col min="4" max="19" width="13.25" style="756" customWidth="1"/>
    <col min="20" max="20" width="2.875" style="756" customWidth="1"/>
    <col min="21" max="29" width="12.25" style="756" customWidth="1"/>
    <col min="30" max="30" width="3.375" style="756" customWidth="1"/>
    <col min="31" max="39" width="12.25" style="756" customWidth="1"/>
    <col min="40" max="16384" width="9" style="756"/>
  </cols>
  <sheetData>
    <row r="1" spans="1:39">
      <c r="A1" s="757" t="s">
        <v>1024</v>
      </c>
      <c r="B1" s="757"/>
      <c r="C1" s="757"/>
      <c r="D1" s="757"/>
      <c r="E1" s="757"/>
      <c r="F1" s="757"/>
      <c r="G1" s="757"/>
      <c r="H1" s="757"/>
      <c r="I1" s="757"/>
      <c r="J1" s="757"/>
      <c r="K1" s="757"/>
      <c r="L1" s="757"/>
      <c r="M1" s="757"/>
      <c r="N1" s="757"/>
      <c r="O1" s="757"/>
      <c r="P1" s="757"/>
      <c r="Q1" s="757"/>
      <c r="R1" s="757"/>
    </row>
    <row r="2" spans="1:39" ht="16.5" thickBot="1">
      <c r="B2" s="757"/>
      <c r="C2" s="757"/>
      <c r="D2" s="757"/>
      <c r="E2" s="757"/>
      <c r="F2" s="757"/>
      <c r="G2" s="757"/>
      <c r="H2" s="757"/>
      <c r="I2" s="757"/>
      <c r="J2" s="757"/>
      <c r="K2" s="757"/>
      <c r="L2" s="757"/>
      <c r="M2" s="757"/>
      <c r="N2" s="757"/>
      <c r="O2" s="757"/>
      <c r="P2" s="757"/>
      <c r="Q2" s="757"/>
      <c r="R2" s="757"/>
      <c r="S2" s="757"/>
      <c r="U2" s="1667" t="s">
        <v>1113</v>
      </c>
      <c r="V2" s="1667"/>
      <c r="W2" s="1667"/>
      <c r="X2" s="1667"/>
      <c r="Y2" s="1667"/>
      <c r="Z2" s="1667"/>
      <c r="AA2" s="1667"/>
      <c r="AB2" s="1667"/>
      <c r="AC2" s="1667"/>
      <c r="AE2" s="1667" t="s">
        <v>1114</v>
      </c>
      <c r="AF2" s="1667"/>
      <c r="AG2" s="1667"/>
      <c r="AH2" s="1667"/>
      <c r="AI2" s="1667"/>
      <c r="AJ2" s="1667"/>
      <c r="AK2" s="1667"/>
      <c r="AL2" s="1667"/>
      <c r="AM2" s="1667"/>
    </row>
    <row r="3" spans="1:39" ht="19.5" customHeight="1">
      <c r="B3" s="758"/>
      <c r="C3" s="758"/>
      <c r="D3" s="1657" t="s">
        <v>965</v>
      </c>
      <c r="E3" s="1658"/>
      <c r="F3" s="1658"/>
      <c r="G3" s="1658"/>
      <c r="H3" s="1659"/>
      <c r="I3" s="1660" t="s">
        <v>1104</v>
      </c>
      <c r="J3" s="1661"/>
      <c r="K3" s="1661"/>
      <c r="L3" s="1661"/>
      <c r="M3" s="1661"/>
      <c r="N3" s="1660" t="s">
        <v>814</v>
      </c>
      <c r="O3" s="1661"/>
      <c r="P3" s="1661"/>
      <c r="Q3" s="1661"/>
      <c r="R3" s="1662"/>
      <c r="S3" s="759"/>
      <c r="T3" s="725"/>
      <c r="U3" s="1664" t="s">
        <v>972</v>
      </c>
      <c r="V3" s="1665"/>
      <c r="W3" s="1666"/>
      <c r="X3" s="1664" t="s">
        <v>1103</v>
      </c>
      <c r="Y3" s="1665"/>
      <c r="Z3" s="1666"/>
      <c r="AA3" s="1664" t="s">
        <v>7</v>
      </c>
      <c r="AB3" s="1665"/>
      <c r="AC3" s="1666"/>
      <c r="AE3" s="1664" t="s">
        <v>972</v>
      </c>
      <c r="AF3" s="1665"/>
      <c r="AG3" s="1666"/>
      <c r="AH3" s="1664" t="s">
        <v>1103</v>
      </c>
      <c r="AI3" s="1665"/>
      <c r="AJ3" s="1666"/>
      <c r="AK3" s="1664" t="s">
        <v>7</v>
      </c>
      <c r="AL3" s="1665"/>
      <c r="AM3" s="1666"/>
    </row>
    <row r="4" spans="1:39" ht="48" thickBot="1">
      <c r="A4" s="760" t="s">
        <v>4</v>
      </c>
      <c r="B4" s="761" t="s">
        <v>5</v>
      </c>
      <c r="C4" s="761" t="s">
        <v>252</v>
      </c>
      <c r="D4" s="762" t="s">
        <v>981</v>
      </c>
      <c r="E4" s="763" t="s">
        <v>2</v>
      </c>
      <c r="F4" s="763" t="s">
        <v>708</v>
      </c>
      <c r="G4" s="763" t="s">
        <v>1025</v>
      </c>
      <c r="H4" s="764" t="s">
        <v>1101</v>
      </c>
      <c r="I4" s="762" t="s">
        <v>1102</v>
      </c>
      <c r="J4" s="763" t="s">
        <v>2</v>
      </c>
      <c r="K4" s="763" t="s">
        <v>708</v>
      </c>
      <c r="L4" s="763" t="s">
        <v>1025</v>
      </c>
      <c r="M4" s="764" t="s">
        <v>1101</v>
      </c>
      <c r="N4" s="762" t="s">
        <v>613</v>
      </c>
      <c r="O4" s="763" t="s">
        <v>2</v>
      </c>
      <c r="P4" s="763" t="s">
        <v>708</v>
      </c>
      <c r="Q4" s="763" t="s">
        <v>1025</v>
      </c>
      <c r="R4" s="764" t="s">
        <v>1101</v>
      </c>
      <c r="S4" s="765" t="s">
        <v>289</v>
      </c>
      <c r="U4" s="868" t="s">
        <v>2</v>
      </c>
      <c r="V4" s="763" t="s">
        <v>708</v>
      </c>
      <c r="W4" s="869" t="s">
        <v>1025</v>
      </c>
      <c r="X4" s="868" t="s">
        <v>2</v>
      </c>
      <c r="Y4" s="763" t="s">
        <v>708</v>
      </c>
      <c r="Z4" s="869" t="s">
        <v>1025</v>
      </c>
      <c r="AA4" s="868" t="s">
        <v>2</v>
      </c>
      <c r="AB4" s="763" t="s">
        <v>708</v>
      </c>
      <c r="AC4" s="869" t="s">
        <v>1025</v>
      </c>
      <c r="AE4" s="868" t="s">
        <v>2</v>
      </c>
      <c r="AF4" s="763" t="s">
        <v>708</v>
      </c>
      <c r="AG4" s="869" t="s">
        <v>1025</v>
      </c>
      <c r="AH4" s="868" t="s">
        <v>2</v>
      </c>
      <c r="AI4" s="763" t="s">
        <v>708</v>
      </c>
      <c r="AJ4" s="869" t="s">
        <v>1025</v>
      </c>
      <c r="AK4" s="868" t="s">
        <v>2</v>
      </c>
      <c r="AL4" s="763" t="s">
        <v>708</v>
      </c>
      <c r="AM4" s="869" t="s">
        <v>1025</v>
      </c>
    </row>
    <row r="5" spans="1:39" ht="16.5" thickBot="1">
      <c r="A5" s="897">
        <v>999</v>
      </c>
      <c r="B5" s="867" t="s">
        <v>9</v>
      </c>
      <c r="C5" s="766"/>
      <c r="D5" s="767">
        <f>SUM(D6:D125)</f>
        <v>113069</v>
      </c>
      <c r="E5" s="768">
        <f t="shared" ref="E5:M5" si="0">SUM(E6:E125)</f>
        <v>61347</v>
      </c>
      <c r="F5" s="769">
        <f t="shared" si="0"/>
        <v>36824</v>
      </c>
      <c r="G5" s="769">
        <f t="shared" si="0"/>
        <v>12058</v>
      </c>
      <c r="H5" s="770">
        <f t="shared" si="0"/>
        <v>2840</v>
      </c>
      <c r="I5" s="771">
        <f t="shared" si="0"/>
        <v>339942</v>
      </c>
      <c r="J5" s="772">
        <f t="shared" si="0"/>
        <v>173502</v>
      </c>
      <c r="K5" s="772">
        <f t="shared" si="0"/>
        <v>138131</v>
      </c>
      <c r="L5" s="769">
        <f t="shared" si="0"/>
        <v>18125</v>
      </c>
      <c r="M5" s="770">
        <f t="shared" si="0"/>
        <v>10184</v>
      </c>
      <c r="N5" s="771">
        <f t="shared" ref="N5:S5" si="1">SUM(N6:N125)</f>
        <v>695940</v>
      </c>
      <c r="O5" s="772">
        <f t="shared" si="1"/>
        <v>235615</v>
      </c>
      <c r="P5" s="772">
        <f t="shared" si="1"/>
        <v>261288</v>
      </c>
      <c r="Q5" s="769">
        <f t="shared" si="1"/>
        <v>87528</v>
      </c>
      <c r="R5" s="770">
        <f t="shared" si="1"/>
        <v>111509</v>
      </c>
      <c r="S5" s="773">
        <f t="shared" si="1"/>
        <v>1148959</v>
      </c>
      <c r="U5" s="870">
        <f>ROUND(H5*'Hispanic Adjustment'!P4,0)</f>
        <v>2522</v>
      </c>
      <c r="V5" s="774">
        <f>ROUND(H5*'Hispanic Adjustment'!Q4,0)</f>
        <v>205</v>
      </c>
      <c r="W5" s="871">
        <f>ROUND(H5*'Hispanic Adjustment'!R4,0)</f>
        <v>116</v>
      </c>
      <c r="X5" s="870">
        <f>ROUND(M5*'Hispanic Adjustment'!S4,0)</f>
        <v>8787</v>
      </c>
      <c r="Y5" s="774">
        <f>ROUND(M5*'Hispanic Adjustment'!T4,0)</f>
        <v>826</v>
      </c>
      <c r="Z5" s="871">
        <f>ROUND(M5*'Hispanic Adjustment'!U4,0)</f>
        <v>585</v>
      </c>
      <c r="AA5" s="870">
        <f>ROUND(R5*'Hispanic Adjustment'!V4,0)</f>
        <v>93108</v>
      </c>
      <c r="AB5" s="774">
        <f>ROUND(R5*'Hispanic Adjustment'!W4,0)</f>
        <v>11701</v>
      </c>
      <c r="AC5" s="871">
        <f>ROUND(R5*'Hispanic Adjustment'!X4,0)</f>
        <v>6861</v>
      </c>
      <c r="AE5" s="904">
        <f t="shared" ref="AE5:AM5" si="2">SUM(AE6:AE125)</f>
        <v>63868</v>
      </c>
      <c r="AF5" s="905">
        <f t="shared" si="2"/>
        <v>37017</v>
      </c>
      <c r="AG5" s="906">
        <f t="shared" si="2"/>
        <v>12181</v>
      </c>
      <c r="AH5" s="904">
        <f t="shared" si="2"/>
        <v>182126</v>
      </c>
      <c r="AI5" s="905">
        <f t="shared" si="2"/>
        <v>139109</v>
      </c>
      <c r="AJ5" s="906">
        <f t="shared" si="2"/>
        <v>18724</v>
      </c>
      <c r="AK5" s="904">
        <f t="shared" si="2"/>
        <v>329560</v>
      </c>
      <c r="AL5" s="905">
        <f t="shared" si="2"/>
        <v>272334</v>
      </c>
      <c r="AM5" s="906">
        <f t="shared" si="2"/>
        <v>94237</v>
      </c>
    </row>
    <row r="6" spans="1:39">
      <c r="A6" s="775" t="s">
        <v>10</v>
      </c>
      <c r="B6" s="776" t="s">
        <v>11</v>
      </c>
      <c r="C6" s="776" t="s">
        <v>271</v>
      </c>
      <c r="D6" s="777">
        <v>1016</v>
      </c>
      <c r="E6" s="778">
        <v>447</v>
      </c>
      <c r="F6" s="778">
        <v>533</v>
      </c>
      <c r="G6" s="778">
        <f t="shared" ref="G6:G37" si="3">D6-E6-F6-H6</f>
        <v>28</v>
      </c>
      <c r="H6" s="779">
        <v>8</v>
      </c>
      <c r="I6" s="780">
        <v>2040</v>
      </c>
      <c r="J6" s="781">
        <v>861</v>
      </c>
      <c r="K6" s="781">
        <v>1110</v>
      </c>
      <c r="L6" s="781">
        <f t="shared" ref="L6:L37" si="4">I6-J6-K6-M6</f>
        <v>18</v>
      </c>
      <c r="M6" s="782">
        <v>51</v>
      </c>
      <c r="N6" s="780">
        <v>4973</v>
      </c>
      <c r="O6" s="781">
        <v>1333</v>
      </c>
      <c r="P6" s="781">
        <v>2281</v>
      </c>
      <c r="Q6" s="783">
        <f t="shared" ref="Q6:Q37" si="5">N6-O6-P6-R6</f>
        <v>102</v>
      </c>
      <c r="R6" s="784">
        <v>1257</v>
      </c>
      <c r="S6" s="785">
        <v>8029</v>
      </c>
      <c r="T6" s="786"/>
      <c r="U6" s="872">
        <f>ROUND(H6*'Hispanic Adjustment'!P5,0)</f>
        <v>7</v>
      </c>
      <c r="V6" s="756">
        <f>ROUND(H6*'Hispanic Adjustment'!Q5,0)</f>
        <v>1</v>
      </c>
      <c r="W6" s="873">
        <f>ROUND(H6*'Hispanic Adjustment'!R5,0)</f>
        <v>0</v>
      </c>
      <c r="X6" s="872">
        <f>ROUND(M6*'Hispanic Adjustment'!S5,0)</f>
        <v>47</v>
      </c>
      <c r="Y6" s="756">
        <f>ROUND(M6*'Hispanic Adjustment'!T5,0)</f>
        <v>2</v>
      </c>
      <c r="Z6" s="873">
        <f>ROUND(M6*'Hispanic Adjustment'!U5,0)</f>
        <v>2</v>
      </c>
      <c r="AA6" s="872">
        <f>ROUND(R6*'Hispanic Adjustment'!V5,0)</f>
        <v>1135</v>
      </c>
      <c r="AB6" s="756">
        <f>ROUND(R6*'Hispanic Adjustment'!W5,0)</f>
        <v>58</v>
      </c>
      <c r="AC6" s="873">
        <f>ROUND(R6*'Hispanic Adjustment'!X5,0)</f>
        <v>64</v>
      </c>
      <c r="AE6" s="907">
        <f>U6+E6</f>
        <v>454</v>
      </c>
      <c r="AF6" s="908">
        <f>V6+F6</f>
        <v>534</v>
      </c>
      <c r="AG6" s="909">
        <f>W6+G6</f>
        <v>28</v>
      </c>
      <c r="AH6" s="907">
        <f>X6+J6</f>
        <v>908</v>
      </c>
      <c r="AI6" s="908">
        <f>Y6+K6</f>
        <v>1112</v>
      </c>
      <c r="AJ6" s="909">
        <f>Z6+L6</f>
        <v>20</v>
      </c>
      <c r="AK6" s="907">
        <f>AA6+O6</f>
        <v>2468</v>
      </c>
      <c r="AL6" s="908">
        <f>AB6+P6</f>
        <v>2339</v>
      </c>
      <c r="AM6" s="910">
        <f>AC6+Q6</f>
        <v>166</v>
      </c>
    </row>
    <row r="7" spans="1:39">
      <c r="A7" s="775" t="s">
        <v>12</v>
      </c>
      <c r="B7" s="776" t="s">
        <v>13</v>
      </c>
      <c r="C7" s="776" t="s">
        <v>272</v>
      </c>
      <c r="D7" s="777">
        <v>970</v>
      </c>
      <c r="E7" s="778">
        <v>659</v>
      </c>
      <c r="F7" s="778">
        <v>214</v>
      </c>
      <c r="G7" s="778">
        <f t="shared" si="3"/>
        <v>85</v>
      </c>
      <c r="H7" s="779">
        <v>12</v>
      </c>
      <c r="I7" s="780">
        <v>2339</v>
      </c>
      <c r="J7" s="781">
        <v>1516</v>
      </c>
      <c r="K7" s="781">
        <v>615</v>
      </c>
      <c r="L7" s="781">
        <f t="shared" si="4"/>
        <v>167</v>
      </c>
      <c r="M7" s="782">
        <v>41</v>
      </c>
      <c r="N7" s="780">
        <v>5533</v>
      </c>
      <c r="O7" s="781">
        <v>2332</v>
      </c>
      <c r="P7" s="781">
        <v>1401</v>
      </c>
      <c r="Q7" s="783">
        <f t="shared" si="5"/>
        <v>800</v>
      </c>
      <c r="R7" s="784">
        <v>1000</v>
      </c>
      <c r="S7" s="785">
        <v>8842</v>
      </c>
      <c r="T7" s="786"/>
      <c r="U7" s="872">
        <f>ROUND(H7*'Hispanic Adjustment'!P6,0)</f>
        <v>11</v>
      </c>
      <c r="V7" s="756">
        <f>ROUND(H7*'Hispanic Adjustment'!Q6,0)</f>
        <v>0</v>
      </c>
      <c r="W7" s="873">
        <f>ROUND(H7*'Hispanic Adjustment'!R6,0)</f>
        <v>0</v>
      </c>
      <c r="X7" s="872">
        <f>ROUND(M7*'Hispanic Adjustment'!S6,0)</f>
        <v>36</v>
      </c>
      <c r="Y7" s="756">
        <f>ROUND(M7*'Hispanic Adjustment'!T6,0)</f>
        <v>3</v>
      </c>
      <c r="Z7" s="873">
        <f>ROUND(M7*'Hispanic Adjustment'!U6,0)</f>
        <v>3</v>
      </c>
      <c r="AA7" s="872">
        <f>ROUND(R7*'Hispanic Adjustment'!V6,0)</f>
        <v>866</v>
      </c>
      <c r="AB7" s="756">
        <f>ROUND(R7*'Hispanic Adjustment'!W6,0)</f>
        <v>67</v>
      </c>
      <c r="AC7" s="873">
        <f>ROUND(R7*'Hispanic Adjustment'!X6,0)</f>
        <v>68</v>
      </c>
      <c r="AE7" s="907">
        <f t="shared" ref="AE7:AE70" si="6">U7+E7</f>
        <v>670</v>
      </c>
      <c r="AF7" s="908">
        <f t="shared" ref="AF7:AF70" si="7">V7+F7</f>
        <v>214</v>
      </c>
      <c r="AG7" s="909">
        <f t="shared" ref="AG7:AG70" si="8">W7+G7</f>
        <v>85</v>
      </c>
      <c r="AH7" s="907">
        <f t="shared" ref="AH7:AH70" si="9">X7+J7</f>
        <v>1552</v>
      </c>
      <c r="AI7" s="908">
        <f t="shared" ref="AI7:AI70" si="10">Y7+K7</f>
        <v>618</v>
      </c>
      <c r="AJ7" s="909">
        <f t="shared" ref="AJ7:AJ70" si="11">Z7+L7</f>
        <v>170</v>
      </c>
      <c r="AK7" s="907">
        <f t="shared" ref="AK7:AK70" si="12">AA7+O7</f>
        <v>3198</v>
      </c>
      <c r="AL7" s="908">
        <f t="shared" ref="AL7:AL70" si="13">AB7+P7</f>
        <v>1468</v>
      </c>
      <c r="AM7" s="910">
        <f t="shared" ref="AM7:AM70" si="14">AC7+Q7</f>
        <v>868</v>
      </c>
    </row>
    <row r="8" spans="1:39">
      <c r="A8" s="775" t="s">
        <v>16</v>
      </c>
      <c r="B8" s="776" t="s">
        <v>307</v>
      </c>
      <c r="C8" s="776" t="s">
        <v>272</v>
      </c>
      <c r="D8" s="777">
        <v>623</v>
      </c>
      <c r="E8" s="778">
        <v>544</v>
      </c>
      <c r="F8" s="778">
        <v>64</v>
      </c>
      <c r="G8" s="778">
        <f t="shared" si="3"/>
        <v>15</v>
      </c>
      <c r="H8" s="779">
        <v>0</v>
      </c>
      <c r="I8" s="780">
        <v>1769</v>
      </c>
      <c r="J8" s="781">
        <v>1547</v>
      </c>
      <c r="K8" s="781">
        <v>183</v>
      </c>
      <c r="L8" s="781">
        <f t="shared" si="4"/>
        <v>30</v>
      </c>
      <c r="M8" s="782">
        <v>9</v>
      </c>
      <c r="N8" s="780">
        <v>2608</v>
      </c>
      <c r="O8" s="781">
        <v>1948</v>
      </c>
      <c r="P8" s="781">
        <v>259</v>
      </c>
      <c r="Q8" s="783">
        <f t="shared" si="5"/>
        <v>305</v>
      </c>
      <c r="R8" s="784">
        <v>96</v>
      </c>
      <c r="S8" s="785">
        <v>5000</v>
      </c>
      <c r="T8" s="786"/>
      <c r="U8" s="872">
        <f>ROUND(H8*'Hispanic Adjustment'!P7,0)</f>
        <v>0</v>
      </c>
      <c r="V8" s="756">
        <f>ROUND(H8*'Hispanic Adjustment'!Q7,0)</f>
        <v>0</v>
      </c>
      <c r="W8" s="873">
        <f>ROUND(H8*'Hispanic Adjustment'!R7,0)</f>
        <v>0</v>
      </c>
      <c r="X8" s="872">
        <f>ROUND(M8*'Hispanic Adjustment'!S7,0)</f>
        <v>8</v>
      </c>
      <c r="Y8" s="756">
        <f>ROUND(M8*'Hispanic Adjustment'!T7,0)</f>
        <v>1</v>
      </c>
      <c r="Z8" s="873">
        <f>ROUND(M8*'Hispanic Adjustment'!U7,0)</f>
        <v>0</v>
      </c>
      <c r="AA8" s="872">
        <f>ROUND(R8*'Hispanic Adjustment'!V7,0)</f>
        <v>87</v>
      </c>
      <c r="AB8" s="756">
        <f>ROUND(R8*'Hispanic Adjustment'!W7,0)</f>
        <v>9</v>
      </c>
      <c r="AC8" s="873">
        <f>ROUND(R8*'Hispanic Adjustment'!X7,0)</f>
        <v>0</v>
      </c>
      <c r="AE8" s="907">
        <f t="shared" si="6"/>
        <v>544</v>
      </c>
      <c r="AF8" s="908">
        <f t="shared" si="7"/>
        <v>64</v>
      </c>
      <c r="AG8" s="909">
        <f t="shared" si="8"/>
        <v>15</v>
      </c>
      <c r="AH8" s="907">
        <f t="shared" si="9"/>
        <v>1555</v>
      </c>
      <c r="AI8" s="908">
        <f t="shared" si="10"/>
        <v>184</v>
      </c>
      <c r="AJ8" s="909">
        <f t="shared" si="11"/>
        <v>30</v>
      </c>
      <c r="AK8" s="907">
        <f t="shared" si="12"/>
        <v>2035</v>
      </c>
      <c r="AL8" s="908">
        <f t="shared" si="13"/>
        <v>268</v>
      </c>
      <c r="AM8" s="910">
        <f t="shared" si="14"/>
        <v>305</v>
      </c>
    </row>
    <row r="9" spans="1:39">
      <c r="A9" s="775" t="s">
        <v>18</v>
      </c>
      <c r="B9" s="776" t="s">
        <v>19</v>
      </c>
      <c r="C9" s="776" t="s">
        <v>273</v>
      </c>
      <c r="D9" s="777">
        <v>327</v>
      </c>
      <c r="E9" s="778">
        <v>126</v>
      </c>
      <c r="F9" s="778">
        <v>195</v>
      </c>
      <c r="G9" s="778">
        <f t="shared" si="3"/>
        <v>4</v>
      </c>
      <c r="H9" s="779">
        <v>2</v>
      </c>
      <c r="I9" s="780">
        <v>858</v>
      </c>
      <c r="J9" s="781">
        <v>556</v>
      </c>
      <c r="K9" s="781">
        <v>287</v>
      </c>
      <c r="L9" s="781">
        <f t="shared" si="4"/>
        <v>11</v>
      </c>
      <c r="M9" s="782">
        <v>4</v>
      </c>
      <c r="N9" s="780">
        <v>1433</v>
      </c>
      <c r="O9" s="781">
        <v>867</v>
      </c>
      <c r="P9" s="781">
        <v>430</v>
      </c>
      <c r="Q9" s="783">
        <f t="shared" si="5"/>
        <v>65</v>
      </c>
      <c r="R9" s="784">
        <v>71</v>
      </c>
      <c r="S9" s="785">
        <v>2618</v>
      </c>
      <c r="T9" s="786"/>
      <c r="U9" s="872">
        <f>ROUND(H9*'Hispanic Adjustment'!P8,0)</f>
        <v>2</v>
      </c>
      <c r="V9" s="756">
        <f>ROUND(H9*'Hispanic Adjustment'!Q8,0)</f>
        <v>0</v>
      </c>
      <c r="W9" s="873">
        <f>ROUND(H9*'Hispanic Adjustment'!R8,0)</f>
        <v>0</v>
      </c>
      <c r="X9" s="872">
        <f>ROUND(M9*'Hispanic Adjustment'!S8,0)</f>
        <v>3</v>
      </c>
      <c r="Y9" s="756">
        <f>ROUND(M9*'Hispanic Adjustment'!T8,0)</f>
        <v>0</v>
      </c>
      <c r="Z9" s="873">
        <f>ROUND(M9*'Hispanic Adjustment'!U8,0)</f>
        <v>1</v>
      </c>
      <c r="AA9" s="872">
        <f>ROUND(R9*'Hispanic Adjustment'!V8,0)</f>
        <v>57</v>
      </c>
      <c r="AB9" s="756">
        <f>ROUND(R9*'Hispanic Adjustment'!W8,0)</f>
        <v>2</v>
      </c>
      <c r="AC9" s="873">
        <f>ROUND(R9*'Hispanic Adjustment'!X8,0)</f>
        <v>12</v>
      </c>
      <c r="AE9" s="907">
        <f t="shared" si="6"/>
        <v>128</v>
      </c>
      <c r="AF9" s="908">
        <f t="shared" si="7"/>
        <v>195</v>
      </c>
      <c r="AG9" s="909">
        <f t="shared" si="8"/>
        <v>4</v>
      </c>
      <c r="AH9" s="907">
        <f t="shared" si="9"/>
        <v>559</v>
      </c>
      <c r="AI9" s="908">
        <f t="shared" si="10"/>
        <v>287</v>
      </c>
      <c r="AJ9" s="909">
        <f t="shared" si="11"/>
        <v>12</v>
      </c>
      <c r="AK9" s="907">
        <f t="shared" si="12"/>
        <v>924</v>
      </c>
      <c r="AL9" s="908">
        <f t="shared" si="13"/>
        <v>432</v>
      </c>
      <c r="AM9" s="910">
        <f t="shared" si="14"/>
        <v>77</v>
      </c>
    </row>
    <row r="10" spans="1:39">
      <c r="A10" s="775" t="s">
        <v>20</v>
      </c>
      <c r="B10" s="776" t="s">
        <v>21</v>
      </c>
      <c r="C10" s="776" t="s">
        <v>272</v>
      </c>
      <c r="D10" s="777">
        <v>659</v>
      </c>
      <c r="E10" s="778">
        <v>406</v>
      </c>
      <c r="F10" s="778">
        <v>227</v>
      </c>
      <c r="G10" s="778">
        <f t="shared" si="3"/>
        <v>25</v>
      </c>
      <c r="H10" s="779">
        <v>1</v>
      </c>
      <c r="I10" s="780">
        <v>1636</v>
      </c>
      <c r="J10" s="781">
        <v>1144</v>
      </c>
      <c r="K10" s="781">
        <v>436</v>
      </c>
      <c r="L10" s="781">
        <f t="shared" si="4"/>
        <v>40</v>
      </c>
      <c r="M10" s="782">
        <v>16</v>
      </c>
      <c r="N10" s="780">
        <v>2979</v>
      </c>
      <c r="O10" s="781">
        <v>1706</v>
      </c>
      <c r="P10" s="781">
        <v>812</v>
      </c>
      <c r="Q10" s="783">
        <f t="shared" si="5"/>
        <v>343</v>
      </c>
      <c r="R10" s="784">
        <v>118</v>
      </c>
      <c r="S10" s="785">
        <v>5274</v>
      </c>
      <c r="T10" s="786"/>
      <c r="U10" s="872">
        <f>ROUND(H10*'Hispanic Adjustment'!P9,0)</f>
        <v>1</v>
      </c>
      <c r="V10" s="756">
        <f>ROUND(H10*'Hispanic Adjustment'!Q9,0)</f>
        <v>0</v>
      </c>
      <c r="W10" s="873">
        <f>ROUND(H10*'Hispanic Adjustment'!R9,0)</f>
        <v>0</v>
      </c>
      <c r="X10" s="872">
        <f>ROUND(M10*'Hispanic Adjustment'!S9,0)</f>
        <v>14</v>
      </c>
      <c r="Y10" s="756">
        <f>ROUND(M10*'Hispanic Adjustment'!T9,0)</f>
        <v>2</v>
      </c>
      <c r="Z10" s="873">
        <f>ROUND(M10*'Hispanic Adjustment'!U9,0)</f>
        <v>1</v>
      </c>
      <c r="AA10" s="872">
        <f>ROUND(R10*'Hispanic Adjustment'!V9,0)</f>
        <v>108</v>
      </c>
      <c r="AB10" s="756">
        <f>ROUND(R10*'Hispanic Adjustment'!W9,0)</f>
        <v>9</v>
      </c>
      <c r="AC10" s="873">
        <f>ROUND(R10*'Hispanic Adjustment'!X9,0)</f>
        <v>1</v>
      </c>
      <c r="AE10" s="907">
        <f t="shared" si="6"/>
        <v>407</v>
      </c>
      <c r="AF10" s="908">
        <f t="shared" si="7"/>
        <v>227</v>
      </c>
      <c r="AG10" s="909">
        <f t="shared" si="8"/>
        <v>25</v>
      </c>
      <c r="AH10" s="907">
        <f t="shared" si="9"/>
        <v>1158</v>
      </c>
      <c r="AI10" s="908">
        <f t="shared" si="10"/>
        <v>438</v>
      </c>
      <c r="AJ10" s="909">
        <f t="shared" si="11"/>
        <v>41</v>
      </c>
      <c r="AK10" s="907">
        <f t="shared" si="12"/>
        <v>1814</v>
      </c>
      <c r="AL10" s="908">
        <f t="shared" si="13"/>
        <v>821</v>
      </c>
      <c r="AM10" s="910">
        <f t="shared" si="14"/>
        <v>344</v>
      </c>
    </row>
    <row r="11" spans="1:39">
      <c r="A11" s="775" t="s">
        <v>22</v>
      </c>
      <c r="B11" s="776" t="s">
        <v>23</v>
      </c>
      <c r="C11" s="776" t="s">
        <v>272</v>
      </c>
      <c r="D11" s="777">
        <v>404</v>
      </c>
      <c r="E11" s="778">
        <v>237</v>
      </c>
      <c r="F11" s="778">
        <v>158</v>
      </c>
      <c r="G11" s="778">
        <f t="shared" si="3"/>
        <v>9</v>
      </c>
      <c r="H11" s="779">
        <v>0</v>
      </c>
      <c r="I11" s="780">
        <v>1087</v>
      </c>
      <c r="J11" s="781">
        <v>686</v>
      </c>
      <c r="K11" s="781">
        <v>380</v>
      </c>
      <c r="L11" s="781">
        <f t="shared" si="4"/>
        <v>10</v>
      </c>
      <c r="M11" s="782">
        <v>11</v>
      </c>
      <c r="N11" s="780">
        <v>1748</v>
      </c>
      <c r="O11" s="781">
        <v>998</v>
      </c>
      <c r="P11" s="781">
        <v>642</v>
      </c>
      <c r="Q11" s="783">
        <f t="shared" si="5"/>
        <v>80</v>
      </c>
      <c r="R11" s="784">
        <v>28</v>
      </c>
      <c r="S11" s="785">
        <v>3239</v>
      </c>
      <c r="T11" s="786"/>
      <c r="U11" s="872">
        <f>ROUND(H11*'Hispanic Adjustment'!P10,0)</f>
        <v>0</v>
      </c>
      <c r="V11" s="756">
        <f>ROUND(H11*'Hispanic Adjustment'!Q10,0)</f>
        <v>0</v>
      </c>
      <c r="W11" s="873">
        <f>ROUND(H11*'Hispanic Adjustment'!R10,0)</f>
        <v>0</v>
      </c>
      <c r="X11" s="872">
        <f>ROUND(M11*'Hispanic Adjustment'!S10,0)</f>
        <v>9</v>
      </c>
      <c r="Y11" s="756">
        <f>ROUND(M11*'Hispanic Adjustment'!T10,0)</f>
        <v>1</v>
      </c>
      <c r="Z11" s="873">
        <f>ROUND(M11*'Hispanic Adjustment'!U10,0)</f>
        <v>1</v>
      </c>
      <c r="AA11" s="872">
        <f>ROUND(R11*'Hispanic Adjustment'!V10,0)</f>
        <v>24</v>
      </c>
      <c r="AB11" s="756">
        <f>ROUND(R11*'Hispanic Adjustment'!W10,0)</f>
        <v>3</v>
      </c>
      <c r="AC11" s="873">
        <f>ROUND(R11*'Hispanic Adjustment'!X10,0)</f>
        <v>1</v>
      </c>
      <c r="AE11" s="907">
        <f t="shared" si="6"/>
        <v>237</v>
      </c>
      <c r="AF11" s="908">
        <f t="shared" si="7"/>
        <v>158</v>
      </c>
      <c r="AG11" s="909">
        <f t="shared" si="8"/>
        <v>9</v>
      </c>
      <c r="AH11" s="907">
        <f t="shared" si="9"/>
        <v>695</v>
      </c>
      <c r="AI11" s="908">
        <f t="shared" si="10"/>
        <v>381</v>
      </c>
      <c r="AJ11" s="909">
        <f t="shared" si="11"/>
        <v>11</v>
      </c>
      <c r="AK11" s="907">
        <f t="shared" si="12"/>
        <v>1022</v>
      </c>
      <c r="AL11" s="908">
        <f t="shared" si="13"/>
        <v>645</v>
      </c>
      <c r="AM11" s="910">
        <f t="shared" si="14"/>
        <v>81</v>
      </c>
    </row>
    <row r="12" spans="1:39">
      <c r="A12" s="775" t="s">
        <v>24</v>
      </c>
      <c r="B12" s="776" t="s">
        <v>25</v>
      </c>
      <c r="C12" s="776" t="s">
        <v>274</v>
      </c>
      <c r="D12" s="777">
        <v>2010</v>
      </c>
      <c r="E12" s="778">
        <v>735</v>
      </c>
      <c r="F12" s="778">
        <v>436</v>
      </c>
      <c r="G12" s="778">
        <f t="shared" si="3"/>
        <v>464</v>
      </c>
      <c r="H12" s="779">
        <v>375</v>
      </c>
      <c r="I12" s="780">
        <v>2430</v>
      </c>
      <c r="J12" s="781">
        <v>775</v>
      </c>
      <c r="K12" s="781">
        <v>1034</v>
      </c>
      <c r="L12" s="781">
        <f t="shared" si="4"/>
        <v>298</v>
      </c>
      <c r="M12" s="782">
        <v>323</v>
      </c>
      <c r="N12" s="780">
        <v>7782</v>
      </c>
      <c r="O12" s="781">
        <v>537</v>
      </c>
      <c r="P12" s="781">
        <v>1627</v>
      </c>
      <c r="Q12" s="783">
        <f t="shared" si="5"/>
        <v>1356</v>
      </c>
      <c r="R12" s="784">
        <v>4262</v>
      </c>
      <c r="S12" s="785">
        <v>12222</v>
      </c>
      <c r="T12" s="786"/>
      <c r="U12" s="872">
        <f>ROUND(H12*'Hispanic Adjustment'!P11,0)</f>
        <v>346</v>
      </c>
      <c r="V12" s="756">
        <f>ROUND(H12*'Hispanic Adjustment'!Q11,0)</f>
        <v>13</v>
      </c>
      <c r="W12" s="873">
        <f>ROUND(H12*'Hispanic Adjustment'!R11,0)</f>
        <v>15</v>
      </c>
      <c r="X12" s="872">
        <f>ROUND(M12*'Hispanic Adjustment'!S11,0)</f>
        <v>289</v>
      </c>
      <c r="Y12" s="756">
        <f>ROUND(M12*'Hispanic Adjustment'!T11,0)</f>
        <v>14</v>
      </c>
      <c r="Z12" s="873">
        <f>ROUND(M12*'Hispanic Adjustment'!U11,0)</f>
        <v>21</v>
      </c>
      <c r="AA12" s="872">
        <f>ROUND(R12*'Hispanic Adjustment'!V11,0)</f>
        <v>3740</v>
      </c>
      <c r="AB12" s="756">
        <f>ROUND(R12*'Hispanic Adjustment'!W11,0)</f>
        <v>226</v>
      </c>
      <c r="AC12" s="873">
        <f>ROUND(R12*'Hispanic Adjustment'!X11,0)</f>
        <v>296</v>
      </c>
      <c r="AE12" s="907">
        <f t="shared" si="6"/>
        <v>1081</v>
      </c>
      <c r="AF12" s="908">
        <f t="shared" si="7"/>
        <v>449</v>
      </c>
      <c r="AG12" s="909">
        <f t="shared" si="8"/>
        <v>479</v>
      </c>
      <c r="AH12" s="907">
        <f t="shared" si="9"/>
        <v>1064</v>
      </c>
      <c r="AI12" s="908">
        <f t="shared" si="10"/>
        <v>1048</v>
      </c>
      <c r="AJ12" s="909">
        <f t="shared" si="11"/>
        <v>319</v>
      </c>
      <c r="AK12" s="907">
        <f t="shared" si="12"/>
        <v>4277</v>
      </c>
      <c r="AL12" s="908">
        <f t="shared" si="13"/>
        <v>1853</v>
      </c>
      <c r="AM12" s="910">
        <f t="shared" si="14"/>
        <v>1652</v>
      </c>
    </row>
    <row r="13" spans="1:39">
      <c r="A13" s="775" t="s">
        <v>26</v>
      </c>
      <c r="B13" s="776" t="s">
        <v>908</v>
      </c>
      <c r="C13" s="776" t="s">
        <v>272</v>
      </c>
      <c r="D13" s="777">
        <v>1931</v>
      </c>
      <c r="E13" s="778">
        <v>1701</v>
      </c>
      <c r="F13" s="778">
        <v>167</v>
      </c>
      <c r="G13" s="778">
        <f t="shared" si="3"/>
        <v>56</v>
      </c>
      <c r="H13" s="779">
        <v>7</v>
      </c>
      <c r="I13" s="780">
        <v>6514</v>
      </c>
      <c r="J13" s="781">
        <v>5371</v>
      </c>
      <c r="K13" s="781">
        <v>846</v>
      </c>
      <c r="L13" s="781">
        <f t="shared" si="4"/>
        <v>221</v>
      </c>
      <c r="M13" s="782">
        <v>76</v>
      </c>
      <c r="N13" s="780">
        <v>11274</v>
      </c>
      <c r="O13" s="781">
        <v>7910</v>
      </c>
      <c r="P13" s="781">
        <v>1531</v>
      </c>
      <c r="Q13" s="783">
        <f t="shared" si="5"/>
        <v>1009</v>
      </c>
      <c r="R13" s="784">
        <v>824</v>
      </c>
      <c r="S13" s="785">
        <v>19720</v>
      </c>
      <c r="T13" s="786"/>
      <c r="U13" s="872">
        <f>ROUND(H13*'Hispanic Adjustment'!P12,0)</f>
        <v>6</v>
      </c>
      <c r="V13" s="756">
        <f>ROUND(H13*'Hispanic Adjustment'!Q12,0)</f>
        <v>1</v>
      </c>
      <c r="W13" s="873">
        <f>ROUND(H13*'Hispanic Adjustment'!R12,0)</f>
        <v>1</v>
      </c>
      <c r="X13" s="872">
        <f>ROUND(M13*'Hispanic Adjustment'!S12,0)</f>
        <v>67</v>
      </c>
      <c r="Y13" s="756">
        <f>ROUND(M13*'Hispanic Adjustment'!T12,0)</f>
        <v>6</v>
      </c>
      <c r="Z13" s="873">
        <f>ROUND(M13*'Hispanic Adjustment'!U12,0)</f>
        <v>5</v>
      </c>
      <c r="AA13" s="872">
        <f>ROUND(R13*'Hispanic Adjustment'!V12,0)</f>
        <v>718</v>
      </c>
      <c r="AB13" s="756">
        <f>ROUND(R13*'Hispanic Adjustment'!W12,0)</f>
        <v>73</v>
      </c>
      <c r="AC13" s="873">
        <f>ROUND(R13*'Hispanic Adjustment'!X12,0)</f>
        <v>48</v>
      </c>
      <c r="AE13" s="907">
        <f t="shared" si="6"/>
        <v>1707</v>
      </c>
      <c r="AF13" s="908">
        <f t="shared" si="7"/>
        <v>168</v>
      </c>
      <c r="AG13" s="909">
        <f t="shared" si="8"/>
        <v>57</v>
      </c>
      <c r="AH13" s="907">
        <f t="shared" si="9"/>
        <v>5438</v>
      </c>
      <c r="AI13" s="908">
        <f t="shared" si="10"/>
        <v>852</v>
      </c>
      <c r="AJ13" s="909">
        <f t="shared" si="11"/>
        <v>226</v>
      </c>
      <c r="AK13" s="907">
        <f t="shared" si="12"/>
        <v>8628</v>
      </c>
      <c r="AL13" s="908">
        <f t="shared" si="13"/>
        <v>1604</v>
      </c>
      <c r="AM13" s="910">
        <f t="shared" si="14"/>
        <v>1057</v>
      </c>
    </row>
    <row r="14" spans="1:39">
      <c r="A14" s="775" t="s">
        <v>27</v>
      </c>
      <c r="B14" s="776" t="s">
        <v>28</v>
      </c>
      <c r="C14" s="776" t="s">
        <v>272</v>
      </c>
      <c r="D14" s="777">
        <v>112</v>
      </c>
      <c r="E14" s="778">
        <v>98</v>
      </c>
      <c r="F14" s="778">
        <v>13</v>
      </c>
      <c r="G14" s="778">
        <f t="shared" si="3"/>
        <v>1</v>
      </c>
      <c r="H14" s="779">
        <v>0</v>
      </c>
      <c r="I14" s="780">
        <v>202</v>
      </c>
      <c r="J14" s="781">
        <v>181</v>
      </c>
      <c r="K14" s="781">
        <v>12</v>
      </c>
      <c r="L14" s="781">
        <f t="shared" si="4"/>
        <v>7</v>
      </c>
      <c r="M14" s="782">
        <v>2</v>
      </c>
      <c r="N14" s="780">
        <v>328</v>
      </c>
      <c r="O14" s="781">
        <v>276</v>
      </c>
      <c r="P14" s="781">
        <v>15</v>
      </c>
      <c r="Q14" s="783">
        <f t="shared" si="5"/>
        <v>22</v>
      </c>
      <c r="R14" s="784">
        <v>15</v>
      </c>
      <c r="S14" s="785">
        <v>642</v>
      </c>
      <c r="T14" s="786"/>
      <c r="U14" s="872">
        <f>ROUND(H14*'Hispanic Adjustment'!P13,0)</f>
        <v>0</v>
      </c>
      <c r="V14" s="756">
        <f>ROUND(H14*'Hispanic Adjustment'!Q13,0)</f>
        <v>0</v>
      </c>
      <c r="W14" s="873">
        <f>ROUND(H14*'Hispanic Adjustment'!R13,0)</f>
        <v>0</v>
      </c>
      <c r="X14" s="872">
        <f>ROUND(M14*'Hispanic Adjustment'!S13,0)</f>
        <v>2</v>
      </c>
      <c r="Y14" s="756">
        <f>ROUND(M14*'Hispanic Adjustment'!T13,0)</f>
        <v>0</v>
      </c>
      <c r="Z14" s="873">
        <f>ROUND(M14*'Hispanic Adjustment'!U13,0)</f>
        <v>0</v>
      </c>
      <c r="AA14" s="872">
        <f>ROUND(R14*'Hispanic Adjustment'!V13,0)</f>
        <v>11</v>
      </c>
      <c r="AB14" s="756">
        <f>ROUND(R14*'Hispanic Adjustment'!W13,0)</f>
        <v>4</v>
      </c>
      <c r="AC14" s="873">
        <f>ROUND(R14*'Hispanic Adjustment'!X13,0)</f>
        <v>0</v>
      </c>
      <c r="AE14" s="907">
        <f t="shared" si="6"/>
        <v>98</v>
      </c>
      <c r="AF14" s="908">
        <f t="shared" si="7"/>
        <v>13</v>
      </c>
      <c r="AG14" s="909">
        <f t="shared" si="8"/>
        <v>1</v>
      </c>
      <c r="AH14" s="907">
        <f t="shared" si="9"/>
        <v>183</v>
      </c>
      <c r="AI14" s="908">
        <f t="shared" si="10"/>
        <v>12</v>
      </c>
      <c r="AJ14" s="909">
        <f t="shared" si="11"/>
        <v>7</v>
      </c>
      <c r="AK14" s="907">
        <f t="shared" si="12"/>
        <v>287</v>
      </c>
      <c r="AL14" s="908">
        <f t="shared" si="13"/>
        <v>19</v>
      </c>
      <c r="AM14" s="910">
        <f t="shared" si="14"/>
        <v>22</v>
      </c>
    </row>
    <row r="15" spans="1:39">
      <c r="A15" s="775" t="s">
        <v>29</v>
      </c>
      <c r="B15" s="776" t="s">
        <v>309</v>
      </c>
      <c r="C15" s="776" t="s">
        <v>272</v>
      </c>
      <c r="D15" s="777">
        <v>951</v>
      </c>
      <c r="E15" s="778">
        <v>745</v>
      </c>
      <c r="F15" s="778">
        <v>168</v>
      </c>
      <c r="G15" s="778">
        <f t="shared" si="3"/>
        <v>36</v>
      </c>
      <c r="H15" s="779">
        <v>2</v>
      </c>
      <c r="I15" s="780">
        <v>3193</v>
      </c>
      <c r="J15" s="781">
        <v>2593</v>
      </c>
      <c r="K15" s="781">
        <v>487</v>
      </c>
      <c r="L15" s="781">
        <f t="shared" si="4"/>
        <v>79</v>
      </c>
      <c r="M15" s="782">
        <v>34</v>
      </c>
      <c r="N15" s="780">
        <v>5494</v>
      </c>
      <c r="O15" s="781">
        <v>4033</v>
      </c>
      <c r="P15" s="781">
        <v>768</v>
      </c>
      <c r="Q15" s="783">
        <f t="shared" si="5"/>
        <v>455</v>
      </c>
      <c r="R15" s="784">
        <v>238</v>
      </c>
      <c r="S15" s="785">
        <v>9638</v>
      </c>
      <c r="T15" s="786"/>
      <c r="U15" s="872">
        <f>ROUND(H15*'Hispanic Adjustment'!P14,0)</f>
        <v>2</v>
      </c>
      <c r="V15" s="756">
        <f>ROUND(H15*'Hispanic Adjustment'!Q14,0)</f>
        <v>0</v>
      </c>
      <c r="W15" s="873">
        <f>ROUND(H15*'Hispanic Adjustment'!R14,0)</f>
        <v>0</v>
      </c>
      <c r="X15" s="872">
        <f>ROUND(M15*'Hispanic Adjustment'!S14,0)</f>
        <v>31</v>
      </c>
      <c r="Y15" s="756">
        <f>ROUND(M15*'Hispanic Adjustment'!T14,0)</f>
        <v>2</v>
      </c>
      <c r="Z15" s="873">
        <f>ROUND(M15*'Hispanic Adjustment'!U14,0)</f>
        <v>1</v>
      </c>
      <c r="AA15" s="872">
        <f>ROUND(R15*'Hispanic Adjustment'!V14,0)</f>
        <v>207</v>
      </c>
      <c r="AB15" s="756">
        <f>ROUND(R15*'Hispanic Adjustment'!W14,0)</f>
        <v>21</v>
      </c>
      <c r="AC15" s="873">
        <f>ROUND(R15*'Hispanic Adjustment'!X14,0)</f>
        <v>11</v>
      </c>
      <c r="AE15" s="907">
        <f t="shared" si="6"/>
        <v>747</v>
      </c>
      <c r="AF15" s="908">
        <f t="shared" si="7"/>
        <v>168</v>
      </c>
      <c r="AG15" s="909">
        <f t="shared" si="8"/>
        <v>36</v>
      </c>
      <c r="AH15" s="907">
        <f t="shared" si="9"/>
        <v>2624</v>
      </c>
      <c r="AI15" s="908">
        <f t="shared" si="10"/>
        <v>489</v>
      </c>
      <c r="AJ15" s="909">
        <f t="shared" si="11"/>
        <v>80</v>
      </c>
      <c r="AK15" s="907">
        <f t="shared" si="12"/>
        <v>4240</v>
      </c>
      <c r="AL15" s="908">
        <f t="shared" si="13"/>
        <v>789</v>
      </c>
      <c r="AM15" s="910">
        <f t="shared" si="14"/>
        <v>466</v>
      </c>
    </row>
    <row r="16" spans="1:39">
      <c r="A16" s="775" t="s">
        <v>31</v>
      </c>
      <c r="B16" s="776" t="s">
        <v>32</v>
      </c>
      <c r="C16" s="776" t="s">
        <v>275</v>
      </c>
      <c r="D16" s="777">
        <v>146</v>
      </c>
      <c r="E16" s="778">
        <v>138</v>
      </c>
      <c r="F16" s="778">
        <v>4</v>
      </c>
      <c r="G16" s="778">
        <f t="shared" si="3"/>
        <v>4</v>
      </c>
      <c r="H16" s="779">
        <v>0</v>
      </c>
      <c r="I16" s="780">
        <v>372</v>
      </c>
      <c r="J16" s="781">
        <v>350</v>
      </c>
      <c r="K16" s="781">
        <v>5</v>
      </c>
      <c r="L16" s="781">
        <f t="shared" si="4"/>
        <v>16</v>
      </c>
      <c r="M16" s="782">
        <v>1</v>
      </c>
      <c r="N16" s="780">
        <v>490</v>
      </c>
      <c r="O16" s="781">
        <v>431</v>
      </c>
      <c r="P16" s="781">
        <v>8</v>
      </c>
      <c r="Q16" s="783">
        <f t="shared" si="5"/>
        <v>46</v>
      </c>
      <c r="R16" s="784">
        <v>5</v>
      </c>
      <c r="S16" s="785">
        <v>1008</v>
      </c>
      <c r="T16" s="786"/>
      <c r="U16" s="872">
        <f>ROUND(H16*'Hispanic Adjustment'!P15,0)</f>
        <v>0</v>
      </c>
      <c r="V16" s="756">
        <f>ROUND(H16*'Hispanic Adjustment'!Q15,0)</f>
        <v>0</v>
      </c>
      <c r="W16" s="873">
        <f>ROUND(H16*'Hispanic Adjustment'!R15,0)</f>
        <v>0</v>
      </c>
      <c r="X16" s="872">
        <f>ROUND(M16*'Hispanic Adjustment'!S15,0)</f>
        <v>1</v>
      </c>
      <c r="Y16" s="756">
        <f>ROUND(M16*'Hispanic Adjustment'!T15,0)</f>
        <v>0</v>
      </c>
      <c r="Z16" s="873">
        <f>ROUND(M16*'Hispanic Adjustment'!U15,0)</f>
        <v>0</v>
      </c>
      <c r="AA16" s="872">
        <f>ROUND(R16*'Hispanic Adjustment'!V15,0)</f>
        <v>5</v>
      </c>
      <c r="AB16" s="756">
        <f>ROUND(R16*'Hispanic Adjustment'!W15,0)</f>
        <v>0</v>
      </c>
      <c r="AC16" s="873">
        <f>ROUND(R16*'Hispanic Adjustment'!X15,0)</f>
        <v>0</v>
      </c>
      <c r="AE16" s="907">
        <f t="shared" si="6"/>
        <v>138</v>
      </c>
      <c r="AF16" s="908">
        <f t="shared" si="7"/>
        <v>4</v>
      </c>
      <c r="AG16" s="909">
        <f t="shared" si="8"/>
        <v>4</v>
      </c>
      <c r="AH16" s="907">
        <f t="shared" si="9"/>
        <v>351</v>
      </c>
      <c r="AI16" s="908">
        <f t="shared" si="10"/>
        <v>5</v>
      </c>
      <c r="AJ16" s="909">
        <f t="shared" si="11"/>
        <v>16</v>
      </c>
      <c r="AK16" s="907">
        <f t="shared" si="12"/>
        <v>436</v>
      </c>
      <c r="AL16" s="908">
        <f t="shared" si="13"/>
        <v>8</v>
      </c>
      <c r="AM16" s="910">
        <f t="shared" si="14"/>
        <v>46</v>
      </c>
    </row>
    <row r="17" spans="1:39">
      <c r="A17" s="775" t="s">
        <v>33</v>
      </c>
      <c r="B17" s="776" t="s">
        <v>34</v>
      </c>
      <c r="C17" s="776" t="s">
        <v>272</v>
      </c>
      <c r="D17" s="777">
        <v>326</v>
      </c>
      <c r="E17" s="778">
        <v>278</v>
      </c>
      <c r="F17" s="778">
        <v>30</v>
      </c>
      <c r="G17" s="778">
        <f t="shared" si="3"/>
        <v>17</v>
      </c>
      <c r="H17" s="779">
        <v>1</v>
      </c>
      <c r="I17" s="780">
        <v>861</v>
      </c>
      <c r="J17" s="781">
        <v>805</v>
      </c>
      <c r="K17" s="781">
        <v>27</v>
      </c>
      <c r="L17" s="781">
        <f t="shared" si="4"/>
        <v>24</v>
      </c>
      <c r="M17" s="782">
        <v>5</v>
      </c>
      <c r="N17" s="780">
        <v>1476</v>
      </c>
      <c r="O17" s="781">
        <v>1217</v>
      </c>
      <c r="P17" s="781">
        <v>67</v>
      </c>
      <c r="Q17" s="783">
        <f t="shared" si="5"/>
        <v>99</v>
      </c>
      <c r="R17" s="784">
        <v>93</v>
      </c>
      <c r="S17" s="785">
        <v>2663</v>
      </c>
      <c r="T17" s="786"/>
      <c r="U17" s="872">
        <f>ROUND(H17*'Hispanic Adjustment'!P16,0)</f>
        <v>1</v>
      </c>
      <c r="V17" s="756">
        <f>ROUND(H17*'Hispanic Adjustment'!Q16,0)</f>
        <v>0</v>
      </c>
      <c r="W17" s="873">
        <f>ROUND(H17*'Hispanic Adjustment'!R16,0)</f>
        <v>0</v>
      </c>
      <c r="X17" s="872">
        <f>ROUND(M17*'Hispanic Adjustment'!S16,0)</f>
        <v>4</v>
      </c>
      <c r="Y17" s="756">
        <f>ROUND(M17*'Hispanic Adjustment'!T16,0)</f>
        <v>0</v>
      </c>
      <c r="Z17" s="873">
        <f>ROUND(M17*'Hispanic Adjustment'!U16,0)</f>
        <v>0</v>
      </c>
      <c r="AA17" s="872">
        <f>ROUND(R17*'Hispanic Adjustment'!V16,0)</f>
        <v>79</v>
      </c>
      <c r="AB17" s="756">
        <f>ROUND(R17*'Hispanic Adjustment'!W16,0)</f>
        <v>10</v>
      </c>
      <c r="AC17" s="873">
        <f>ROUND(R17*'Hispanic Adjustment'!X16,0)</f>
        <v>4</v>
      </c>
      <c r="AE17" s="907">
        <f t="shared" si="6"/>
        <v>279</v>
      </c>
      <c r="AF17" s="908">
        <f t="shared" si="7"/>
        <v>30</v>
      </c>
      <c r="AG17" s="909">
        <f t="shared" si="8"/>
        <v>17</v>
      </c>
      <c r="AH17" s="907">
        <f t="shared" si="9"/>
        <v>809</v>
      </c>
      <c r="AI17" s="908">
        <f t="shared" si="10"/>
        <v>27</v>
      </c>
      <c r="AJ17" s="909">
        <f t="shared" si="11"/>
        <v>24</v>
      </c>
      <c r="AK17" s="907">
        <f t="shared" si="12"/>
        <v>1296</v>
      </c>
      <c r="AL17" s="908">
        <f t="shared" si="13"/>
        <v>77</v>
      </c>
      <c r="AM17" s="910">
        <f t="shared" si="14"/>
        <v>103</v>
      </c>
    </row>
    <row r="18" spans="1:39">
      <c r="A18" s="775" t="s">
        <v>37</v>
      </c>
      <c r="B18" s="776" t="s">
        <v>38</v>
      </c>
      <c r="C18" s="776" t="s">
        <v>271</v>
      </c>
      <c r="D18" s="777">
        <v>740</v>
      </c>
      <c r="E18" s="778">
        <v>159</v>
      </c>
      <c r="F18" s="778">
        <v>567</v>
      </c>
      <c r="G18" s="778">
        <f t="shared" si="3"/>
        <v>12</v>
      </c>
      <c r="H18" s="779">
        <v>2</v>
      </c>
      <c r="I18" s="780">
        <v>1314</v>
      </c>
      <c r="J18" s="781">
        <v>351</v>
      </c>
      <c r="K18" s="781">
        <v>948</v>
      </c>
      <c r="L18" s="781">
        <f t="shared" si="4"/>
        <v>7</v>
      </c>
      <c r="M18" s="782">
        <v>8</v>
      </c>
      <c r="N18" s="780">
        <v>2211</v>
      </c>
      <c r="O18" s="781">
        <v>450</v>
      </c>
      <c r="P18" s="781">
        <v>1639</v>
      </c>
      <c r="Q18" s="783">
        <f t="shared" si="5"/>
        <v>68</v>
      </c>
      <c r="R18" s="784">
        <v>54</v>
      </c>
      <c r="S18" s="785">
        <v>4265</v>
      </c>
      <c r="T18" s="786"/>
      <c r="U18" s="872">
        <f>ROUND(H18*'Hispanic Adjustment'!P17,0)</f>
        <v>1</v>
      </c>
      <c r="V18" s="756">
        <f>ROUND(H18*'Hispanic Adjustment'!Q17,0)</f>
        <v>1</v>
      </c>
      <c r="W18" s="873">
        <f>ROUND(H18*'Hispanic Adjustment'!R17,0)</f>
        <v>0</v>
      </c>
      <c r="X18" s="872">
        <f>ROUND(M18*'Hispanic Adjustment'!S17,0)</f>
        <v>6</v>
      </c>
      <c r="Y18" s="756">
        <f>ROUND(M18*'Hispanic Adjustment'!T17,0)</f>
        <v>2</v>
      </c>
      <c r="Z18" s="873">
        <f>ROUND(M18*'Hispanic Adjustment'!U17,0)</f>
        <v>0</v>
      </c>
      <c r="AA18" s="872">
        <f>ROUND(R18*'Hispanic Adjustment'!V17,0)</f>
        <v>38</v>
      </c>
      <c r="AB18" s="756">
        <f>ROUND(R18*'Hispanic Adjustment'!W17,0)</f>
        <v>12</v>
      </c>
      <c r="AC18" s="873">
        <f>ROUND(R18*'Hispanic Adjustment'!X17,0)</f>
        <v>4</v>
      </c>
      <c r="AE18" s="907">
        <f t="shared" si="6"/>
        <v>160</v>
      </c>
      <c r="AF18" s="908">
        <f t="shared" si="7"/>
        <v>568</v>
      </c>
      <c r="AG18" s="909">
        <f t="shared" si="8"/>
        <v>12</v>
      </c>
      <c r="AH18" s="907">
        <f t="shared" si="9"/>
        <v>357</v>
      </c>
      <c r="AI18" s="908">
        <f t="shared" si="10"/>
        <v>950</v>
      </c>
      <c r="AJ18" s="909">
        <f t="shared" si="11"/>
        <v>7</v>
      </c>
      <c r="AK18" s="907">
        <f t="shared" si="12"/>
        <v>488</v>
      </c>
      <c r="AL18" s="908">
        <f t="shared" si="13"/>
        <v>1651</v>
      </c>
      <c r="AM18" s="910">
        <f t="shared" si="14"/>
        <v>72</v>
      </c>
    </row>
    <row r="19" spans="1:39">
      <c r="A19" s="775" t="s">
        <v>39</v>
      </c>
      <c r="B19" s="776" t="s">
        <v>40</v>
      </c>
      <c r="C19" s="776" t="s">
        <v>275</v>
      </c>
      <c r="D19" s="777">
        <v>609</v>
      </c>
      <c r="E19" s="778">
        <v>599</v>
      </c>
      <c r="F19" s="778">
        <v>1</v>
      </c>
      <c r="G19" s="778">
        <f t="shared" si="3"/>
        <v>9</v>
      </c>
      <c r="H19" s="779">
        <v>0</v>
      </c>
      <c r="I19" s="780">
        <v>2882</v>
      </c>
      <c r="J19" s="781">
        <v>2832</v>
      </c>
      <c r="K19" s="781">
        <v>5</v>
      </c>
      <c r="L19" s="781">
        <f t="shared" si="4"/>
        <v>33</v>
      </c>
      <c r="M19" s="782">
        <v>12</v>
      </c>
      <c r="N19" s="780">
        <v>2753</v>
      </c>
      <c r="O19" s="781">
        <v>2570</v>
      </c>
      <c r="P19" s="781">
        <v>14</v>
      </c>
      <c r="Q19" s="783">
        <f t="shared" si="5"/>
        <v>116</v>
      </c>
      <c r="R19" s="784">
        <v>53</v>
      </c>
      <c r="S19" s="785">
        <v>6244</v>
      </c>
      <c r="T19" s="786"/>
      <c r="U19" s="872">
        <f>ROUND(H19*'Hispanic Adjustment'!P18,0)</f>
        <v>0</v>
      </c>
      <c r="V19" s="756">
        <f>ROUND(H19*'Hispanic Adjustment'!Q18,0)</f>
        <v>0</v>
      </c>
      <c r="W19" s="873">
        <f>ROUND(H19*'Hispanic Adjustment'!R18,0)</f>
        <v>0</v>
      </c>
      <c r="X19" s="872">
        <f>ROUND(M19*'Hispanic Adjustment'!S18,0)</f>
        <v>11</v>
      </c>
      <c r="Y19" s="756">
        <f>ROUND(M19*'Hispanic Adjustment'!T18,0)</f>
        <v>1</v>
      </c>
      <c r="Z19" s="873">
        <f>ROUND(M19*'Hispanic Adjustment'!U18,0)</f>
        <v>1</v>
      </c>
      <c r="AA19" s="872">
        <f>ROUND(R19*'Hispanic Adjustment'!V18,0)</f>
        <v>45</v>
      </c>
      <c r="AB19" s="756">
        <f>ROUND(R19*'Hispanic Adjustment'!W18,0)</f>
        <v>3</v>
      </c>
      <c r="AC19" s="873">
        <f>ROUND(R19*'Hispanic Adjustment'!X18,0)</f>
        <v>5</v>
      </c>
      <c r="AE19" s="907">
        <f t="shared" si="6"/>
        <v>599</v>
      </c>
      <c r="AF19" s="908">
        <f t="shared" si="7"/>
        <v>1</v>
      </c>
      <c r="AG19" s="909">
        <f t="shared" si="8"/>
        <v>9</v>
      </c>
      <c r="AH19" s="907">
        <f t="shared" si="9"/>
        <v>2843</v>
      </c>
      <c r="AI19" s="908">
        <f t="shared" si="10"/>
        <v>6</v>
      </c>
      <c r="AJ19" s="909">
        <f t="shared" si="11"/>
        <v>34</v>
      </c>
      <c r="AK19" s="907">
        <f t="shared" si="12"/>
        <v>2615</v>
      </c>
      <c r="AL19" s="908">
        <f t="shared" si="13"/>
        <v>17</v>
      </c>
      <c r="AM19" s="910">
        <f t="shared" si="14"/>
        <v>121</v>
      </c>
    </row>
    <row r="20" spans="1:39">
      <c r="A20" s="775" t="s">
        <v>41</v>
      </c>
      <c r="B20" s="776" t="s">
        <v>42</v>
      </c>
      <c r="C20" s="776" t="s">
        <v>273</v>
      </c>
      <c r="D20" s="777">
        <v>482</v>
      </c>
      <c r="E20" s="778">
        <v>227</v>
      </c>
      <c r="F20" s="778">
        <v>246</v>
      </c>
      <c r="G20" s="778">
        <f t="shared" si="3"/>
        <v>9</v>
      </c>
      <c r="H20" s="779">
        <v>0</v>
      </c>
      <c r="I20" s="780">
        <v>1102</v>
      </c>
      <c r="J20" s="781">
        <v>554</v>
      </c>
      <c r="K20" s="781">
        <v>508</v>
      </c>
      <c r="L20" s="781">
        <f t="shared" si="4"/>
        <v>28</v>
      </c>
      <c r="M20" s="782">
        <v>12</v>
      </c>
      <c r="N20" s="780">
        <v>1892</v>
      </c>
      <c r="O20" s="781">
        <v>918</v>
      </c>
      <c r="P20" s="781">
        <v>746</v>
      </c>
      <c r="Q20" s="783">
        <f t="shared" si="5"/>
        <v>136</v>
      </c>
      <c r="R20" s="784">
        <v>92</v>
      </c>
      <c r="S20" s="785">
        <v>3476</v>
      </c>
      <c r="T20" s="786"/>
      <c r="U20" s="872">
        <f>ROUND(H20*'Hispanic Adjustment'!P19,0)</f>
        <v>0</v>
      </c>
      <c r="V20" s="756">
        <f>ROUND(H20*'Hispanic Adjustment'!Q19,0)</f>
        <v>0</v>
      </c>
      <c r="W20" s="873">
        <f>ROUND(H20*'Hispanic Adjustment'!R19,0)</f>
        <v>0</v>
      </c>
      <c r="X20" s="872">
        <f>ROUND(M20*'Hispanic Adjustment'!S19,0)</f>
        <v>10</v>
      </c>
      <c r="Y20" s="756">
        <f>ROUND(M20*'Hispanic Adjustment'!T19,0)</f>
        <v>2</v>
      </c>
      <c r="Z20" s="873">
        <f>ROUND(M20*'Hispanic Adjustment'!U19,0)</f>
        <v>0</v>
      </c>
      <c r="AA20" s="872">
        <f>ROUND(R20*'Hispanic Adjustment'!V19,0)</f>
        <v>75</v>
      </c>
      <c r="AB20" s="756">
        <f>ROUND(R20*'Hispanic Adjustment'!W19,0)</f>
        <v>17</v>
      </c>
      <c r="AC20" s="873">
        <f>ROUND(R20*'Hispanic Adjustment'!X19,0)</f>
        <v>0</v>
      </c>
      <c r="AE20" s="907">
        <f t="shared" si="6"/>
        <v>227</v>
      </c>
      <c r="AF20" s="908">
        <f t="shared" si="7"/>
        <v>246</v>
      </c>
      <c r="AG20" s="909">
        <f t="shared" si="8"/>
        <v>9</v>
      </c>
      <c r="AH20" s="907">
        <f t="shared" si="9"/>
        <v>564</v>
      </c>
      <c r="AI20" s="908">
        <f t="shared" si="10"/>
        <v>510</v>
      </c>
      <c r="AJ20" s="909">
        <f t="shared" si="11"/>
        <v>28</v>
      </c>
      <c r="AK20" s="907">
        <f t="shared" si="12"/>
        <v>993</v>
      </c>
      <c r="AL20" s="908">
        <f t="shared" si="13"/>
        <v>763</v>
      </c>
      <c r="AM20" s="910">
        <f t="shared" si="14"/>
        <v>136</v>
      </c>
    </row>
    <row r="21" spans="1:39">
      <c r="A21" s="775" t="s">
        <v>43</v>
      </c>
      <c r="B21" s="776" t="s">
        <v>44</v>
      </c>
      <c r="C21" s="776" t="s">
        <v>272</v>
      </c>
      <c r="D21" s="777">
        <v>1148</v>
      </c>
      <c r="E21" s="778">
        <v>802</v>
      </c>
      <c r="F21" s="778">
        <v>325</v>
      </c>
      <c r="G21" s="778">
        <f t="shared" si="3"/>
        <v>20</v>
      </c>
      <c r="H21" s="779">
        <v>1</v>
      </c>
      <c r="I21" s="780">
        <v>3417</v>
      </c>
      <c r="J21" s="781">
        <v>2442</v>
      </c>
      <c r="K21" s="781">
        <v>821</v>
      </c>
      <c r="L21" s="781">
        <f t="shared" si="4"/>
        <v>107</v>
      </c>
      <c r="M21" s="782">
        <v>47</v>
      </c>
      <c r="N21" s="780">
        <v>5475</v>
      </c>
      <c r="O21" s="781">
        <v>3488</v>
      </c>
      <c r="P21" s="781">
        <v>1237</v>
      </c>
      <c r="Q21" s="783">
        <f t="shared" si="5"/>
        <v>555</v>
      </c>
      <c r="R21" s="784">
        <v>195</v>
      </c>
      <c r="S21" s="785">
        <v>10040</v>
      </c>
      <c r="T21" s="786"/>
      <c r="U21" s="872">
        <f>ROUND(H21*'Hispanic Adjustment'!P20,0)</f>
        <v>1</v>
      </c>
      <c r="V21" s="756">
        <f>ROUND(H21*'Hispanic Adjustment'!Q20,0)</f>
        <v>0</v>
      </c>
      <c r="W21" s="873">
        <f>ROUND(H21*'Hispanic Adjustment'!R20,0)</f>
        <v>0</v>
      </c>
      <c r="X21" s="872">
        <f>ROUND(M21*'Hispanic Adjustment'!S20,0)</f>
        <v>42</v>
      </c>
      <c r="Y21" s="756">
        <f>ROUND(M21*'Hispanic Adjustment'!T20,0)</f>
        <v>3</v>
      </c>
      <c r="Z21" s="873">
        <f>ROUND(M21*'Hispanic Adjustment'!U20,0)</f>
        <v>2</v>
      </c>
      <c r="AA21" s="872">
        <f>ROUND(R21*'Hispanic Adjustment'!V20,0)</f>
        <v>174</v>
      </c>
      <c r="AB21" s="756">
        <f>ROUND(R21*'Hispanic Adjustment'!W20,0)</f>
        <v>16</v>
      </c>
      <c r="AC21" s="873">
        <f>ROUND(R21*'Hispanic Adjustment'!X20,0)</f>
        <v>4</v>
      </c>
      <c r="AE21" s="907">
        <f t="shared" si="6"/>
        <v>803</v>
      </c>
      <c r="AF21" s="908">
        <f t="shared" si="7"/>
        <v>325</v>
      </c>
      <c r="AG21" s="909">
        <f t="shared" si="8"/>
        <v>20</v>
      </c>
      <c r="AH21" s="907">
        <f t="shared" si="9"/>
        <v>2484</v>
      </c>
      <c r="AI21" s="908">
        <f t="shared" si="10"/>
        <v>824</v>
      </c>
      <c r="AJ21" s="909">
        <f t="shared" si="11"/>
        <v>109</v>
      </c>
      <c r="AK21" s="907">
        <f t="shared" si="12"/>
        <v>3662</v>
      </c>
      <c r="AL21" s="908">
        <f t="shared" si="13"/>
        <v>1253</v>
      </c>
      <c r="AM21" s="910">
        <f t="shared" si="14"/>
        <v>559</v>
      </c>
    </row>
    <row r="22" spans="1:39">
      <c r="A22" s="775" t="s">
        <v>45</v>
      </c>
      <c r="B22" s="776" t="s">
        <v>46</v>
      </c>
      <c r="C22" s="776" t="s">
        <v>273</v>
      </c>
      <c r="D22" s="777">
        <v>462</v>
      </c>
      <c r="E22" s="778">
        <v>203</v>
      </c>
      <c r="F22" s="778">
        <v>236</v>
      </c>
      <c r="G22" s="778">
        <f t="shared" si="3"/>
        <v>22</v>
      </c>
      <c r="H22" s="779">
        <v>1</v>
      </c>
      <c r="I22" s="780">
        <v>1575</v>
      </c>
      <c r="J22" s="781">
        <v>870</v>
      </c>
      <c r="K22" s="781">
        <v>571</v>
      </c>
      <c r="L22" s="781">
        <f t="shared" si="4"/>
        <v>102</v>
      </c>
      <c r="M22" s="782">
        <v>32</v>
      </c>
      <c r="N22" s="780">
        <v>3293</v>
      </c>
      <c r="O22" s="781">
        <v>1547</v>
      </c>
      <c r="P22" s="781">
        <v>1149</v>
      </c>
      <c r="Q22" s="783">
        <f t="shared" si="5"/>
        <v>429</v>
      </c>
      <c r="R22" s="784">
        <v>168</v>
      </c>
      <c r="S22" s="785">
        <v>5330</v>
      </c>
      <c r="T22" s="786"/>
      <c r="U22" s="872">
        <f>ROUND(H22*'Hispanic Adjustment'!P21,0)</f>
        <v>1</v>
      </c>
      <c r="V22" s="756">
        <f>ROUND(H22*'Hispanic Adjustment'!Q21,0)</f>
        <v>0</v>
      </c>
      <c r="W22" s="873">
        <f>ROUND(H22*'Hispanic Adjustment'!R21,0)</f>
        <v>0</v>
      </c>
      <c r="X22" s="872">
        <f>ROUND(M22*'Hispanic Adjustment'!S21,0)</f>
        <v>26</v>
      </c>
      <c r="Y22" s="756">
        <f>ROUND(M22*'Hispanic Adjustment'!T21,0)</f>
        <v>3</v>
      </c>
      <c r="Z22" s="873">
        <f>ROUND(M22*'Hispanic Adjustment'!U21,0)</f>
        <v>2</v>
      </c>
      <c r="AA22" s="872">
        <f>ROUND(R22*'Hispanic Adjustment'!V21,0)</f>
        <v>131</v>
      </c>
      <c r="AB22" s="756">
        <f>ROUND(R22*'Hispanic Adjustment'!W21,0)</f>
        <v>29</v>
      </c>
      <c r="AC22" s="873">
        <f>ROUND(R22*'Hispanic Adjustment'!X21,0)</f>
        <v>8</v>
      </c>
      <c r="AE22" s="907">
        <f t="shared" si="6"/>
        <v>204</v>
      </c>
      <c r="AF22" s="908">
        <f t="shared" si="7"/>
        <v>236</v>
      </c>
      <c r="AG22" s="909">
        <f t="shared" si="8"/>
        <v>22</v>
      </c>
      <c r="AH22" s="907">
        <f t="shared" si="9"/>
        <v>896</v>
      </c>
      <c r="AI22" s="908">
        <f t="shared" si="10"/>
        <v>574</v>
      </c>
      <c r="AJ22" s="909">
        <f t="shared" si="11"/>
        <v>104</v>
      </c>
      <c r="AK22" s="907">
        <f t="shared" si="12"/>
        <v>1678</v>
      </c>
      <c r="AL22" s="908">
        <f t="shared" si="13"/>
        <v>1178</v>
      </c>
      <c r="AM22" s="910">
        <f t="shared" si="14"/>
        <v>437</v>
      </c>
    </row>
    <row r="23" spans="1:39">
      <c r="A23" s="775" t="s">
        <v>47</v>
      </c>
      <c r="B23" s="776" t="s">
        <v>48</v>
      </c>
      <c r="C23" s="776" t="s">
        <v>275</v>
      </c>
      <c r="D23" s="777">
        <v>1130</v>
      </c>
      <c r="E23" s="778">
        <v>1115</v>
      </c>
      <c r="F23" s="778">
        <v>5</v>
      </c>
      <c r="G23" s="778">
        <f t="shared" si="3"/>
        <v>9</v>
      </c>
      <c r="H23" s="779">
        <v>1</v>
      </c>
      <c r="I23" s="780">
        <v>2190</v>
      </c>
      <c r="J23" s="781">
        <v>2099</v>
      </c>
      <c r="K23" s="781">
        <v>22</v>
      </c>
      <c r="L23" s="781">
        <f t="shared" si="4"/>
        <v>54</v>
      </c>
      <c r="M23" s="782">
        <v>15</v>
      </c>
      <c r="N23" s="780">
        <v>3459</v>
      </c>
      <c r="O23" s="781">
        <v>2876</v>
      </c>
      <c r="P23" s="781">
        <v>59</v>
      </c>
      <c r="Q23" s="783">
        <f t="shared" si="5"/>
        <v>277</v>
      </c>
      <c r="R23" s="784">
        <v>247</v>
      </c>
      <c r="S23" s="785">
        <v>6779</v>
      </c>
      <c r="T23" s="786"/>
      <c r="U23" s="872">
        <f>ROUND(H23*'Hispanic Adjustment'!P22,0)</f>
        <v>1</v>
      </c>
      <c r="V23" s="756">
        <f>ROUND(H23*'Hispanic Adjustment'!Q22,0)</f>
        <v>0</v>
      </c>
      <c r="W23" s="873">
        <f>ROUND(H23*'Hispanic Adjustment'!R22,0)</f>
        <v>0</v>
      </c>
      <c r="X23" s="872">
        <f>ROUND(M23*'Hispanic Adjustment'!S22,0)</f>
        <v>14</v>
      </c>
      <c r="Y23" s="756">
        <f>ROUND(M23*'Hispanic Adjustment'!T22,0)</f>
        <v>0</v>
      </c>
      <c r="Z23" s="873">
        <f>ROUND(M23*'Hispanic Adjustment'!U22,0)</f>
        <v>1</v>
      </c>
      <c r="AA23" s="872">
        <f>ROUND(R23*'Hispanic Adjustment'!V22,0)</f>
        <v>225</v>
      </c>
      <c r="AB23" s="756">
        <f>ROUND(R23*'Hispanic Adjustment'!W22,0)</f>
        <v>4</v>
      </c>
      <c r="AC23" s="873">
        <f>ROUND(R23*'Hispanic Adjustment'!X22,0)</f>
        <v>17</v>
      </c>
      <c r="AE23" s="907">
        <f t="shared" si="6"/>
        <v>1116</v>
      </c>
      <c r="AF23" s="908">
        <f t="shared" si="7"/>
        <v>5</v>
      </c>
      <c r="AG23" s="909">
        <f t="shared" si="8"/>
        <v>9</v>
      </c>
      <c r="AH23" s="907">
        <f t="shared" si="9"/>
        <v>2113</v>
      </c>
      <c r="AI23" s="908">
        <f t="shared" si="10"/>
        <v>22</v>
      </c>
      <c r="AJ23" s="909">
        <f t="shared" si="11"/>
        <v>55</v>
      </c>
      <c r="AK23" s="907">
        <f t="shared" si="12"/>
        <v>3101</v>
      </c>
      <c r="AL23" s="908">
        <f t="shared" si="13"/>
        <v>63</v>
      </c>
      <c r="AM23" s="910">
        <f t="shared" si="14"/>
        <v>294</v>
      </c>
    </row>
    <row r="24" spans="1:39">
      <c r="A24" s="775" t="s">
        <v>49</v>
      </c>
      <c r="B24" s="776" t="s">
        <v>276</v>
      </c>
      <c r="C24" s="776" t="s">
        <v>273</v>
      </c>
      <c r="D24" s="777">
        <v>159</v>
      </c>
      <c r="E24" s="778">
        <v>21</v>
      </c>
      <c r="F24" s="778">
        <v>128</v>
      </c>
      <c r="G24" s="778">
        <f t="shared" si="3"/>
        <v>10</v>
      </c>
      <c r="H24" s="779">
        <v>0</v>
      </c>
      <c r="I24" s="780">
        <v>390</v>
      </c>
      <c r="J24" s="781">
        <v>124</v>
      </c>
      <c r="K24" s="781">
        <v>240</v>
      </c>
      <c r="L24" s="781">
        <f t="shared" si="4"/>
        <v>25</v>
      </c>
      <c r="M24" s="782">
        <v>1</v>
      </c>
      <c r="N24" s="780">
        <v>575</v>
      </c>
      <c r="O24" s="781">
        <v>155</v>
      </c>
      <c r="P24" s="781">
        <v>318</v>
      </c>
      <c r="Q24" s="783">
        <f t="shared" si="5"/>
        <v>97</v>
      </c>
      <c r="R24" s="784">
        <v>5</v>
      </c>
      <c r="S24" s="785">
        <v>1124</v>
      </c>
      <c r="T24" s="786"/>
      <c r="U24" s="872">
        <f>ROUND(H24*'Hispanic Adjustment'!P23,0)</f>
        <v>0</v>
      </c>
      <c r="V24" s="756">
        <f>ROUND(H24*'Hispanic Adjustment'!Q23,0)</f>
        <v>0</v>
      </c>
      <c r="W24" s="873">
        <f>ROUND(H24*'Hispanic Adjustment'!R23,0)</f>
        <v>0</v>
      </c>
      <c r="X24" s="872">
        <f>ROUND(M24*'Hispanic Adjustment'!S23,0)</f>
        <v>1</v>
      </c>
      <c r="Y24" s="756">
        <f>ROUND(M24*'Hispanic Adjustment'!T23,0)</f>
        <v>0</v>
      </c>
      <c r="Z24" s="873">
        <f>ROUND(M24*'Hispanic Adjustment'!U23,0)</f>
        <v>0</v>
      </c>
      <c r="AA24" s="872">
        <f>ROUND(R24*'Hispanic Adjustment'!V23,0)</f>
        <v>3</v>
      </c>
      <c r="AB24" s="756">
        <f>ROUND(R24*'Hispanic Adjustment'!W23,0)</f>
        <v>1</v>
      </c>
      <c r="AC24" s="873">
        <f>ROUND(R24*'Hispanic Adjustment'!X23,0)</f>
        <v>1</v>
      </c>
      <c r="AE24" s="907">
        <f t="shared" si="6"/>
        <v>21</v>
      </c>
      <c r="AF24" s="908">
        <f t="shared" si="7"/>
        <v>128</v>
      </c>
      <c r="AG24" s="909">
        <f t="shared" si="8"/>
        <v>10</v>
      </c>
      <c r="AH24" s="907">
        <f t="shared" si="9"/>
        <v>125</v>
      </c>
      <c r="AI24" s="908">
        <f t="shared" si="10"/>
        <v>240</v>
      </c>
      <c r="AJ24" s="909">
        <f t="shared" si="11"/>
        <v>25</v>
      </c>
      <c r="AK24" s="907">
        <f t="shared" si="12"/>
        <v>158</v>
      </c>
      <c r="AL24" s="908">
        <f t="shared" si="13"/>
        <v>319</v>
      </c>
      <c r="AM24" s="910">
        <f t="shared" si="14"/>
        <v>98</v>
      </c>
    </row>
    <row r="25" spans="1:39">
      <c r="A25" s="775" t="s">
        <v>51</v>
      </c>
      <c r="B25" s="776" t="s">
        <v>52</v>
      </c>
      <c r="C25" s="776" t="s">
        <v>272</v>
      </c>
      <c r="D25" s="777">
        <v>545</v>
      </c>
      <c r="E25" s="778">
        <v>243</v>
      </c>
      <c r="F25" s="778">
        <v>294</v>
      </c>
      <c r="G25" s="778">
        <f t="shared" si="3"/>
        <v>8</v>
      </c>
      <c r="H25" s="779">
        <v>0</v>
      </c>
      <c r="I25" s="780">
        <v>995</v>
      </c>
      <c r="J25" s="781">
        <v>505</v>
      </c>
      <c r="K25" s="781">
        <v>471</v>
      </c>
      <c r="L25" s="781">
        <f t="shared" si="4"/>
        <v>10</v>
      </c>
      <c r="M25" s="782">
        <v>9</v>
      </c>
      <c r="N25" s="780">
        <v>1674</v>
      </c>
      <c r="O25" s="781">
        <v>763</v>
      </c>
      <c r="P25" s="781">
        <v>764</v>
      </c>
      <c r="Q25" s="783">
        <f t="shared" si="5"/>
        <v>79</v>
      </c>
      <c r="R25" s="784">
        <v>68</v>
      </c>
      <c r="S25" s="785">
        <v>3214</v>
      </c>
      <c r="T25" s="786"/>
      <c r="U25" s="872">
        <f>ROUND(H25*'Hispanic Adjustment'!P24,0)</f>
        <v>0</v>
      </c>
      <c r="V25" s="756">
        <f>ROUND(H25*'Hispanic Adjustment'!Q24,0)</f>
        <v>0</v>
      </c>
      <c r="W25" s="873">
        <f>ROUND(H25*'Hispanic Adjustment'!R24,0)</f>
        <v>0</v>
      </c>
      <c r="X25" s="872">
        <f>ROUND(M25*'Hispanic Adjustment'!S24,0)</f>
        <v>7</v>
      </c>
      <c r="Y25" s="756">
        <f>ROUND(M25*'Hispanic Adjustment'!T24,0)</f>
        <v>1</v>
      </c>
      <c r="Z25" s="873">
        <f>ROUND(M25*'Hispanic Adjustment'!U24,0)</f>
        <v>0</v>
      </c>
      <c r="AA25" s="872">
        <f>ROUND(R25*'Hispanic Adjustment'!V24,0)</f>
        <v>51</v>
      </c>
      <c r="AB25" s="756">
        <f>ROUND(R25*'Hispanic Adjustment'!W24,0)</f>
        <v>14</v>
      </c>
      <c r="AC25" s="873">
        <f>ROUND(R25*'Hispanic Adjustment'!X24,0)</f>
        <v>3</v>
      </c>
      <c r="AE25" s="907">
        <f t="shared" si="6"/>
        <v>243</v>
      </c>
      <c r="AF25" s="908">
        <f t="shared" si="7"/>
        <v>294</v>
      </c>
      <c r="AG25" s="909">
        <f t="shared" si="8"/>
        <v>8</v>
      </c>
      <c r="AH25" s="907">
        <f t="shared" si="9"/>
        <v>512</v>
      </c>
      <c r="AI25" s="908">
        <f t="shared" si="10"/>
        <v>472</v>
      </c>
      <c r="AJ25" s="909">
        <f t="shared" si="11"/>
        <v>10</v>
      </c>
      <c r="AK25" s="907">
        <f t="shared" si="12"/>
        <v>814</v>
      </c>
      <c r="AL25" s="908">
        <f t="shared" si="13"/>
        <v>778</v>
      </c>
      <c r="AM25" s="910">
        <f t="shared" si="14"/>
        <v>82</v>
      </c>
    </row>
    <row r="26" spans="1:39">
      <c r="A26" s="775" t="s">
        <v>57</v>
      </c>
      <c r="B26" s="776" t="s">
        <v>305</v>
      </c>
      <c r="C26" s="776" t="s">
        <v>273</v>
      </c>
      <c r="D26" s="777">
        <v>2443</v>
      </c>
      <c r="E26" s="778">
        <v>1364</v>
      </c>
      <c r="F26" s="778">
        <v>587</v>
      </c>
      <c r="G26" s="778">
        <f t="shared" si="3"/>
        <v>385</v>
      </c>
      <c r="H26" s="779">
        <v>107</v>
      </c>
      <c r="I26" s="780">
        <v>10862</v>
      </c>
      <c r="J26" s="781">
        <v>5521</v>
      </c>
      <c r="K26" s="781">
        <v>4018</v>
      </c>
      <c r="L26" s="781">
        <f t="shared" si="4"/>
        <v>923</v>
      </c>
      <c r="M26" s="782">
        <v>400</v>
      </c>
      <c r="N26" s="780">
        <v>27320</v>
      </c>
      <c r="O26" s="781">
        <v>8633</v>
      </c>
      <c r="P26" s="781">
        <v>9639</v>
      </c>
      <c r="Q26" s="783">
        <f t="shared" si="5"/>
        <v>3986</v>
      </c>
      <c r="R26" s="784">
        <v>5062</v>
      </c>
      <c r="S26" s="785">
        <v>40625</v>
      </c>
      <c r="T26" s="786"/>
      <c r="U26" s="872">
        <f>ROUND(H26*'Hispanic Adjustment'!P25,0)</f>
        <v>93</v>
      </c>
      <c r="V26" s="756">
        <f>ROUND(H26*'Hispanic Adjustment'!Q25,0)</f>
        <v>9</v>
      </c>
      <c r="W26" s="873">
        <f>ROUND(H26*'Hispanic Adjustment'!R25,0)</f>
        <v>5</v>
      </c>
      <c r="X26" s="872">
        <f>ROUND(M26*'Hispanic Adjustment'!S25,0)</f>
        <v>333</v>
      </c>
      <c r="Y26" s="756">
        <f>ROUND(M26*'Hispanic Adjustment'!T25,0)</f>
        <v>41</v>
      </c>
      <c r="Z26" s="873">
        <f>ROUND(M26*'Hispanic Adjustment'!U25,0)</f>
        <v>27</v>
      </c>
      <c r="AA26" s="872">
        <f>ROUND(R26*'Hispanic Adjustment'!V25,0)</f>
        <v>4101</v>
      </c>
      <c r="AB26" s="756">
        <f>ROUND(R26*'Hispanic Adjustment'!W25,0)</f>
        <v>654</v>
      </c>
      <c r="AC26" s="873">
        <f>ROUND(R26*'Hispanic Adjustment'!X25,0)</f>
        <v>315</v>
      </c>
      <c r="AE26" s="907">
        <f t="shared" si="6"/>
        <v>1457</v>
      </c>
      <c r="AF26" s="908">
        <f t="shared" si="7"/>
        <v>596</v>
      </c>
      <c r="AG26" s="909">
        <f t="shared" si="8"/>
        <v>390</v>
      </c>
      <c r="AH26" s="907">
        <f t="shared" si="9"/>
        <v>5854</v>
      </c>
      <c r="AI26" s="908">
        <f t="shared" si="10"/>
        <v>4059</v>
      </c>
      <c r="AJ26" s="909">
        <f t="shared" si="11"/>
        <v>950</v>
      </c>
      <c r="AK26" s="907">
        <f t="shared" si="12"/>
        <v>12734</v>
      </c>
      <c r="AL26" s="908">
        <f t="shared" si="13"/>
        <v>10293</v>
      </c>
      <c r="AM26" s="910">
        <f t="shared" si="14"/>
        <v>4301</v>
      </c>
    </row>
    <row r="27" spans="1:39">
      <c r="A27" s="775" t="s">
        <v>59</v>
      </c>
      <c r="B27" s="776" t="s">
        <v>60</v>
      </c>
      <c r="C27" s="776" t="s">
        <v>274</v>
      </c>
      <c r="D27" s="777">
        <v>190</v>
      </c>
      <c r="E27" s="778">
        <v>147</v>
      </c>
      <c r="F27" s="778">
        <v>35</v>
      </c>
      <c r="G27" s="778">
        <f t="shared" si="3"/>
        <v>6</v>
      </c>
      <c r="H27" s="779">
        <v>2</v>
      </c>
      <c r="I27" s="780">
        <v>358</v>
      </c>
      <c r="J27" s="781">
        <v>280</v>
      </c>
      <c r="K27" s="781">
        <v>54</v>
      </c>
      <c r="L27" s="781">
        <f t="shared" si="4"/>
        <v>13</v>
      </c>
      <c r="M27" s="782">
        <v>11</v>
      </c>
      <c r="N27" s="780">
        <v>614</v>
      </c>
      <c r="O27" s="781">
        <v>408</v>
      </c>
      <c r="P27" s="781">
        <v>65</v>
      </c>
      <c r="Q27" s="783">
        <f t="shared" si="5"/>
        <v>50</v>
      </c>
      <c r="R27" s="784">
        <v>91</v>
      </c>
      <c r="S27" s="785">
        <v>1162</v>
      </c>
      <c r="T27" s="786"/>
      <c r="U27" s="872">
        <f>ROUND(H27*'Hispanic Adjustment'!P26,0)</f>
        <v>2</v>
      </c>
      <c r="V27" s="756">
        <f>ROUND(H27*'Hispanic Adjustment'!Q26,0)</f>
        <v>0</v>
      </c>
      <c r="W27" s="873">
        <f>ROUND(H27*'Hispanic Adjustment'!R26,0)</f>
        <v>0</v>
      </c>
      <c r="X27" s="872">
        <f>ROUND(M27*'Hispanic Adjustment'!S26,0)</f>
        <v>10</v>
      </c>
      <c r="Y27" s="756">
        <f>ROUND(M27*'Hispanic Adjustment'!T26,0)</f>
        <v>0</v>
      </c>
      <c r="Z27" s="873">
        <f>ROUND(M27*'Hispanic Adjustment'!U26,0)</f>
        <v>1</v>
      </c>
      <c r="AA27" s="872">
        <f>ROUND(R27*'Hispanic Adjustment'!V26,0)</f>
        <v>82</v>
      </c>
      <c r="AB27" s="756">
        <f>ROUND(R27*'Hispanic Adjustment'!W26,0)</f>
        <v>4</v>
      </c>
      <c r="AC27" s="873">
        <f>ROUND(R27*'Hispanic Adjustment'!X26,0)</f>
        <v>5</v>
      </c>
      <c r="AE27" s="907">
        <f t="shared" si="6"/>
        <v>149</v>
      </c>
      <c r="AF27" s="908">
        <f t="shared" si="7"/>
        <v>35</v>
      </c>
      <c r="AG27" s="909">
        <f t="shared" si="8"/>
        <v>6</v>
      </c>
      <c r="AH27" s="907">
        <f t="shared" si="9"/>
        <v>290</v>
      </c>
      <c r="AI27" s="908">
        <f t="shared" si="10"/>
        <v>54</v>
      </c>
      <c r="AJ27" s="909">
        <f t="shared" si="11"/>
        <v>14</v>
      </c>
      <c r="AK27" s="907">
        <f t="shared" si="12"/>
        <v>490</v>
      </c>
      <c r="AL27" s="908">
        <f t="shared" si="13"/>
        <v>69</v>
      </c>
      <c r="AM27" s="910">
        <f t="shared" si="14"/>
        <v>55</v>
      </c>
    </row>
    <row r="28" spans="1:39">
      <c r="A28" s="775" t="s">
        <v>61</v>
      </c>
      <c r="B28" s="776" t="s">
        <v>62</v>
      </c>
      <c r="C28" s="776" t="s">
        <v>272</v>
      </c>
      <c r="D28" s="777">
        <v>118</v>
      </c>
      <c r="E28" s="778">
        <v>117</v>
      </c>
      <c r="F28" s="778">
        <v>0</v>
      </c>
      <c r="G28" s="778">
        <f t="shared" si="3"/>
        <v>1</v>
      </c>
      <c r="H28" s="779">
        <v>0</v>
      </c>
      <c r="I28" s="780">
        <v>285</v>
      </c>
      <c r="J28" s="781">
        <v>271</v>
      </c>
      <c r="K28" s="781">
        <v>1</v>
      </c>
      <c r="L28" s="781">
        <f t="shared" si="4"/>
        <v>11</v>
      </c>
      <c r="M28" s="782">
        <v>2</v>
      </c>
      <c r="N28" s="780">
        <v>460</v>
      </c>
      <c r="O28" s="781">
        <v>417</v>
      </c>
      <c r="P28" s="781">
        <v>1</v>
      </c>
      <c r="Q28" s="783">
        <f t="shared" si="5"/>
        <v>34</v>
      </c>
      <c r="R28" s="784">
        <v>8</v>
      </c>
      <c r="S28" s="785">
        <v>863</v>
      </c>
      <c r="T28" s="786"/>
      <c r="U28" s="872">
        <f>ROUND(H28*'Hispanic Adjustment'!P27,0)</f>
        <v>0</v>
      </c>
      <c r="V28" s="756">
        <f>ROUND(H28*'Hispanic Adjustment'!Q27,0)</f>
        <v>0</v>
      </c>
      <c r="W28" s="873">
        <f>ROUND(H28*'Hispanic Adjustment'!R27,0)</f>
        <v>0</v>
      </c>
      <c r="X28" s="872">
        <f>ROUND(M28*'Hispanic Adjustment'!S27,0)</f>
        <v>2</v>
      </c>
      <c r="Y28" s="756">
        <f>ROUND(M28*'Hispanic Adjustment'!T27,0)</f>
        <v>0</v>
      </c>
      <c r="Z28" s="873">
        <f>ROUND(M28*'Hispanic Adjustment'!U27,0)</f>
        <v>0</v>
      </c>
      <c r="AA28" s="872">
        <f>ROUND(R28*'Hispanic Adjustment'!V27,0)</f>
        <v>8</v>
      </c>
      <c r="AB28" s="756">
        <f>ROUND(R28*'Hispanic Adjustment'!W27,0)</f>
        <v>0</v>
      </c>
      <c r="AC28" s="873">
        <f>ROUND(R28*'Hispanic Adjustment'!X27,0)</f>
        <v>0</v>
      </c>
      <c r="AE28" s="907">
        <f t="shared" si="6"/>
        <v>117</v>
      </c>
      <c r="AF28" s="908">
        <f t="shared" si="7"/>
        <v>0</v>
      </c>
      <c r="AG28" s="909">
        <f t="shared" si="8"/>
        <v>1</v>
      </c>
      <c r="AH28" s="907">
        <f t="shared" si="9"/>
        <v>273</v>
      </c>
      <c r="AI28" s="908">
        <f t="shared" si="10"/>
        <v>1</v>
      </c>
      <c r="AJ28" s="909">
        <f t="shared" si="11"/>
        <v>11</v>
      </c>
      <c r="AK28" s="907">
        <f t="shared" si="12"/>
        <v>425</v>
      </c>
      <c r="AL28" s="908">
        <f t="shared" si="13"/>
        <v>1</v>
      </c>
      <c r="AM28" s="910">
        <f t="shared" si="14"/>
        <v>34</v>
      </c>
    </row>
    <row r="29" spans="1:39">
      <c r="A29" s="775" t="s">
        <v>63</v>
      </c>
      <c r="B29" s="776" t="s">
        <v>64</v>
      </c>
      <c r="C29" s="776" t="s">
        <v>274</v>
      </c>
      <c r="D29" s="777">
        <v>627</v>
      </c>
      <c r="E29" s="778">
        <v>389</v>
      </c>
      <c r="F29" s="778">
        <v>210</v>
      </c>
      <c r="G29" s="778">
        <f t="shared" si="3"/>
        <v>22</v>
      </c>
      <c r="H29" s="779">
        <v>6</v>
      </c>
      <c r="I29" s="780">
        <v>2051</v>
      </c>
      <c r="J29" s="781">
        <v>1263</v>
      </c>
      <c r="K29" s="781">
        <v>686</v>
      </c>
      <c r="L29" s="781">
        <f t="shared" si="4"/>
        <v>48</v>
      </c>
      <c r="M29" s="782">
        <v>54</v>
      </c>
      <c r="N29" s="780">
        <v>4771</v>
      </c>
      <c r="O29" s="781">
        <v>2087</v>
      </c>
      <c r="P29" s="781">
        <v>1213</v>
      </c>
      <c r="Q29" s="783">
        <f t="shared" si="5"/>
        <v>565</v>
      </c>
      <c r="R29" s="784">
        <v>906</v>
      </c>
      <c r="S29" s="785">
        <v>7449</v>
      </c>
      <c r="T29" s="786"/>
      <c r="U29" s="872">
        <f>ROUND(H29*'Hispanic Adjustment'!P28,0)</f>
        <v>5</v>
      </c>
      <c r="V29" s="756">
        <f>ROUND(H29*'Hispanic Adjustment'!Q28,0)</f>
        <v>0</v>
      </c>
      <c r="W29" s="873">
        <f>ROUND(H29*'Hispanic Adjustment'!R28,0)</f>
        <v>0</v>
      </c>
      <c r="X29" s="872">
        <f>ROUND(M29*'Hispanic Adjustment'!S28,0)</f>
        <v>45</v>
      </c>
      <c r="Y29" s="756">
        <f>ROUND(M29*'Hispanic Adjustment'!T28,0)</f>
        <v>4</v>
      </c>
      <c r="Z29" s="873">
        <f>ROUND(M29*'Hispanic Adjustment'!U28,0)</f>
        <v>5</v>
      </c>
      <c r="AA29" s="872">
        <f>ROUND(R29*'Hispanic Adjustment'!V28,0)</f>
        <v>733</v>
      </c>
      <c r="AB29" s="756">
        <f>ROUND(R29*'Hispanic Adjustment'!W28,0)</f>
        <v>101</v>
      </c>
      <c r="AC29" s="873">
        <f>ROUND(R29*'Hispanic Adjustment'!X28,0)</f>
        <v>72</v>
      </c>
      <c r="AE29" s="907">
        <f t="shared" si="6"/>
        <v>394</v>
      </c>
      <c r="AF29" s="908">
        <f t="shared" si="7"/>
        <v>210</v>
      </c>
      <c r="AG29" s="909">
        <f t="shared" si="8"/>
        <v>22</v>
      </c>
      <c r="AH29" s="907">
        <f t="shared" si="9"/>
        <v>1308</v>
      </c>
      <c r="AI29" s="908">
        <f t="shared" si="10"/>
        <v>690</v>
      </c>
      <c r="AJ29" s="909">
        <f t="shared" si="11"/>
        <v>53</v>
      </c>
      <c r="AK29" s="907">
        <f t="shared" si="12"/>
        <v>2820</v>
      </c>
      <c r="AL29" s="908">
        <f t="shared" si="13"/>
        <v>1314</v>
      </c>
      <c r="AM29" s="910">
        <f t="shared" si="14"/>
        <v>637</v>
      </c>
    </row>
    <row r="30" spans="1:39">
      <c r="A30" s="775" t="s">
        <v>65</v>
      </c>
      <c r="B30" s="776" t="s">
        <v>66</v>
      </c>
      <c r="C30" s="776" t="s">
        <v>273</v>
      </c>
      <c r="D30" s="777">
        <v>336</v>
      </c>
      <c r="E30" s="778">
        <v>118</v>
      </c>
      <c r="F30" s="778">
        <v>212</v>
      </c>
      <c r="G30" s="778">
        <f t="shared" si="3"/>
        <v>6</v>
      </c>
      <c r="H30" s="779">
        <v>0</v>
      </c>
      <c r="I30" s="780">
        <v>761</v>
      </c>
      <c r="J30" s="781">
        <v>396</v>
      </c>
      <c r="K30" s="781">
        <v>347</v>
      </c>
      <c r="L30" s="781">
        <f t="shared" si="4"/>
        <v>9</v>
      </c>
      <c r="M30" s="782">
        <v>9</v>
      </c>
      <c r="N30" s="780">
        <v>1405</v>
      </c>
      <c r="O30" s="781">
        <v>655</v>
      </c>
      <c r="P30" s="781">
        <v>634</v>
      </c>
      <c r="Q30" s="783">
        <f t="shared" si="5"/>
        <v>59</v>
      </c>
      <c r="R30" s="784">
        <v>57</v>
      </c>
      <c r="S30" s="785">
        <v>2502</v>
      </c>
      <c r="T30" s="786"/>
      <c r="U30" s="872">
        <f>ROUND(H30*'Hispanic Adjustment'!P29,0)</f>
        <v>0</v>
      </c>
      <c r="V30" s="756">
        <f>ROUND(H30*'Hispanic Adjustment'!Q29,0)</f>
        <v>0</v>
      </c>
      <c r="W30" s="873">
        <f>ROUND(H30*'Hispanic Adjustment'!R29,0)</f>
        <v>0</v>
      </c>
      <c r="X30" s="872">
        <f>ROUND(M30*'Hispanic Adjustment'!S29,0)</f>
        <v>7</v>
      </c>
      <c r="Y30" s="756">
        <f>ROUND(M30*'Hispanic Adjustment'!T29,0)</f>
        <v>1</v>
      </c>
      <c r="Z30" s="873">
        <f>ROUND(M30*'Hispanic Adjustment'!U29,0)</f>
        <v>0</v>
      </c>
      <c r="AA30" s="872">
        <f>ROUND(R30*'Hispanic Adjustment'!V29,0)</f>
        <v>40</v>
      </c>
      <c r="AB30" s="756">
        <f>ROUND(R30*'Hispanic Adjustment'!W29,0)</f>
        <v>16</v>
      </c>
      <c r="AC30" s="873">
        <f>ROUND(R30*'Hispanic Adjustment'!X29,0)</f>
        <v>1</v>
      </c>
      <c r="AE30" s="907">
        <f t="shared" si="6"/>
        <v>118</v>
      </c>
      <c r="AF30" s="908">
        <f t="shared" si="7"/>
        <v>212</v>
      </c>
      <c r="AG30" s="909">
        <f t="shared" si="8"/>
        <v>6</v>
      </c>
      <c r="AH30" s="907">
        <f t="shared" si="9"/>
        <v>403</v>
      </c>
      <c r="AI30" s="908">
        <f t="shared" si="10"/>
        <v>348</v>
      </c>
      <c r="AJ30" s="909">
        <f t="shared" si="11"/>
        <v>9</v>
      </c>
      <c r="AK30" s="907">
        <f t="shared" si="12"/>
        <v>695</v>
      </c>
      <c r="AL30" s="908">
        <f t="shared" si="13"/>
        <v>650</v>
      </c>
      <c r="AM30" s="910">
        <f t="shared" si="14"/>
        <v>60</v>
      </c>
    </row>
    <row r="31" spans="1:39">
      <c r="A31" s="775" t="s">
        <v>69</v>
      </c>
      <c r="B31" s="776" t="s">
        <v>70</v>
      </c>
      <c r="C31" s="776" t="s">
        <v>275</v>
      </c>
      <c r="D31" s="777">
        <v>493</v>
      </c>
      <c r="E31" s="778">
        <v>488</v>
      </c>
      <c r="F31" s="778">
        <v>0</v>
      </c>
      <c r="G31" s="778">
        <f t="shared" si="3"/>
        <v>5</v>
      </c>
      <c r="H31" s="779">
        <v>0</v>
      </c>
      <c r="I31" s="780">
        <v>1966</v>
      </c>
      <c r="J31" s="781">
        <v>1936</v>
      </c>
      <c r="K31" s="781">
        <v>10</v>
      </c>
      <c r="L31" s="781">
        <f t="shared" si="4"/>
        <v>12</v>
      </c>
      <c r="M31" s="782">
        <v>8</v>
      </c>
      <c r="N31" s="780">
        <v>2130</v>
      </c>
      <c r="O31" s="781">
        <v>2045</v>
      </c>
      <c r="P31" s="781">
        <v>21</v>
      </c>
      <c r="Q31" s="783">
        <f t="shared" si="5"/>
        <v>44</v>
      </c>
      <c r="R31" s="784">
        <v>20</v>
      </c>
      <c r="S31" s="785">
        <v>4589</v>
      </c>
      <c r="T31" s="786"/>
      <c r="U31" s="872">
        <f>ROUND(H31*'Hispanic Adjustment'!P30,0)</f>
        <v>0</v>
      </c>
      <c r="V31" s="756">
        <f>ROUND(H31*'Hispanic Adjustment'!Q30,0)</f>
        <v>0</v>
      </c>
      <c r="W31" s="873">
        <f>ROUND(H31*'Hispanic Adjustment'!R30,0)</f>
        <v>0</v>
      </c>
      <c r="X31" s="872">
        <f>ROUND(M31*'Hispanic Adjustment'!S30,0)</f>
        <v>7</v>
      </c>
      <c r="Y31" s="756">
        <f>ROUND(M31*'Hispanic Adjustment'!T30,0)</f>
        <v>1</v>
      </c>
      <c r="Z31" s="873">
        <f>ROUND(M31*'Hispanic Adjustment'!U30,0)</f>
        <v>1</v>
      </c>
      <c r="AA31" s="872">
        <f>ROUND(R31*'Hispanic Adjustment'!V30,0)</f>
        <v>18</v>
      </c>
      <c r="AB31" s="756">
        <f>ROUND(R31*'Hispanic Adjustment'!W30,0)</f>
        <v>1</v>
      </c>
      <c r="AC31" s="873">
        <f>ROUND(R31*'Hispanic Adjustment'!X30,0)</f>
        <v>2</v>
      </c>
      <c r="AE31" s="907">
        <f t="shared" si="6"/>
        <v>488</v>
      </c>
      <c r="AF31" s="908">
        <f t="shared" si="7"/>
        <v>0</v>
      </c>
      <c r="AG31" s="909">
        <f t="shared" si="8"/>
        <v>5</v>
      </c>
      <c r="AH31" s="907">
        <f t="shared" si="9"/>
        <v>1943</v>
      </c>
      <c r="AI31" s="908">
        <f t="shared" si="10"/>
        <v>11</v>
      </c>
      <c r="AJ31" s="909">
        <f t="shared" si="11"/>
        <v>13</v>
      </c>
      <c r="AK31" s="907">
        <f t="shared" si="12"/>
        <v>2063</v>
      </c>
      <c r="AL31" s="908">
        <f t="shared" si="13"/>
        <v>22</v>
      </c>
      <c r="AM31" s="910">
        <f t="shared" si="14"/>
        <v>46</v>
      </c>
    </row>
    <row r="32" spans="1:39">
      <c r="A32" s="775" t="s">
        <v>71</v>
      </c>
      <c r="B32" s="776" t="s">
        <v>72</v>
      </c>
      <c r="C32" s="776" t="s">
        <v>271</v>
      </c>
      <c r="D32" s="777">
        <v>570</v>
      </c>
      <c r="E32" s="778">
        <v>230</v>
      </c>
      <c r="F32" s="778">
        <v>320</v>
      </c>
      <c r="G32" s="778">
        <f t="shared" si="3"/>
        <v>20</v>
      </c>
      <c r="H32" s="779">
        <v>0</v>
      </c>
      <c r="I32" s="780">
        <v>1706</v>
      </c>
      <c r="J32" s="781">
        <v>928</v>
      </c>
      <c r="K32" s="781">
        <v>687</v>
      </c>
      <c r="L32" s="781">
        <f t="shared" si="4"/>
        <v>68</v>
      </c>
      <c r="M32" s="782">
        <v>23</v>
      </c>
      <c r="N32" s="780">
        <v>3046</v>
      </c>
      <c r="O32" s="781">
        <v>1399</v>
      </c>
      <c r="P32" s="781">
        <v>1150</v>
      </c>
      <c r="Q32" s="783">
        <f t="shared" si="5"/>
        <v>324</v>
      </c>
      <c r="R32" s="784">
        <v>173</v>
      </c>
      <c r="S32" s="785">
        <v>5322</v>
      </c>
      <c r="T32" s="786"/>
      <c r="U32" s="872">
        <f>ROUND(H32*'Hispanic Adjustment'!P31,0)</f>
        <v>0</v>
      </c>
      <c r="V32" s="756">
        <f>ROUND(H32*'Hispanic Adjustment'!Q31,0)</f>
        <v>0</v>
      </c>
      <c r="W32" s="873">
        <f>ROUND(H32*'Hispanic Adjustment'!R31,0)</f>
        <v>0</v>
      </c>
      <c r="X32" s="872">
        <f>ROUND(M32*'Hispanic Adjustment'!S31,0)</f>
        <v>17</v>
      </c>
      <c r="Y32" s="756">
        <f>ROUND(M32*'Hispanic Adjustment'!T31,0)</f>
        <v>5</v>
      </c>
      <c r="Z32" s="873">
        <f>ROUND(M32*'Hispanic Adjustment'!U31,0)</f>
        <v>1</v>
      </c>
      <c r="AA32" s="872">
        <f>ROUND(R32*'Hispanic Adjustment'!V31,0)</f>
        <v>128</v>
      </c>
      <c r="AB32" s="756">
        <f>ROUND(R32*'Hispanic Adjustment'!W31,0)</f>
        <v>38</v>
      </c>
      <c r="AC32" s="873">
        <f>ROUND(R32*'Hispanic Adjustment'!X31,0)</f>
        <v>8</v>
      </c>
      <c r="AE32" s="907">
        <f t="shared" si="6"/>
        <v>230</v>
      </c>
      <c r="AF32" s="908">
        <f t="shared" si="7"/>
        <v>320</v>
      </c>
      <c r="AG32" s="909">
        <f t="shared" si="8"/>
        <v>20</v>
      </c>
      <c r="AH32" s="907">
        <f t="shared" si="9"/>
        <v>945</v>
      </c>
      <c r="AI32" s="908">
        <f t="shared" si="10"/>
        <v>692</v>
      </c>
      <c r="AJ32" s="909">
        <f t="shared" si="11"/>
        <v>69</v>
      </c>
      <c r="AK32" s="907">
        <f t="shared" si="12"/>
        <v>1527</v>
      </c>
      <c r="AL32" s="908">
        <f t="shared" si="13"/>
        <v>1188</v>
      </c>
      <c r="AM32" s="910">
        <f t="shared" si="14"/>
        <v>332</v>
      </c>
    </row>
    <row r="33" spans="1:39">
      <c r="A33" s="775" t="s">
        <v>73</v>
      </c>
      <c r="B33" s="776" t="s">
        <v>74</v>
      </c>
      <c r="C33" s="776" t="s">
        <v>273</v>
      </c>
      <c r="D33" s="777">
        <v>246</v>
      </c>
      <c r="E33" s="778">
        <v>79</v>
      </c>
      <c r="F33" s="778">
        <v>159</v>
      </c>
      <c r="G33" s="778">
        <f t="shared" si="3"/>
        <v>8</v>
      </c>
      <c r="H33" s="779">
        <v>0</v>
      </c>
      <c r="I33" s="780">
        <v>885</v>
      </c>
      <c r="J33" s="781">
        <v>292</v>
      </c>
      <c r="K33" s="781">
        <v>528</v>
      </c>
      <c r="L33" s="781">
        <f t="shared" si="4"/>
        <v>56</v>
      </c>
      <c r="M33" s="782">
        <v>9</v>
      </c>
      <c r="N33" s="780">
        <v>1614</v>
      </c>
      <c r="O33" s="781">
        <v>412</v>
      </c>
      <c r="P33" s="781">
        <v>906</v>
      </c>
      <c r="Q33" s="783">
        <f t="shared" si="5"/>
        <v>219</v>
      </c>
      <c r="R33" s="784">
        <v>77</v>
      </c>
      <c r="S33" s="785">
        <v>2745</v>
      </c>
      <c r="T33" s="786"/>
      <c r="U33" s="872">
        <f>ROUND(H33*'Hispanic Adjustment'!P32,0)</f>
        <v>0</v>
      </c>
      <c r="V33" s="756">
        <f>ROUND(H33*'Hispanic Adjustment'!Q32,0)</f>
        <v>0</v>
      </c>
      <c r="W33" s="873">
        <f>ROUND(H33*'Hispanic Adjustment'!R32,0)</f>
        <v>0</v>
      </c>
      <c r="X33" s="872">
        <f>ROUND(M33*'Hispanic Adjustment'!S32,0)</f>
        <v>6</v>
      </c>
      <c r="Y33" s="756">
        <f>ROUND(M33*'Hispanic Adjustment'!T32,0)</f>
        <v>1</v>
      </c>
      <c r="Z33" s="873">
        <f>ROUND(M33*'Hispanic Adjustment'!U32,0)</f>
        <v>2</v>
      </c>
      <c r="AA33" s="872">
        <f>ROUND(R33*'Hispanic Adjustment'!V32,0)</f>
        <v>53</v>
      </c>
      <c r="AB33" s="756">
        <f>ROUND(R33*'Hispanic Adjustment'!W32,0)</f>
        <v>15</v>
      </c>
      <c r="AC33" s="873">
        <f>ROUND(R33*'Hispanic Adjustment'!X32,0)</f>
        <v>9</v>
      </c>
      <c r="AE33" s="907">
        <f t="shared" si="6"/>
        <v>79</v>
      </c>
      <c r="AF33" s="908">
        <f t="shared" si="7"/>
        <v>159</v>
      </c>
      <c r="AG33" s="909">
        <f t="shared" si="8"/>
        <v>8</v>
      </c>
      <c r="AH33" s="907">
        <f t="shared" si="9"/>
        <v>298</v>
      </c>
      <c r="AI33" s="908">
        <f t="shared" si="10"/>
        <v>529</v>
      </c>
      <c r="AJ33" s="909">
        <f t="shared" si="11"/>
        <v>58</v>
      </c>
      <c r="AK33" s="907">
        <f t="shared" si="12"/>
        <v>465</v>
      </c>
      <c r="AL33" s="908">
        <f t="shared" si="13"/>
        <v>921</v>
      </c>
      <c r="AM33" s="910">
        <f t="shared" si="14"/>
        <v>228</v>
      </c>
    </row>
    <row r="34" spans="1:39">
      <c r="A34" s="775" t="s">
        <v>75</v>
      </c>
      <c r="B34" s="776" t="s">
        <v>306</v>
      </c>
      <c r="C34" s="776" t="s">
        <v>274</v>
      </c>
      <c r="D34" s="777">
        <v>11148</v>
      </c>
      <c r="E34" s="778">
        <v>4104</v>
      </c>
      <c r="F34" s="778">
        <v>993</v>
      </c>
      <c r="G34" s="778">
        <f t="shared" si="3"/>
        <v>5099</v>
      </c>
      <c r="H34" s="779">
        <v>952</v>
      </c>
      <c r="I34" s="780">
        <v>12423</v>
      </c>
      <c r="J34" s="781">
        <v>4972</v>
      </c>
      <c r="K34" s="781">
        <v>3435</v>
      </c>
      <c r="L34" s="781">
        <f t="shared" si="4"/>
        <v>2516</v>
      </c>
      <c r="M34" s="782">
        <v>1500</v>
      </c>
      <c r="N34" s="780">
        <v>57778</v>
      </c>
      <c r="O34" s="781">
        <v>6704</v>
      </c>
      <c r="P34" s="781">
        <v>9731</v>
      </c>
      <c r="Q34" s="783">
        <f t="shared" si="5"/>
        <v>12466</v>
      </c>
      <c r="R34" s="784">
        <v>28877</v>
      </c>
      <c r="S34" s="785">
        <v>81349</v>
      </c>
      <c r="T34" s="786"/>
      <c r="U34" s="872">
        <f>ROUND(H34*'Hispanic Adjustment'!P33,0)</f>
        <v>888</v>
      </c>
      <c r="V34" s="756">
        <f>ROUND(H34*'Hispanic Adjustment'!Q33,0)</f>
        <v>31</v>
      </c>
      <c r="W34" s="873">
        <f>ROUND(H34*'Hispanic Adjustment'!R33,0)</f>
        <v>35</v>
      </c>
      <c r="X34" s="872">
        <f>ROUND(M34*'Hispanic Adjustment'!S33,0)</f>
        <v>1363</v>
      </c>
      <c r="Y34" s="756">
        <f>ROUND(M34*'Hispanic Adjustment'!T33,0)</f>
        <v>63</v>
      </c>
      <c r="Z34" s="873">
        <f>ROUND(M34*'Hispanic Adjustment'!U33,0)</f>
        <v>77</v>
      </c>
      <c r="AA34" s="872">
        <f>ROUND(R34*'Hispanic Adjustment'!V33,0)</f>
        <v>25674</v>
      </c>
      <c r="AB34" s="756">
        <f>ROUND(R34*'Hispanic Adjustment'!W33,0)</f>
        <v>1537</v>
      </c>
      <c r="AC34" s="873">
        <f>ROUND(R34*'Hispanic Adjustment'!X33,0)</f>
        <v>1739</v>
      </c>
      <c r="AE34" s="907">
        <f t="shared" si="6"/>
        <v>4992</v>
      </c>
      <c r="AF34" s="908">
        <f t="shared" si="7"/>
        <v>1024</v>
      </c>
      <c r="AG34" s="909">
        <f t="shared" si="8"/>
        <v>5134</v>
      </c>
      <c r="AH34" s="907">
        <f t="shared" si="9"/>
        <v>6335</v>
      </c>
      <c r="AI34" s="908">
        <f t="shared" si="10"/>
        <v>3498</v>
      </c>
      <c r="AJ34" s="909">
        <f t="shared" si="11"/>
        <v>2593</v>
      </c>
      <c r="AK34" s="907">
        <f t="shared" si="12"/>
        <v>32378</v>
      </c>
      <c r="AL34" s="908">
        <f t="shared" si="13"/>
        <v>11268</v>
      </c>
      <c r="AM34" s="910">
        <f t="shared" si="14"/>
        <v>14205</v>
      </c>
    </row>
    <row r="35" spans="1:39">
      <c r="A35" s="775" t="s">
        <v>77</v>
      </c>
      <c r="B35" s="776" t="s">
        <v>78</v>
      </c>
      <c r="C35" s="776" t="s">
        <v>274</v>
      </c>
      <c r="D35" s="777">
        <v>604</v>
      </c>
      <c r="E35" s="778">
        <v>385</v>
      </c>
      <c r="F35" s="778">
        <v>188</v>
      </c>
      <c r="G35" s="778">
        <f t="shared" si="3"/>
        <v>23</v>
      </c>
      <c r="H35" s="779">
        <v>8</v>
      </c>
      <c r="I35" s="780">
        <v>1582</v>
      </c>
      <c r="J35" s="781">
        <v>1061</v>
      </c>
      <c r="K35" s="781">
        <v>396</v>
      </c>
      <c r="L35" s="781">
        <f t="shared" si="4"/>
        <v>87</v>
      </c>
      <c r="M35" s="782">
        <v>38</v>
      </c>
      <c r="N35" s="780">
        <v>3923</v>
      </c>
      <c r="O35" s="781">
        <v>1782</v>
      </c>
      <c r="P35" s="781">
        <v>776</v>
      </c>
      <c r="Q35" s="783">
        <f t="shared" si="5"/>
        <v>556</v>
      </c>
      <c r="R35" s="784">
        <v>809</v>
      </c>
      <c r="S35" s="785">
        <v>6109</v>
      </c>
      <c r="T35" s="786"/>
      <c r="U35" s="872">
        <f>ROUND(H35*'Hispanic Adjustment'!P34,0)</f>
        <v>7</v>
      </c>
      <c r="V35" s="756">
        <f>ROUND(H35*'Hispanic Adjustment'!Q34,0)</f>
        <v>1</v>
      </c>
      <c r="W35" s="873">
        <f>ROUND(H35*'Hispanic Adjustment'!R34,0)</f>
        <v>0</v>
      </c>
      <c r="X35" s="872">
        <f>ROUND(M35*'Hispanic Adjustment'!S34,0)</f>
        <v>35</v>
      </c>
      <c r="Y35" s="756">
        <f>ROUND(M35*'Hispanic Adjustment'!T34,0)</f>
        <v>2</v>
      </c>
      <c r="Z35" s="873">
        <f>ROUND(M35*'Hispanic Adjustment'!U34,0)</f>
        <v>2</v>
      </c>
      <c r="AA35" s="872">
        <f>ROUND(R35*'Hispanic Adjustment'!V34,0)</f>
        <v>714</v>
      </c>
      <c r="AB35" s="756">
        <f>ROUND(R35*'Hispanic Adjustment'!W34,0)</f>
        <v>55</v>
      </c>
      <c r="AC35" s="873">
        <f>ROUND(R35*'Hispanic Adjustment'!X34,0)</f>
        <v>40</v>
      </c>
      <c r="AE35" s="907">
        <f t="shared" si="6"/>
        <v>392</v>
      </c>
      <c r="AF35" s="908">
        <f t="shared" si="7"/>
        <v>189</v>
      </c>
      <c r="AG35" s="909">
        <f t="shared" si="8"/>
        <v>23</v>
      </c>
      <c r="AH35" s="907">
        <f t="shared" si="9"/>
        <v>1096</v>
      </c>
      <c r="AI35" s="908">
        <f t="shared" si="10"/>
        <v>398</v>
      </c>
      <c r="AJ35" s="909">
        <f t="shared" si="11"/>
        <v>89</v>
      </c>
      <c r="AK35" s="907">
        <f t="shared" si="12"/>
        <v>2496</v>
      </c>
      <c r="AL35" s="908">
        <f t="shared" si="13"/>
        <v>831</v>
      </c>
      <c r="AM35" s="910">
        <f t="shared" si="14"/>
        <v>596</v>
      </c>
    </row>
    <row r="36" spans="1:39">
      <c r="A36" s="775" t="s">
        <v>79</v>
      </c>
      <c r="B36" s="776" t="s">
        <v>80</v>
      </c>
      <c r="C36" s="776" t="s">
        <v>275</v>
      </c>
      <c r="D36" s="777">
        <v>317</v>
      </c>
      <c r="E36" s="778">
        <v>294</v>
      </c>
      <c r="F36" s="778">
        <v>15</v>
      </c>
      <c r="G36" s="778">
        <f t="shared" si="3"/>
        <v>5</v>
      </c>
      <c r="H36" s="779">
        <v>3</v>
      </c>
      <c r="I36" s="780">
        <v>837</v>
      </c>
      <c r="J36" s="781">
        <v>774</v>
      </c>
      <c r="K36" s="781">
        <v>35</v>
      </c>
      <c r="L36" s="781">
        <f t="shared" si="4"/>
        <v>17</v>
      </c>
      <c r="M36" s="782">
        <v>11</v>
      </c>
      <c r="N36" s="780">
        <v>1491</v>
      </c>
      <c r="O36" s="781">
        <v>1257</v>
      </c>
      <c r="P36" s="781">
        <v>59</v>
      </c>
      <c r="Q36" s="783">
        <f t="shared" si="5"/>
        <v>60</v>
      </c>
      <c r="R36" s="784">
        <v>115</v>
      </c>
      <c r="S36" s="785">
        <v>2645</v>
      </c>
      <c r="T36" s="786"/>
      <c r="U36" s="872">
        <f>ROUND(H36*'Hispanic Adjustment'!P35,0)</f>
        <v>3</v>
      </c>
      <c r="V36" s="756">
        <f>ROUND(H36*'Hispanic Adjustment'!Q35,0)</f>
        <v>0</v>
      </c>
      <c r="W36" s="873">
        <f>ROUND(H36*'Hispanic Adjustment'!R35,0)</f>
        <v>0</v>
      </c>
      <c r="X36" s="872">
        <f>ROUND(M36*'Hispanic Adjustment'!S35,0)</f>
        <v>10</v>
      </c>
      <c r="Y36" s="756">
        <f>ROUND(M36*'Hispanic Adjustment'!T35,0)</f>
        <v>1</v>
      </c>
      <c r="Z36" s="873">
        <f>ROUND(M36*'Hispanic Adjustment'!U35,0)</f>
        <v>0</v>
      </c>
      <c r="AA36" s="872">
        <f>ROUND(R36*'Hispanic Adjustment'!V35,0)</f>
        <v>110</v>
      </c>
      <c r="AB36" s="756">
        <f>ROUND(R36*'Hispanic Adjustment'!W35,0)</f>
        <v>4</v>
      </c>
      <c r="AC36" s="873">
        <f>ROUND(R36*'Hispanic Adjustment'!X35,0)</f>
        <v>1</v>
      </c>
      <c r="AE36" s="907">
        <f t="shared" si="6"/>
        <v>297</v>
      </c>
      <c r="AF36" s="908">
        <f t="shared" si="7"/>
        <v>15</v>
      </c>
      <c r="AG36" s="909">
        <f t="shared" si="8"/>
        <v>5</v>
      </c>
      <c r="AH36" s="907">
        <f t="shared" si="9"/>
        <v>784</v>
      </c>
      <c r="AI36" s="908">
        <f t="shared" si="10"/>
        <v>36</v>
      </c>
      <c r="AJ36" s="909">
        <f t="shared" si="11"/>
        <v>17</v>
      </c>
      <c r="AK36" s="907">
        <f t="shared" si="12"/>
        <v>1367</v>
      </c>
      <c r="AL36" s="908">
        <f t="shared" si="13"/>
        <v>63</v>
      </c>
      <c r="AM36" s="910">
        <f t="shared" si="14"/>
        <v>61</v>
      </c>
    </row>
    <row r="37" spans="1:39">
      <c r="A37" s="775" t="s">
        <v>81</v>
      </c>
      <c r="B37" s="776" t="s">
        <v>82</v>
      </c>
      <c r="C37" s="776" t="s">
        <v>273</v>
      </c>
      <c r="D37" s="777">
        <v>285</v>
      </c>
      <c r="E37" s="778">
        <v>158</v>
      </c>
      <c r="F37" s="778">
        <v>119</v>
      </c>
      <c r="G37" s="778">
        <f t="shared" si="3"/>
        <v>6</v>
      </c>
      <c r="H37" s="779">
        <v>2</v>
      </c>
      <c r="I37" s="780">
        <v>702</v>
      </c>
      <c r="J37" s="781">
        <v>448</v>
      </c>
      <c r="K37" s="781">
        <v>231</v>
      </c>
      <c r="L37" s="781">
        <f t="shared" si="4"/>
        <v>12</v>
      </c>
      <c r="M37" s="782">
        <v>11</v>
      </c>
      <c r="N37" s="780">
        <v>1533</v>
      </c>
      <c r="O37" s="781">
        <v>886</v>
      </c>
      <c r="P37" s="781">
        <v>467</v>
      </c>
      <c r="Q37" s="783">
        <f t="shared" si="5"/>
        <v>72</v>
      </c>
      <c r="R37" s="784">
        <v>108</v>
      </c>
      <c r="S37" s="785">
        <v>2520</v>
      </c>
      <c r="T37" s="786"/>
      <c r="U37" s="872">
        <f>ROUND(H37*'Hispanic Adjustment'!P36,0)</f>
        <v>2</v>
      </c>
      <c r="V37" s="756">
        <f>ROUND(H37*'Hispanic Adjustment'!Q36,0)</f>
        <v>0</v>
      </c>
      <c r="W37" s="873">
        <f>ROUND(H37*'Hispanic Adjustment'!R36,0)</f>
        <v>0</v>
      </c>
      <c r="X37" s="872">
        <f>ROUND(M37*'Hispanic Adjustment'!S36,0)</f>
        <v>10</v>
      </c>
      <c r="Y37" s="756">
        <f>ROUND(M37*'Hispanic Adjustment'!T36,0)</f>
        <v>1</v>
      </c>
      <c r="Z37" s="873">
        <f>ROUND(M37*'Hispanic Adjustment'!U36,0)</f>
        <v>0</v>
      </c>
      <c r="AA37" s="872">
        <f>ROUND(R37*'Hispanic Adjustment'!V36,0)</f>
        <v>94</v>
      </c>
      <c r="AB37" s="756">
        <f>ROUND(R37*'Hispanic Adjustment'!W36,0)</f>
        <v>10</v>
      </c>
      <c r="AC37" s="873">
        <f>ROUND(R37*'Hispanic Adjustment'!X36,0)</f>
        <v>4</v>
      </c>
      <c r="AE37" s="907">
        <f t="shared" si="6"/>
        <v>160</v>
      </c>
      <c r="AF37" s="908">
        <f t="shared" si="7"/>
        <v>119</v>
      </c>
      <c r="AG37" s="909">
        <f t="shared" si="8"/>
        <v>6</v>
      </c>
      <c r="AH37" s="907">
        <f t="shared" si="9"/>
        <v>458</v>
      </c>
      <c r="AI37" s="908">
        <f t="shared" si="10"/>
        <v>232</v>
      </c>
      <c r="AJ37" s="909">
        <f t="shared" si="11"/>
        <v>12</v>
      </c>
      <c r="AK37" s="907">
        <f t="shared" si="12"/>
        <v>980</v>
      </c>
      <c r="AL37" s="908">
        <f t="shared" si="13"/>
        <v>477</v>
      </c>
      <c r="AM37" s="910">
        <f t="shared" si="14"/>
        <v>76</v>
      </c>
    </row>
    <row r="38" spans="1:39">
      <c r="A38" s="775" t="s">
        <v>85</v>
      </c>
      <c r="B38" s="776" t="s">
        <v>86</v>
      </c>
      <c r="C38" s="776" t="s">
        <v>272</v>
      </c>
      <c r="D38" s="777">
        <v>1001</v>
      </c>
      <c r="E38" s="778">
        <v>791</v>
      </c>
      <c r="F38" s="778">
        <v>171</v>
      </c>
      <c r="G38" s="778">
        <f t="shared" ref="G38:G69" si="15">D38-E38-F38-H38</f>
        <v>37</v>
      </c>
      <c r="H38" s="779">
        <v>2</v>
      </c>
      <c r="I38" s="780">
        <v>3370</v>
      </c>
      <c r="J38" s="781">
        <v>2760</v>
      </c>
      <c r="K38" s="781">
        <v>437</v>
      </c>
      <c r="L38" s="781">
        <f t="shared" ref="L38:L69" si="16">I38-J38-K38-M38</f>
        <v>145</v>
      </c>
      <c r="M38" s="782">
        <v>28</v>
      </c>
      <c r="N38" s="780">
        <v>5561</v>
      </c>
      <c r="O38" s="781">
        <v>3844</v>
      </c>
      <c r="P38" s="781">
        <v>671</v>
      </c>
      <c r="Q38" s="783">
        <f t="shared" ref="Q38:Q69" si="17">N38-O38-P38-R38</f>
        <v>716</v>
      </c>
      <c r="R38" s="784">
        <v>330</v>
      </c>
      <c r="S38" s="785">
        <v>9933</v>
      </c>
      <c r="T38" s="786"/>
      <c r="U38" s="872">
        <f>ROUND(H38*'Hispanic Adjustment'!P37,0)</f>
        <v>2</v>
      </c>
      <c r="V38" s="756">
        <f>ROUND(H38*'Hispanic Adjustment'!Q37,0)</f>
        <v>0</v>
      </c>
      <c r="W38" s="873">
        <f>ROUND(H38*'Hispanic Adjustment'!R37,0)</f>
        <v>0</v>
      </c>
      <c r="X38" s="872">
        <f>ROUND(M38*'Hispanic Adjustment'!S37,0)</f>
        <v>23</v>
      </c>
      <c r="Y38" s="756">
        <f>ROUND(M38*'Hispanic Adjustment'!T37,0)</f>
        <v>2</v>
      </c>
      <c r="Z38" s="873">
        <f>ROUND(M38*'Hispanic Adjustment'!U37,0)</f>
        <v>3</v>
      </c>
      <c r="AA38" s="872">
        <f>ROUND(R38*'Hispanic Adjustment'!V37,0)</f>
        <v>282</v>
      </c>
      <c r="AB38" s="756">
        <f>ROUND(R38*'Hispanic Adjustment'!W37,0)</f>
        <v>12</v>
      </c>
      <c r="AC38" s="873">
        <f>ROUND(R38*'Hispanic Adjustment'!X37,0)</f>
        <v>36</v>
      </c>
      <c r="AE38" s="907">
        <f t="shared" si="6"/>
        <v>793</v>
      </c>
      <c r="AF38" s="908">
        <f t="shared" si="7"/>
        <v>171</v>
      </c>
      <c r="AG38" s="909">
        <f t="shared" si="8"/>
        <v>37</v>
      </c>
      <c r="AH38" s="907">
        <f t="shared" si="9"/>
        <v>2783</v>
      </c>
      <c r="AI38" s="908">
        <f t="shared" si="10"/>
        <v>439</v>
      </c>
      <c r="AJ38" s="909">
        <f t="shared" si="11"/>
        <v>148</v>
      </c>
      <c r="AK38" s="907">
        <f t="shared" si="12"/>
        <v>4126</v>
      </c>
      <c r="AL38" s="908">
        <f t="shared" si="13"/>
        <v>683</v>
      </c>
      <c r="AM38" s="910">
        <f t="shared" si="14"/>
        <v>752</v>
      </c>
    </row>
    <row r="39" spans="1:39">
      <c r="A39" s="775" t="s">
        <v>87</v>
      </c>
      <c r="B39" s="776" t="s">
        <v>88</v>
      </c>
      <c r="C39" s="776" t="s">
        <v>274</v>
      </c>
      <c r="D39" s="777">
        <v>795</v>
      </c>
      <c r="E39" s="778">
        <v>690</v>
      </c>
      <c r="F39" s="778">
        <v>34</v>
      </c>
      <c r="G39" s="778">
        <f t="shared" si="15"/>
        <v>63</v>
      </c>
      <c r="H39" s="779">
        <v>8</v>
      </c>
      <c r="I39" s="780">
        <v>2665</v>
      </c>
      <c r="J39" s="781">
        <v>2223</v>
      </c>
      <c r="K39" s="781">
        <v>182</v>
      </c>
      <c r="L39" s="781">
        <f t="shared" si="16"/>
        <v>163</v>
      </c>
      <c r="M39" s="782">
        <v>97</v>
      </c>
      <c r="N39" s="780">
        <v>6194</v>
      </c>
      <c r="O39" s="781">
        <v>3666</v>
      </c>
      <c r="P39" s="781">
        <v>466</v>
      </c>
      <c r="Q39" s="783">
        <f t="shared" si="17"/>
        <v>734</v>
      </c>
      <c r="R39" s="784">
        <v>1328</v>
      </c>
      <c r="S39" s="785">
        <v>9654</v>
      </c>
      <c r="T39" s="786"/>
      <c r="U39" s="872">
        <f>ROUND(H39*'Hispanic Adjustment'!P38,0)</f>
        <v>8</v>
      </c>
      <c r="V39" s="756">
        <f>ROUND(H39*'Hispanic Adjustment'!Q38,0)</f>
        <v>0</v>
      </c>
      <c r="W39" s="873">
        <f>ROUND(H39*'Hispanic Adjustment'!R38,0)</f>
        <v>0</v>
      </c>
      <c r="X39" s="872">
        <f>ROUND(M39*'Hispanic Adjustment'!S38,0)</f>
        <v>89</v>
      </c>
      <c r="Y39" s="756">
        <f>ROUND(M39*'Hispanic Adjustment'!T38,0)</f>
        <v>4</v>
      </c>
      <c r="Z39" s="873">
        <f>ROUND(M39*'Hispanic Adjustment'!U38,0)</f>
        <v>4</v>
      </c>
      <c r="AA39" s="872">
        <f>ROUND(R39*'Hispanic Adjustment'!V38,0)</f>
        <v>1180</v>
      </c>
      <c r="AB39" s="756">
        <f>ROUND(R39*'Hispanic Adjustment'!W38,0)</f>
        <v>91</v>
      </c>
      <c r="AC39" s="873">
        <f>ROUND(R39*'Hispanic Adjustment'!X38,0)</f>
        <v>57</v>
      </c>
      <c r="AE39" s="907">
        <f t="shared" si="6"/>
        <v>698</v>
      </c>
      <c r="AF39" s="908">
        <f t="shared" si="7"/>
        <v>34</v>
      </c>
      <c r="AG39" s="909">
        <f t="shared" si="8"/>
        <v>63</v>
      </c>
      <c r="AH39" s="907">
        <f t="shared" si="9"/>
        <v>2312</v>
      </c>
      <c r="AI39" s="908">
        <f t="shared" si="10"/>
        <v>186</v>
      </c>
      <c r="AJ39" s="909">
        <f t="shared" si="11"/>
        <v>167</v>
      </c>
      <c r="AK39" s="907">
        <f t="shared" si="12"/>
        <v>4846</v>
      </c>
      <c r="AL39" s="908">
        <f t="shared" si="13"/>
        <v>557</v>
      </c>
      <c r="AM39" s="910">
        <f t="shared" si="14"/>
        <v>791</v>
      </c>
    </row>
    <row r="40" spans="1:39">
      <c r="A40" s="775" t="s">
        <v>93</v>
      </c>
      <c r="B40" s="776" t="s">
        <v>94</v>
      </c>
      <c r="C40" s="776" t="s">
        <v>275</v>
      </c>
      <c r="D40" s="777">
        <v>447</v>
      </c>
      <c r="E40" s="778">
        <v>429</v>
      </c>
      <c r="F40" s="778">
        <v>11</v>
      </c>
      <c r="G40" s="778">
        <f t="shared" si="15"/>
        <v>7</v>
      </c>
      <c r="H40" s="779">
        <v>0</v>
      </c>
      <c r="I40" s="780">
        <v>1148</v>
      </c>
      <c r="J40" s="781">
        <v>1112</v>
      </c>
      <c r="K40" s="781">
        <v>22</v>
      </c>
      <c r="L40" s="781">
        <f t="shared" si="16"/>
        <v>9</v>
      </c>
      <c r="M40" s="782">
        <v>5</v>
      </c>
      <c r="N40" s="780">
        <v>1698</v>
      </c>
      <c r="O40" s="781">
        <v>1546</v>
      </c>
      <c r="P40" s="781">
        <v>53</v>
      </c>
      <c r="Q40" s="783">
        <f t="shared" si="17"/>
        <v>51</v>
      </c>
      <c r="R40" s="784">
        <v>48</v>
      </c>
      <c r="S40" s="785">
        <v>3293</v>
      </c>
      <c r="T40" s="786"/>
      <c r="U40" s="872">
        <f>ROUND(H40*'Hispanic Adjustment'!P39,0)</f>
        <v>0</v>
      </c>
      <c r="V40" s="756">
        <f>ROUND(H40*'Hispanic Adjustment'!Q39,0)</f>
        <v>0</v>
      </c>
      <c r="W40" s="873">
        <f>ROUND(H40*'Hispanic Adjustment'!R39,0)</f>
        <v>0</v>
      </c>
      <c r="X40" s="872">
        <f>ROUND(M40*'Hispanic Adjustment'!S39,0)</f>
        <v>5</v>
      </c>
      <c r="Y40" s="756">
        <f>ROUND(M40*'Hispanic Adjustment'!T39,0)</f>
        <v>0</v>
      </c>
      <c r="Z40" s="873">
        <f>ROUND(M40*'Hispanic Adjustment'!U39,0)</f>
        <v>0</v>
      </c>
      <c r="AA40" s="872">
        <f>ROUND(R40*'Hispanic Adjustment'!V39,0)</f>
        <v>46</v>
      </c>
      <c r="AB40" s="756">
        <f>ROUND(R40*'Hispanic Adjustment'!W39,0)</f>
        <v>0</v>
      </c>
      <c r="AC40" s="873">
        <f>ROUND(R40*'Hispanic Adjustment'!X39,0)</f>
        <v>2</v>
      </c>
      <c r="AE40" s="907">
        <f t="shared" si="6"/>
        <v>429</v>
      </c>
      <c r="AF40" s="908">
        <f t="shared" si="7"/>
        <v>11</v>
      </c>
      <c r="AG40" s="909">
        <f t="shared" si="8"/>
        <v>7</v>
      </c>
      <c r="AH40" s="907">
        <f t="shared" si="9"/>
        <v>1117</v>
      </c>
      <c r="AI40" s="908">
        <f t="shared" si="10"/>
        <v>22</v>
      </c>
      <c r="AJ40" s="909">
        <f t="shared" si="11"/>
        <v>9</v>
      </c>
      <c r="AK40" s="907">
        <f t="shared" si="12"/>
        <v>1592</v>
      </c>
      <c r="AL40" s="908">
        <f t="shared" si="13"/>
        <v>53</v>
      </c>
      <c r="AM40" s="910">
        <f t="shared" si="14"/>
        <v>53</v>
      </c>
    </row>
    <row r="41" spans="1:39">
      <c r="A41" s="775" t="s">
        <v>95</v>
      </c>
      <c r="B41" s="776" t="s">
        <v>96</v>
      </c>
      <c r="C41" s="776" t="s">
        <v>271</v>
      </c>
      <c r="D41" s="777">
        <v>453</v>
      </c>
      <c r="E41" s="778">
        <v>324</v>
      </c>
      <c r="F41" s="778">
        <v>94</v>
      </c>
      <c r="G41" s="778">
        <f t="shared" si="15"/>
        <v>33</v>
      </c>
      <c r="H41" s="779">
        <v>2</v>
      </c>
      <c r="I41" s="780">
        <v>1577</v>
      </c>
      <c r="J41" s="781">
        <v>1256</v>
      </c>
      <c r="K41" s="781">
        <v>241</v>
      </c>
      <c r="L41" s="781">
        <f t="shared" si="16"/>
        <v>51</v>
      </c>
      <c r="M41" s="782">
        <v>29</v>
      </c>
      <c r="N41" s="780">
        <v>2881</v>
      </c>
      <c r="O41" s="781">
        <v>2100</v>
      </c>
      <c r="P41" s="781">
        <v>425</v>
      </c>
      <c r="Q41" s="783">
        <f t="shared" si="17"/>
        <v>249</v>
      </c>
      <c r="R41" s="784">
        <v>107</v>
      </c>
      <c r="S41" s="785">
        <v>4911</v>
      </c>
      <c r="T41" s="786"/>
      <c r="U41" s="872">
        <f>ROUND(H41*'Hispanic Adjustment'!P40,0)</f>
        <v>2</v>
      </c>
      <c r="V41" s="756">
        <f>ROUND(H41*'Hispanic Adjustment'!Q40,0)</f>
        <v>0</v>
      </c>
      <c r="W41" s="873">
        <f>ROUND(H41*'Hispanic Adjustment'!R40,0)</f>
        <v>0</v>
      </c>
      <c r="X41" s="872">
        <f>ROUND(M41*'Hispanic Adjustment'!S40,0)</f>
        <v>25</v>
      </c>
      <c r="Y41" s="756">
        <f>ROUND(M41*'Hispanic Adjustment'!T40,0)</f>
        <v>2</v>
      </c>
      <c r="Z41" s="873">
        <f>ROUND(M41*'Hispanic Adjustment'!U40,0)</f>
        <v>1</v>
      </c>
      <c r="AA41" s="872">
        <f>ROUND(R41*'Hispanic Adjustment'!V40,0)</f>
        <v>95</v>
      </c>
      <c r="AB41" s="756">
        <f>ROUND(R41*'Hispanic Adjustment'!W40,0)</f>
        <v>8</v>
      </c>
      <c r="AC41" s="873">
        <f>ROUND(R41*'Hispanic Adjustment'!X40,0)</f>
        <v>4</v>
      </c>
      <c r="AE41" s="907">
        <f t="shared" si="6"/>
        <v>326</v>
      </c>
      <c r="AF41" s="908">
        <f t="shared" si="7"/>
        <v>94</v>
      </c>
      <c r="AG41" s="909">
        <f t="shared" si="8"/>
        <v>33</v>
      </c>
      <c r="AH41" s="907">
        <f t="shared" si="9"/>
        <v>1281</v>
      </c>
      <c r="AI41" s="908">
        <f t="shared" si="10"/>
        <v>243</v>
      </c>
      <c r="AJ41" s="909">
        <f t="shared" si="11"/>
        <v>52</v>
      </c>
      <c r="AK41" s="907">
        <f t="shared" si="12"/>
        <v>2195</v>
      </c>
      <c r="AL41" s="908">
        <f t="shared" si="13"/>
        <v>433</v>
      </c>
      <c r="AM41" s="910">
        <f t="shared" si="14"/>
        <v>253</v>
      </c>
    </row>
    <row r="42" spans="1:39">
      <c r="A42" s="775" t="s">
        <v>97</v>
      </c>
      <c r="B42" s="776" t="s">
        <v>98</v>
      </c>
      <c r="C42" s="776" t="s">
        <v>273</v>
      </c>
      <c r="D42" s="777">
        <v>245</v>
      </c>
      <c r="E42" s="778">
        <v>95</v>
      </c>
      <c r="F42" s="778">
        <v>134</v>
      </c>
      <c r="G42" s="778">
        <f t="shared" si="15"/>
        <v>14</v>
      </c>
      <c r="H42" s="779">
        <v>2</v>
      </c>
      <c r="I42" s="780">
        <v>507</v>
      </c>
      <c r="J42" s="781">
        <v>248</v>
      </c>
      <c r="K42" s="781">
        <v>228</v>
      </c>
      <c r="L42" s="781">
        <f t="shared" si="16"/>
        <v>24</v>
      </c>
      <c r="M42" s="782">
        <v>7</v>
      </c>
      <c r="N42" s="780">
        <v>986</v>
      </c>
      <c r="O42" s="781">
        <v>437</v>
      </c>
      <c r="P42" s="781">
        <v>398</v>
      </c>
      <c r="Q42" s="783">
        <f t="shared" si="17"/>
        <v>68</v>
      </c>
      <c r="R42" s="784">
        <v>83</v>
      </c>
      <c r="S42" s="785">
        <v>1739</v>
      </c>
      <c r="T42" s="786"/>
      <c r="U42" s="872">
        <f>ROUND(H42*'Hispanic Adjustment'!P41,0)</f>
        <v>2</v>
      </c>
      <c r="V42" s="756">
        <f>ROUND(H42*'Hispanic Adjustment'!Q41,0)</f>
        <v>0</v>
      </c>
      <c r="W42" s="873">
        <f>ROUND(H42*'Hispanic Adjustment'!R41,0)</f>
        <v>0</v>
      </c>
      <c r="X42" s="872">
        <f>ROUND(M42*'Hispanic Adjustment'!S41,0)</f>
        <v>6</v>
      </c>
      <c r="Y42" s="756">
        <f>ROUND(M42*'Hispanic Adjustment'!T41,0)</f>
        <v>0</v>
      </c>
      <c r="Z42" s="873">
        <f>ROUND(M42*'Hispanic Adjustment'!U41,0)</f>
        <v>0</v>
      </c>
      <c r="AA42" s="872">
        <f>ROUND(R42*'Hispanic Adjustment'!V41,0)</f>
        <v>70</v>
      </c>
      <c r="AB42" s="756">
        <f>ROUND(R42*'Hispanic Adjustment'!W41,0)</f>
        <v>8</v>
      </c>
      <c r="AC42" s="873">
        <f>ROUND(R42*'Hispanic Adjustment'!X41,0)</f>
        <v>5</v>
      </c>
      <c r="AE42" s="907">
        <f t="shared" si="6"/>
        <v>97</v>
      </c>
      <c r="AF42" s="908">
        <f t="shared" si="7"/>
        <v>134</v>
      </c>
      <c r="AG42" s="909">
        <f t="shared" si="8"/>
        <v>14</v>
      </c>
      <c r="AH42" s="907">
        <f t="shared" si="9"/>
        <v>254</v>
      </c>
      <c r="AI42" s="908">
        <f t="shared" si="10"/>
        <v>228</v>
      </c>
      <c r="AJ42" s="909">
        <f t="shared" si="11"/>
        <v>24</v>
      </c>
      <c r="AK42" s="907">
        <f t="shared" si="12"/>
        <v>507</v>
      </c>
      <c r="AL42" s="908">
        <f t="shared" si="13"/>
        <v>406</v>
      </c>
      <c r="AM42" s="910">
        <f t="shared" si="14"/>
        <v>73</v>
      </c>
    </row>
    <row r="43" spans="1:39">
      <c r="A43" s="775" t="s">
        <v>99</v>
      </c>
      <c r="B43" s="776" t="s">
        <v>100</v>
      </c>
      <c r="C43" s="776" t="s">
        <v>275</v>
      </c>
      <c r="D43" s="777">
        <v>701</v>
      </c>
      <c r="E43" s="778">
        <v>672</v>
      </c>
      <c r="F43" s="778">
        <v>24</v>
      </c>
      <c r="G43" s="778">
        <f t="shared" si="15"/>
        <v>5</v>
      </c>
      <c r="H43" s="779">
        <v>0</v>
      </c>
      <c r="I43" s="780">
        <v>1203</v>
      </c>
      <c r="J43" s="781">
        <v>1139</v>
      </c>
      <c r="K43" s="781">
        <v>40</v>
      </c>
      <c r="L43" s="781">
        <f t="shared" si="16"/>
        <v>11</v>
      </c>
      <c r="M43" s="782">
        <v>13</v>
      </c>
      <c r="N43" s="780">
        <v>1788</v>
      </c>
      <c r="O43" s="781">
        <v>1540</v>
      </c>
      <c r="P43" s="781">
        <v>75</v>
      </c>
      <c r="Q43" s="783">
        <f t="shared" si="17"/>
        <v>55</v>
      </c>
      <c r="R43" s="784">
        <v>118</v>
      </c>
      <c r="S43" s="785">
        <v>3692</v>
      </c>
      <c r="T43" s="786"/>
      <c r="U43" s="872">
        <f>ROUND(H43*'Hispanic Adjustment'!P42,0)</f>
        <v>0</v>
      </c>
      <c r="V43" s="756">
        <f>ROUND(H43*'Hispanic Adjustment'!Q42,0)</f>
        <v>0</v>
      </c>
      <c r="W43" s="873">
        <f>ROUND(H43*'Hispanic Adjustment'!R42,0)</f>
        <v>0</v>
      </c>
      <c r="X43" s="872">
        <f>ROUND(M43*'Hispanic Adjustment'!S42,0)</f>
        <v>12</v>
      </c>
      <c r="Y43" s="756">
        <f>ROUND(M43*'Hispanic Adjustment'!T42,0)</f>
        <v>0</v>
      </c>
      <c r="Z43" s="873">
        <f>ROUND(M43*'Hispanic Adjustment'!U42,0)</f>
        <v>1</v>
      </c>
      <c r="AA43" s="872">
        <f>ROUND(R43*'Hispanic Adjustment'!V42,0)</f>
        <v>113</v>
      </c>
      <c r="AB43" s="756">
        <f>ROUND(R43*'Hispanic Adjustment'!W42,0)</f>
        <v>4</v>
      </c>
      <c r="AC43" s="873">
        <f>ROUND(R43*'Hispanic Adjustment'!X42,0)</f>
        <v>1</v>
      </c>
      <c r="AE43" s="907">
        <f t="shared" si="6"/>
        <v>672</v>
      </c>
      <c r="AF43" s="908">
        <f t="shared" si="7"/>
        <v>24</v>
      </c>
      <c r="AG43" s="909">
        <f t="shared" si="8"/>
        <v>5</v>
      </c>
      <c r="AH43" s="907">
        <f t="shared" si="9"/>
        <v>1151</v>
      </c>
      <c r="AI43" s="908">
        <f t="shared" si="10"/>
        <v>40</v>
      </c>
      <c r="AJ43" s="909">
        <f t="shared" si="11"/>
        <v>12</v>
      </c>
      <c r="AK43" s="907">
        <f t="shared" si="12"/>
        <v>1653</v>
      </c>
      <c r="AL43" s="908">
        <f t="shared" si="13"/>
        <v>79</v>
      </c>
      <c r="AM43" s="910">
        <f t="shared" si="14"/>
        <v>56</v>
      </c>
    </row>
    <row r="44" spans="1:39">
      <c r="A44" s="775" t="s">
        <v>101</v>
      </c>
      <c r="B44" s="776" t="s">
        <v>102</v>
      </c>
      <c r="C44" s="776" t="s">
        <v>274</v>
      </c>
      <c r="D44" s="777">
        <v>274</v>
      </c>
      <c r="E44" s="778">
        <v>230</v>
      </c>
      <c r="F44" s="778">
        <v>28</v>
      </c>
      <c r="G44" s="778">
        <f t="shared" si="15"/>
        <v>15</v>
      </c>
      <c r="H44" s="779">
        <v>1</v>
      </c>
      <c r="I44" s="780">
        <v>816</v>
      </c>
      <c r="J44" s="781">
        <v>665</v>
      </c>
      <c r="K44" s="781">
        <v>101</v>
      </c>
      <c r="L44" s="781">
        <f t="shared" si="16"/>
        <v>36</v>
      </c>
      <c r="M44" s="782">
        <v>14</v>
      </c>
      <c r="N44" s="780">
        <v>1605</v>
      </c>
      <c r="O44" s="781">
        <v>1031</v>
      </c>
      <c r="P44" s="781">
        <v>221</v>
      </c>
      <c r="Q44" s="783">
        <f t="shared" si="17"/>
        <v>228</v>
      </c>
      <c r="R44" s="784">
        <v>125</v>
      </c>
      <c r="S44" s="785">
        <v>2695</v>
      </c>
      <c r="T44" s="786"/>
      <c r="U44" s="872">
        <f>ROUND(H44*'Hispanic Adjustment'!P43,0)</f>
        <v>1</v>
      </c>
      <c r="V44" s="756">
        <f>ROUND(H44*'Hispanic Adjustment'!Q43,0)</f>
        <v>0</v>
      </c>
      <c r="W44" s="873">
        <f>ROUND(H44*'Hispanic Adjustment'!R43,0)</f>
        <v>0</v>
      </c>
      <c r="X44" s="872">
        <f>ROUND(M44*'Hispanic Adjustment'!S43,0)</f>
        <v>13</v>
      </c>
      <c r="Y44" s="756">
        <f>ROUND(M44*'Hispanic Adjustment'!T43,0)</f>
        <v>0</v>
      </c>
      <c r="Z44" s="873">
        <f>ROUND(M44*'Hispanic Adjustment'!U43,0)</f>
        <v>1</v>
      </c>
      <c r="AA44" s="872">
        <f>ROUND(R44*'Hispanic Adjustment'!V43,0)</f>
        <v>112</v>
      </c>
      <c r="AB44" s="756">
        <f>ROUND(R44*'Hispanic Adjustment'!W43,0)</f>
        <v>8</v>
      </c>
      <c r="AC44" s="873">
        <f>ROUND(R44*'Hispanic Adjustment'!X43,0)</f>
        <v>5</v>
      </c>
      <c r="AE44" s="907">
        <f t="shared" si="6"/>
        <v>231</v>
      </c>
      <c r="AF44" s="908">
        <f t="shared" si="7"/>
        <v>28</v>
      </c>
      <c r="AG44" s="909">
        <f t="shared" si="8"/>
        <v>15</v>
      </c>
      <c r="AH44" s="907">
        <f t="shared" si="9"/>
        <v>678</v>
      </c>
      <c r="AI44" s="908">
        <f t="shared" si="10"/>
        <v>101</v>
      </c>
      <c r="AJ44" s="909">
        <f t="shared" si="11"/>
        <v>37</v>
      </c>
      <c r="AK44" s="907">
        <f t="shared" si="12"/>
        <v>1143</v>
      </c>
      <c r="AL44" s="908">
        <f t="shared" si="13"/>
        <v>229</v>
      </c>
      <c r="AM44" s="910">
        <f t="shared" si="14"/>
        <v>233</v>
      </c>
    </row>
    <row r="45" spans="1:39">
      <c r="A45" s="775" t="s">
        <v>103</v>
      </c>
      <c r="B45" s="776" t="s">
        <v>290</v>
      </c>
      <c r="C45" s="776" t="s">
        <v>271</v>
      </c>
      <c r="D45" s="777">
        <v>618</v>
      </c>
      <c r="E45" s="778">
        <v>154</v>
      </c>
      <c r="F45" s="778">
        <v>448</v>
      </c>
      <c r="G45" s="778">
        <f t="shared" si="15"/>
        <v>14</v>
      </c>
      <c r="H45" s="779">
        <v>2</v>
      </c>
      <c r="I45" s="780">
        <v>1555</v>
      </c>
      <c r="J45" s="781">
        <v>237</v>
      </c>
      <c r="K45" s="781">
        <v>1287</v>
      </c>
      <c r="L45" s="781">
        <f t="shared" si="16"/>
        <v>20</v>
      </c>
      <c r="M45" s="782">
        <v>11</v>
      </c>
      <c r="N45" s="780">
        <v>2687</v>
      </c>
      <c r="O45" s="781">
        <v>287</v>
      </c>
      <c r="P45" s="781">
        <v>2201</v>
      </c>
      <c r="Q45" s="783">
        <f t="shared" si="17"/>
        <v>84</v>
      </c>
      <c r="R45" s="784">
        <v>115</v>
      </c>
      <c r="S45" s="785">
        <v>4860</v>
      </c>
      <c r="T45" s="786"/>
      <c r="U45" s="872">
        <f>ROUND(H45*'Hispanic Adjustment'!P44,0)</f>
        <v>1</v>
      </c>
      <c r="V45" s="756">
        <f>ROUND(H45*'Hispanic Adjustment'!Q44,0)</f>
        <v>1</v>
      </c>
      <c r="W45" s="873">
        <f>ROUND(H45*'Hispanic Adjustment'!R44,0)</f>
        <v>0</v>
      </c>
      <c r="X45" s="872">
        <f>ROUND(M45*'Hispanic Adjustment'!S44,0)</f>
        <v>8</v>
      </c>
      <c r="Y45" s="756">
        <f>ROUND(M45*'Hispanic Adjustment'!T44,0)</f>
        <v>2</v>
      </c>
      <c r="Z45" s="873">
        <f>ROUND(M45*'Hispanic Adjustment'!U44,0)</f>
        <v>1</v>
      </c>
      <c r="AA45" s="872">
        <f>ROUND(R45*'Hispanic Adjustment'!V44,0)</f>
        <v>76</v>
      </c>
      <c r="AB45" s="756">
        <f>ROUND(R45*'Hispanic Adjustment'!W44,0)</f>
        <v>35</v>
      </c>
      <c r="AC45" s="873">
        <f>ROUND(R45*'Hispanic Adjustment'!X44,0)</f>
        <v>7</v>
      </c>
      <c r="AE45" s="907">
        <f t="shared" si="6"/>
        <v>155</v>
      </c>
      <c r="AF45" s="908">
        <f t="shared" si="7"/>
        <v>449</v>
      </c>
      <c r="AG45" s="909">
        <f t="shared" si="8"/>
        <v>14</v>
      </c>
      <c r="AH45" s="907">
        <f t="shared" si="9"/>
        <v>245</v>
      </c>
      <c r="AI45" s="908">
        <f t="shared" si="10"/>
        <v>1289</v>
      </c>
      <c r="AJ45" s="909">
        <f t="shared" si="11"/>
        <v>21</v>
      </c>
      <c r="AK45" s="907">
        <f t="shared" si="12"/>
        <v>363</v>
      </c>
      <c r="AL45" s="908">
        <f t="shared" si="13"/>
        <v>2236</v>
      </c>
      <c r="AM45" s="910">
        <f t="shared" si="14"/>
        <v>91</v>
      </c>
    </row>
    <row r="46" spans="1:39">
      <c r="A46" s="775" t="s">
        <v>105</v>
      </c>
      <c r="B46" s="776" t="s">
        <v>106</v>
      </c>
      <c r="C46" s="776" t="s">
        <v>272</v>
      </c>
      <c r="D46" s="777">
        <v>1483</v>
      </c>
      <c r="E46" s="778">
        <v>615</v>
      </c>
      <c r="F46" s="778">
        <v>813</v>
      </c>
      <c r="G46" s="778">
        <f t="shared" si="15"/>
        <v>53</v>
      </c>
      <c r="H46" s="779">
        <v>2</v>
      </c>
      <c r="I46" s="780">
        <v>2910</v>
      </c>
      <c r="J46" s="781">
        <v>1138</v>
      </c>
      <c r="K46" s="781">
        <v>1633</v>
      </c>
      <c r="L46" s="781">
        <f t="shared" si="16"/>
        <v>87</v>
      </c>
      <c r="M46" s="782">
        <v>52</v>
      </c>
      <c r="N46" s="780">
        <v>4619</v>
      </c>
      <c r="O46" s="781">
        <v>1549</v>
      </c>
      <c r="P46" s="781">
        <v>2547</v>
      </c>
      <c r="Q46" s="783">
        <f t="shared" si="17"/>
        <v>354</v>
      </c>
      <c r="R46" s="784">
        <v>169</v>
      </c>
      <c r="S46" s="785">
        <v>9012</v>
      </c>
      <c r="T46" s="786"/>
      <c r="U46" s="872">
        <f>ROUND(H46*'Hispanic Adjustment'!P45,0)</f>
        <v>2</v>
      </c>
      <c r="V46" s="756">
        <f>ROUND(H46*'Hispanic Adjustment'!Q45,0)</f>
        <v>0</v>
      </c>
      <c r="W46" s="873">
        <f>ROUND(H46*'Hispanic Adjustment'!R45,0)</f>
        <v>0</v>
      </c>
      <c r="X46" s="872">
        <f>ROUND(M46*'Hispanic Adjustment'!S45,0)</f>
        <v>39</v>
      </c>
      <c r="Y46" s="756">
        <f>ROUND(M46*'Hispanic Adjustment'!T45,0)</f>
        <v>10</v>
      </c>
      <c r="Z46" s="873">
        <f>ROUND(M46*'Hispanic Adjustment'!U45,0)</f>
        <v>2</v>
      </c>
      <c r="AA46" s="872">
        <f>ROUND(R46*'Hispanic Adjustment'!V45,0)</f>
        <v>130</v>
      </c>
      <c r="AB46" s="756">
        <f>ROUND(R46*'Hispanic Adjustment'!W45,0)</f>
        <v>35</v>
      </c>
      <c r="AC46" s="873">
        <f>ROUND(R46*'Hispanic Adjustment'!X45,0)</f>
        <v>4</v>
      </c>
      <c r="AE46" s="907">
        <f t="shared" si="6"/>
        <v>617</v>
      </c>
      <c r="AF46" s="908">
        <f t="shared" si="7"/>
        <v>813</v>
      </c>
      <c r="AG46" s="909">
        <f t="shared" si="8"/>
        <v>53</v>
      </c>
      <c r="AH46" s="907">
        <f t="shared" si="9"/>
        <v>1177</v>
      </c>
      <c r="AI46" s="908">
        <f t="shared" si="10"/>
        <v>1643</v>
      </c>
      <c r="AJ46" s="909">
        <f t="shared" si="11"/>
        <v>89</v>
      </c>
      <c r="AK46" s="907">
        <f t="shared" si="12"/>
        <v>1679</v>
      </c>
      <c r="AL46" s="908">
        <f t="shared" si="13"/>
        <v>2582</v>
      </c>
      <c r="AM46" s="910">
        <f t="shared" si="14"/>
        <v>358</v>
      </c>
    </row>
    <row r="47" spans="1:39">
      <c r="A47" s="775" t="s">
        <v>109</v>
      </c>
      <c r="B47" s="776" t="s">
        <v>110</v>
      </c>
      <c r="C47" s="776" t="s">
        <v>273</v>
      </c>
      <c r="D47" s="777">
        <v>752</v>
      </c>
      <c r="E47" s="778">
        <v>474</v>
      </c>
      <c r="F47" s="778">
        <v>216</v>
      </c>
      <c r="G47" s="778">
        <f t="shared" si="15"/>
        <v>59</v>
      </c>
      <c r="H47" s="779">
        <v>3</v>
      </c>
      <c r="I47" s="780">
        <v>2345</v>
      </c>
      <c r="J47" s="781">
        <v>1623</v>
      </c>
      <c r="K47" s="781">
        <v>552</v>
      </c>
      <c r="L47" s="781">
        <f t="shared" si="16"/>
        <v>103</v>
      </c>
      <c r="M47" s="782">
        <v>67</v>
      </c>
      <c r="N47" s="780">
        <v>4584</v>
      </c>
      <c r="O47" s="781">
        <v>2488</v>
      </c>
      <c r="P47" s="781">
        <v>1117</v>
      </c>
      <c r="Q47" s="783">
        <f t="shared" si="17"/>
        <v>606</v>
      </c>
      <c r="R47" s="784">
        <v>373</v>
      </c>
      <c r="S47" s="785">
        <v>7682</v>
      </c>
      <c r="T47" s="786"/>
      <c r="U47" s="872">
        <f>ROUND(H47*'Hispanic Adjustment'!P46,0)</f>
        <v>3</v>
      </c>
      <c r="V47" s="756">
        <f>ROUND(H47*'Hispanic Adjustment'!Q46,0)</f>
        <v>0</v>
      </c>
      <c r="W47" s="873">
        <f>ROUND(H47*'Hispanic Adjustment'!R46,0)</f>
        <v>0</v>
      </c>
      <c r="X47" s="872">
        <f>ROUND(M47*'Hispanic Adjustment'!S46,0)</f>
        <v>58</v>
      </c>
      <c r="Y47" s="756">
        <f>ROUND(M47*'Hispanic Adjustment'!T46,0)</f>
        <v>5</v>
      </c>
      <c r="Z47" s="873">
        <f>ROUND(M47*'Hispanic Adjustment'!U46,0)</f>
        <v>4</v>
      </c>
      <c r="AA47" s="872">
        <f>ROUND(R47*'Hispanic Adjustment'!V46,0)</f>
        <v>316</v>
      </c>
      <c r="AB47" s="756">
        <f>ROUND(R47*'Hispanic Adjustment'!W46,0)</f>
        <v>31</v>
      </c>
      <c r="AC47" s="873">
        <f>ROUND(R47*'Hispanic Adjustment'!X46,0)</f>
        <v>26</v>
      </c>
      <c r="AE47" s="907">
        <f t="shared" si="6"/>
        <v>477</v>
      </c>
      <c r="AF47" s="908">
        <f t="shared" si="7"/>
        <v>216</v>
      </c>
      <c r="AG47" s="909">
        <f t="shared" si="8"/>
        <v>59</v>
      </c>
      <c r="AH47" s="907">
        <f t="shared" si="9"/>
        <v>1681</v>
      </c>
      <c r="AI47" s="908">
        <f t="shared" si="10"/>
        <v>557</v>
      </c>
      <c r="AJ47" s="909">
        <f t="shared" si="11"/>
        <v>107</v>
      </c>
      <c r="AK47" s="907">
        <f t="shared" si="12"/>
        <v>2804</v>
      </c>
      <c r="AL47" s="908">
        <f t="shared" si="13"/>
        <v>1148</v>
      </c>
      <c r="AM47" s="910">
        <f t="shared" si="14"/>
        <v>632</v>
      </c>
    </row>
    <row r="48" spans="1:39">
      <c r="A48" s="775" t="s">
        <v>111</v>
      </c>
      <c r="B48" s="776" t="s">
        <v>112</v>
      </c>
      <c r="C48" s="776" t="s">
        <v>273</v>
      </c>
      <c r="D48" s="777">
        <v>2914</v>
      </c>
      <c r="E48" s="778">
        <v>1341</v>
      </c>
      <c r="F48" s="778">
        <v>1065</v>
      </c>
      <c r="G48" s="778">
        <f t="shared" si="15"/>
        <v>457</v>
      </c>
      <c r="H48" s="779">
        <v>51</v>
      </c>
      <c r="I48" s="780">
        <v>11409</v>
      </c>
      <c r="J48" s="781">
        <v>3627</v>
      </c>
      <c r="K48" s="781">
        <v>6202</v>
      </c>
      <c r="L48" s="781">
        <f t="shared" si="16"/>
        <v>1307</v>
      </c>
      <c r="M48" s="782">
        <v>273</v>
      </c>
      <c r="N48" s="780">
        <v>26219</v>
      </c>
      <c r="O48" s="781">
        <v>5011</v>
      </c>
      <c r="P48" s="781">
        <v>13802</v>
      </c>
      <c r="Q48" s="783">
        <f t="shared" si="17"/>
        <v>4955</v>
      </c>
      <c r="R48" s="784">
        <v>2451</v>
      </c>
      <c r="S48" s="785">
        <v>40542</v>
      </c>
      <c r="T48" s="786"/>
      <c r="U48" s="872">
        <f>ROUND(H48*'Hispanic Adjustment'!P47,0)</f>
        <v>43</v>
      </c>
      <c r="V48" s="756">
        <f>ROUND(H48*'Hispanic Adjustment'!Q47,0)</f>
        <v>6</v>
      </c>
      <c r="W48" s="873">
        <f>ROUND(H48*'Hispanic Adjustment'!R47,0)</f>
        <v>2</v>
      </c>
      <c r="X48" s="872">
        <f>ROUND(M48*'Hispanic Adjustment'!S47,0)</f>
        <v>225</v>
      </c>
      <c r="Y48" s="756">
        <f>ROUND(M48*'Hispanic Adjustment'!T47,0)</f>
        <v>36</v>
      </c>
      <c r="Z48" s="873">
        <f>ROUND(M48*'Hispanic Adjustment'!U47,0)</f>
        <v>12</v>
      </c>
      <c r="AA48" s="872">
        <f>ROUND(R48*'Hispanic Adjustment'!V47,0)</f>
        <v>1919</v>
      </c>
      <c r="AB48" s="756">
        <f>ROUND(R48*'Hispanic Adjustment'!W47,0)</f>
        <v>419</v>
      </c>
      <c r="AC48" s="873">
        <f>ROUND(R48*'Hispanic Adjustment'!X47,0)</f>
        <v>113</v>
      </c>
      <c r="AE48" s="907">
        <f t="shared" si="6"/>
        <v>1384</v>
      </c>
      <c r="AF48" s="908">
        <f t="shared" si="7"/>
        <v>1071</v>
      </c>
      <c r="AG48" s="909">
        <f t="shared" si="8"/>
        <v>459</v>
      </c>
      <c r="AH48" s="907">
        <f t="shared" si="9"/>
        <v>3852</v>
      </c>
      <c r="AI48" s="908">
        <f t="shared" si="10"/>
        <v>6238</v>
      </c>
      <c r="AJ48" s="909">
        <f t="shared" si="11"/>
        <v>1319</v>
      </c>
      <c r="AK48" s="907">
        <f t="shared" si="12"/>
        <v>6930</v>
      </c>
      <c r="AL48" s="908">
        <f t="shared" si="13"/>
        <v>14221</v>
      </c>
      <c r="AM48" s="910">
        <f t="shared" si="14"/>
        <v>5068</v>
      </c>
    </row>
    <row r="49" spans="1:39">
      <c r="A49" s="775" t="s">
        <v>113</v>
      </c>
      <c r="B49" s="776" t="s">
        <v>310</v>
      </c>
      <c r="C49" s="776" t="s">
        <v>272</v>
      </c>
      <c r="D49" s="777">
        <v>2300</v>
      </c>
      <c r="E49" s="778">
        <v>1402</v>
      </c>
      <c r="F49" s="778">
        <v>845</v>
      </c>
      <c r="G49" s="778">
        <f t="shared" si="15"/>
        <v>49</v>
      </c>
      <c r="H49" s="779">
        <v>4</v>
      </c>
      <c r="I49" s="780">
        <v>6709</v>
      </c>
      <c r="J49" s="781">
        <v>3971</v>
      </c>
      <c r="K49" s="781">
        <v>2505</v>
      </c>
      <c r="L49" s="781">
        <f t="shared" si="16"/>
        <v>148</v>
      </c>
      <c r="M49" s="782">
        <v>85</v>
      </c>
      <c r="N49" s="780">
        <v>10146</v>
      </c>
      <c r="O49" s="781">
        <v>4589</v>
      </c>
      <c r="P49" s="781">
        <v>3615</v>
      </c>
      <c r="Q49" s="783">
        <f t="shared" si="17"/>
        <v>754</v>
      </c>
      <c r="R49" s="784">
        <v>1188</v>
      </c>
      <c r="S49" s="785">
        <v>19156</v>
      </c>
      <c r="T49" s="786"/>
      <c r="U49" s="872">
        <f>ROUND(H49*'Hispanic Adjustment'!P48,0)</f>
        <v>3</v>
      </c>
      <c r="V49" s="756">
        <f>ROUND(H49*'Hispanic Adjustment'!Q48,0)</f>
        <v>0</v>
      </c>
      <c r="W49" s="873">
        <f>ROUND(H49*'Hispanic Adjustment'!R48,0)</f>
        <v>1</v>
      </c>
      <c r="X49" s="872">
        <f>ROUND(M49*'Hispanic Adjustment'!S48,0)</f>
        <v>74</v>
      </c>
      <c r="Y49" s="756">
        <f>ROUND(M49*'Hispanic Adjustment'!T48,0)</f>
        <v>7</v>
      </c>
      <c r="Z49" s="873">
        <f>ROUND(M49*'Hispanic Adjustment'!U48,0)</f>
        <v>4</v>
      </c>
      <c r="AA49" s="872">
        <f>ROUND(R49*'Hispanic Adjustment'!V48,0)</f>
        <v>1051</v>
      </c>
      <c r="AB49" s="756">
        <f>ROUND(R49*'Hispanic Adjustment'!W48,0)</f>
        <v>93</v>
      </c>
      <c r="AC49" s="873">
        <f>ROUND(R49*'Hispanic Adjustment'!X48,0)</f>
        <v>44</v>
      </c>
      <c r="AE49" s="907">
        <f t="shared" si="6"/>
        <v>1405</v>
      </c>
      <c r="AF49" s="908">
        <f t="shared" si="7"/>
        <v>845</v>
      </c>
      <c r="AG49" s="909">
        <f t="shared" si="8"/>
        <v>50</v>
      </c>
      <c r="AH49" s="907">
        <f t="shared" si="9"/>
        <v>4045</v>
      </c>
      <c r="AI49" s="908">
        <f t="shared" si="10"/>
        <v>2512</v>
      </c>
      <c r="AJ49" s="909">
        <f t="shared" si="11"/>
        <v>152</v>
      </c>
      <c r="AK49" s="907">
        <f t="shared" si="12"/>
        <v>5640</v>
      </c>
      <c r="AL49" s="908">
        <f t="shared" si="13"/>
        <v>3708</v>
      </c>
      <c r="AM49" s="910">
        <f t="shared" si="14"/>
        <v>798</v>
      </c>
    </row>
    <row r="50" spans="1:39">
      <c r="A50" s="775" t="s">
        <v>115</v>
      </c>
      <c r="B50" s="776" t="s">
        <v>116</v>
      </c>
      <c r="C50" s="776" t="s">
        <v>272</v>
      </c>
      <c r="D50" s="777">
        <v>52</v>
      </c>
      <c r="E50" s="778">
        <v>52</v>
      </c>
      <c r="F50" s="778">
        <v>0</v>
      </c>
      <c r="G50" s="778">
        <f t="shared" si="15"/>
        <v>0</v>
      </c>
      <c r="H50" s="779">
        <v>0</v>
      </c>
      <c r="I50" s="780">
        <v>80</v>
      </c>
      <c r="J50" s="781">
        <v>73</v>
      </c>
      <c r="K50" s="781">
        <v>0</v>
      </c>
      <c r="L50" s="781">
        <f t="shared" si="16"/>
        <v>7</v>
      </c>
      <c r="M50" s="782">
        <v>0</v>
      </c>
      <c r="N50" s="780">
        <v>135</v>
      </c>
      <c r="O50" s="781">
        <v>95</v>
      </c>
      <c r="P50" s="781">
        <v>1</v>
      </c>
      <c r="Q50" s="783">
        <f t="shared" si="17"/>
        <v>37</v>
      </c>
      <c r="R50" s="784">
        <v>2</v>
      </c>
      <c r="S50" s="785">
        <v>267</v>
      </c>
      <c r="T50" s="786"/>
      <c r="U50" s="872">
        <f>ROUND(H50*'Hispanic Adjustment'!P49,0)</f>
        <v>0</v>
      </c>
      <c r="V50" s="756">
        <f>ROUND(H50*'Hispanic Adjustment'!Q49,0)</f>
        <v>0</v>
      </c>
      <c r="W50" s="873">
        <f>ROUND(H50*'Hispanic Adjustment'!R49,0)</f>
        <v>0</v>
      </c>
      <c r="X50" s="872">
        <f>ROUND(M50*'Hispanic Adjustment'!S49,0)</f>
        <v>0</v>
      </c>
      <c r="Y50" s="756">
        <f>ROUND(M50*'Hispanic Adjustment'!T49,0)</f>
        <v>0</v>
      </c>
      <c r="Z50" s="873">
        <f>ROUND(M50*'Hispanic Adjustment'!U49,0)</f>
        <v>0</v>
      </c>
      <c r="AA50" s="872">
        <f>ROUND(R50*'Hispanic Adjustment'!V49,0)</f>
        <v>2</v>
      </c>
      <c r="AB50" s="756">
        <f>ROUND(R50*'Hispanic Adjustment'!W49,0)</f>
        <v>0</v>
      </c>
      <c r="AC50" s="873">
        <f>ROUND(R50*'Hispanic Adjustment'!X49,0)</f>
        <v>0</v>
      </c>
      <c r="AE50" s="907">
        <f t="shared" si="6"/>
        <v>52</v>
      </c>
      <c r="AF50" s="908">
        <f t="shared" si="7"/>
        <v>0</v>
      </c>
      <c r="AG50" s="909">
        <f t="shared" si="8"/>
        <v>0</v>
      </c>
      <c r="AH50" s="907">
        <f t="shared" si="9"/>
        <v>73</v>
      </c>
      <c r="AI50" s="908">
        <f t="shared" si="10"/>
        <v>0</v>
      </c>
      <c r="AJ50" s="909">
        <f t="shared" si="11"/>
        <v>7</v>
      </c>
      <c r="AK50" s="907">
        <f t="shared" si="12"/>
        <v>97</v>
      </c>
      <c r="AL50" s="908">
        <f t="shared" si="13"/>
        <v>1</v>
      </c>
      <c r="AM50" s="910">
        <f t="shared" si="14"/>
        <v>37</v>
      </c>
    </row>
    <row r="51" spans="1:39">
      <c r="A51" s="775" t="s">
        <v>119</v>
      </c>
      <c r="B51" s="776" t="s">
        <v>277</v>
      </c>
      <c r="C51" s="776" t="s">
        <v>271</v>
      </c>
      <c r="D51" s="777">
        <v>595</v>
      </c>
      <c r="E51" s="778">
        <v>222</v>
      </c>
      <c r="F51" s="778">
        <v>350</v>
      </c>
      <c r="G51" s="778">
        <f t="shared" si="15"/>
        <v>22</v>
      </c>
      <c r="H51" s="779">
        <v>1</v>
      </c>
      <c r="I51" s="780">
        <v>1677</v>
      </c>
      <c r="J51" s="781">
        <v>781</v>
      </c>
      <c r="K51" s="781">
        <v>826</v>
      </c>
      <c r="L51" s="781">
        <f t="shared" si="16"/>
        <v>49</v>
      </c>
      <c r="M51" s="782">
        <v>21</v>
      </c>
      <c r="N51" s="780">
        <v>2687</v>
      </c>
      <c r="O51" s="781">
        <v>1090</v>
      </c>
      <c r="P51" s="781">
        <v>1245</v>
      </c>
      <c r="Q51" s="783">
        <f t="shared" si="17"/>
        <v>231</v>
      </c>
      <c r="R51" s="784">
        <v>121</v>
      </c>
      <c r="S51" s="785">
        <v>4960</v>
      </c>
      <c r="T51" s="786"/>
      <c r="U51" s="872">
        <f>ROUND(H51*'Hispanic Adjustment'!P50,0)</f>
        <v>1</v>
      </c>
      <c r="V51" s="756">
        <f>ROUND(H51*'Hispanic Adjustment'!Q50,0)</f>
        <v>0</v>
      </c>
      <c r="W51" s="873">
        <f>ROUND(H51*'Hispanic Adjustment'!R50,0)</f>
        <v>0</v>
      </c>
      <c r="X51" s="872">
        <f>ROUND(M51*'Hispanic Adjustment'!S50,0)</f>
        <v>17</v>
      </c>
      <c r="Y51" s="756">
        <f>ROUND(M51*'Hispanic Adjustment'!T50,0)</f>
        <v>2</v>
      </c>
      <c r="Z51" s="873">
        <f>ROUND(M51*'Hispanic Adjustment'!U50,0)</f>
        <v>2</v>
      </c>
      <c r="AA51" s="872">
        <f>ROUND(R51*'Hispanic Adjustment'!V50,0)</f>
        <v>93</v>
      </c>
      <c r="AB51" s="756">
        <f>ROUND(R51*'Hispanic Adjustment'!W50,0)</f>
        <v>21</v>
      </c>
      <c r="AC51" s="873">
        <f>ROUND(R51*'Hispanic Adjustment'!X50,0)</f>
        <v>7</v>
      </c>
      <c r="AE51" s="907">
        <f t="shared" si="6"/>
        <v>223</v>
      </c>
      <c r="AF51" s="908">
        <f t="shared" si="7"/>
        <v>350</v>
      </c>
      <c r="AG51" s="909">
        <f t="shared" si="8"/>
        <v>22</v>
      </c>
      <c r="AH51" s="907">
        <f t="shared" si="9"/>
        <v>798</v>
      </c>
      <c r="AI51" s="908">
        <f t="shared" si="10"/>
        <v>828</v>
      </c>
      <c r="AJ51" s="909">
        <f t="shared" si="11"/>
        <v>51</v>
      </c>
      <c r="AK51" s="907">
        <f t="shared" si="12"/>
        <v>1183</v>
      </c>
      <c r="AL51" s="908">
        <f t="shared" si="13"/>
        <v>1266</v>
      </c>
      <c r="AM51" s="910">
        <f t="shared" si="14"/>
        <v>238</v>
      </c>
    </row>
    <row r="52" spans="1:39">
      <c r="A52" s="775" t="s">
        <v>121</v>
      </c>
      <c r="B52" s="776" t="s">
        <v>122</v>
      </c>
      <c r="C52" s="776" t="s">
        <v>271</v>
      </c>
      <c r="D52" s="777">
        <v>443</v>
      </c>
      <c r="E52" s="778">
        <v>226</v>
      </c>
      <c r="F52" s="778">
        <v>174</v>
      </c>
      <c r="G52" s="778">
        <f t="shared" si="15"/>
        <v>37</v>
      </c>
      <c r="H52" s="779">
        <v>6</v>
      </c>
      <c r="I52" s="780">
        <v>1607</v>
      </c>
      <c r="J52" s="781">
        <v>827</v>
      </c>
      <c r="K52" s="781">
        <v>624</v>
      </c>
      <c r="L52" s="781">
        <f t="shared" si="16"/>
        <v>80</v>
      </c>
      <c r="M52" s="782">
        <v>76</v>
      </c>
      <c r="N52" s="780">
        <v>3939</v>
      </c>
      <c r="O52" s="781">
        <v>1429</v>
      </c>
      <c r="P52" s="781">
        <v>1489</v>
      </c>
      <c r="Q52" s="783">
        <f t="shared" si="17"/>
        <v>464</v>
      </c>
      <c r="R52" s="784">
        <v>557</v>
      </c>
      <c r="S52" s="785">
        <v>5989</v>
      </c>
      <c r="T52" s="786"/>
      <c r="U52" s="872">
        <f>ROUND(H52*'Hispanic Adjustment'!P51,0)</f>
        <v>5</v>
      </c>
      <c r="V52" s="756">
        <f>ROUND(H52*'Hispanic Adjustment'!Q51,0)</f>
        <v>0</v>
      </c>
      <c r="W52" s="873">
        <f>ROUND(H52*'Hispanic Adjustment'!R51,0)</f>
        <v>0</v>
      </c>
      <c r="X52" s="872">
        <f>ROUND(M52*'Hispanic Adjustment'!S51,0)</f>
        <v>67</v>
      </c>
      <c r="Y52" s="756">
        <f>ROUND(M52*'Hispanic Adjustment'!T51,0)</f>
        <v>6</v>
      </c>
      <c r="Z52" s="873">
        <f>ROUND(M52*'Hispanic Adjustment'!U51,0)</f>
        <v>3</v>
      </c>
      <c r="AA52" s="872">
        <f>ROUND(R52*'Hispanic Adjustment'!V51,0)</f>
        <v>486</v>
      </c>
      <c r="AB52" s="756">
        <f>ROUND(R52*'Hispanic Adjustment'!W51,0)</f>
        <v>51</v>
      </c>
      <c r="AC52" s="873">
        <f>ROUND(R52*'Hispanic Adjustment'!X51,0)</f>
        <v>20</v>
      </c>
      <c r="AE52" s="907">
        <f t="shared" si="6"/>
        <v>231</v>
      </c>
      <c r="AF52" s="908">
        <f t="shared" si="7"/>
        <v>174</v>
      </c>
      <c r="AG52" s="909">
        <f t="shared" si="8"/>
        <v>37</v>
      </c>
      <c r="AH52" s="907">
        <f t="shared" si="9"/>
        <v>894</v>
      </c>
      <c r="AI52" s="908">
        <f t="shared" si="10"/>
        <v>630</v>
      </c>
      <c r="AJ52" s="909">
        <f t="shared" si="11"/>
        <v>83</v>
      </c>
      <c r="AK52" s="907">
        <f t="shared" si="12"/>
        <v>1915</v>
      </c>
      <c r="AL52" s="908">
        <f t="shared" si="13"/>
        <v>1540</v>
      </c>
      <c r="AM52" s="910">
        <f t="shared" si="14"/>
        <v>484</v>
      </c>
    </row>
    <row r="53" spans="1:39">
      <c r="A53" s="775" t="s">
        <v>123</v>
      </c>
      <c r="B53" s="776" t="s">
        <v>296</v>
      </c>
      <c r="C53" s="776" t="s">
        <v>273</v>
      </c>
      <c r="D53" s="777">
        <v>198</v>
      </c>
      <c r="E53" s="778">
        <v>70</v>
      </c>
      <c r="F53" s="778">
        <v>121</v>
      </c>
      <c r="G53" s="778">
        <f t="shared" si="15"/>
        <v>6</v>
      </c>
      <c r="H53" s="779">
        <v>1</v>
      </c>
      <c r="I53" s="780">
        <v>457</v>
      </c>
      <c r="J53" s="781">
        <v>202</v>
      </c>
      <c r="K53" s="781">
        <v>229</v>
      </c>
      <c r="L53" s="781">
        <f t="shared" si="16"/>
        <v>23</v>
      </c>
      <c r="M53" s="782">
        <v>3</v>
      </c>
      <c r="N53" s="780">
        <v>808</v>
      </c>
      <c r="O53" s="781">
        <v>351</v>
      </c>
      <c r="P53" s="781">
        <v>323</v>
      </c>
      <c r="Q53" s="783">
        <f t="shared" si="17"/>
        <v>90</v>
      </c>
      <c r="R53" s="784">
        <v>44</v>
      </c>
      <c r="S53" s="785">
        <v>1463</v>
      </c>
      <c r="T53" s="786"/>
      <c r="U53" s="872">
        <f>ROUND(H53*'Hispanic Adjustment'!P52,0)</f>
        <v>1</v>
      </c>
      <c r="V53" s="756">
        <f>ROUND(H53*'Hispanic Adjustment'!Q52,0)</f>
        <v>0</v>
      </c>
      <c r="W53" s="873">
        <f>ROUND(H53*'Hispanic Adjustment'!R52,0)</f>
        <v>0</v>
      </c>
      <c r="X53" s="872">
        <f>ROUND(M53*'Hispanic Adjustment'!S52,0)</f>
        <v>3</v>
      </c>
      <c r="Y53" s="756">
        <f>ROUND(M53*'Hispanic Adjustment'!T52,0)</f>
        <v>0</v>
      </c>
      <c r="Z53" s="873">
        <f>ROUND(M53*'Hispanic Adjustment'!U52,0)</f>
        <v>0</v>
      </c>
      <c r="AA53" s="872">
        <f>ROUND(R53*'Hispanic Adjustment'!V52,0)</f>
        <v>36</v>
      </c>
      <c r="AB53" s="756">
        <f>ROUND(R53*'Hispanic Adjustment'!W52,0)</f>
        <v>5</v>
      </c>
      <c r="AC53" s="873">
        <f>ROUND(R53*'Hispanic Adjustment'!X52,0)</f>
        <v>4</v>
      </c>
      <c r="AE53" s="907">
        <f t="shared" si="6"/>
        <v>71</v>
      </c>
      <c r="AF53" s="908">
        <f t="shared" si="7"/>
        <v>121</v>
      </c>
      <c r="AG53" s="909">
        <f t="shared" si="8"/>
        <v>6</v>
      </c>
      <c r="AH53" s="907">
        <f t="shared" si="9"/>
        <v>205</v>
      </c>
      <c r="AI53" s="908">
        <f t="shared" si="10"/>
        <v>229</v>
      </c>
      <c r="AJ53" s="909">
        <f t="shared" si="11"/>
        <v>23</v>
      </c>
      <c r="AK53" s="907">
        <f t="shared" si="12"/>
        <v>387</v>
      </c>
      <c r="AL53" s="908">
        <f t="shared" si="13"/>
        <v>328</v>
      </c>
      <c r="AM53" s="910">
        <f t="shared" si="14"/>
        <v>94</v>
      </c>
    </row>
    <row r="54" spans="1:39">
      <c r="A54" s="775" t="s">
        <v>125</v>
      </c>
      <c r="B54" s="776" t="s">
        <v>126</v>
      </c>
      <c r="C54" s="776" t="s">
        <v>274</v>
      </c>
      <c r="D54" s="777">
        <v>229</v>
      </c>
      <c r="E54" s="778">
        <v>139</v>
      </c>
      <c r="F54" s="778">
        <v>80</v>
      </c>
      <c r="G54" s="778">
        <f t="shared" si="15"/>
        <v>10</v>
      </c>
      <c r="H54" s="779">
        <v>0</v>
      </c>
      <c r="I54" s="780">
        <v>981</v>
      </c>
      <c r="J54" s="781">
        <v>598</v>
      </c>
      <c r="K54" s="781">
        <v>319</v>
      </c>
      <c r="L54" s="781">
        <f t="shared" si="16"/>
        <v>40</v>
      </c>
      <c r="M54" s="782">
        <v>24</v>
      </c>
      <c r="N54" s="780">
        <v>2168</v>
      </c>
      <c r="O54" s="781">
        <v>1064</v>
      </c>
      <c r="P54" s="781">
        <v>707</v>
      </c>
      <c r="Q54" s="783">
        <f t="shared" si="17"/>
        <v>278</v>
      </c>
      <c r="R54" s="784">
        <v>119</v>
      </c>
      <c r="S54" s="785">
        <v>3378</v>
      </c>
      <c r="T54" s="786"/>
      <c r="U54" s="872">
        <f>ROUND(H54*'Hispanic Adjustment'!P53,0)</f>
        <v>0</v>
      </c>
      <c r="V54" s="756">
        <f>ROUND(H54*'Hispanic Adjustment'!Q53,0)</f>
        <v>0</v>
      </c>
      <c r="W54" s="873">
        <f>ROUND(H54*'Hispanic Adjustment'!R53,0)</f>
        <v>0</v>
      </c>
      <c r="X54" s="872">
        <f>ROUND(M54*'Hispanic Adjustment'!S53,0)</f>
        <v>20</v>
      </c>
      <c r="Y54" s="756">
        <f>ROUND(M54*'Hispanic Adjustment'!T53,0)</f>
        <v>2</v>
      </c>
      <c r="Z54" s="873">
        <f>ROUND(M54*'Hispanic Adjustment'!U53,0)</f>
        <v>2</v>
      </c>
      <c r="AA54" s="872">
        <f>ROUND(R54*'Hispanic Adjustment'!V53,0)</f>
        <v>99</v>
      </c>
      <c r="AB54" s="756">
        <f>ROUND(R54*'Hispanic Adjustment'!W53,0)</f>
        <v>15</v>
      </c>
      <c r="AC54" s="873">
        <f>ROUND(R54*'Hispanic Adjustment'!X53,0)</f>
        <v>5</v>
      </c>
      <c r="AE54" s="907">
        <f t="shared" si="6"/>
        <v>139</v>
      </c>
      <c r="AF54" s="908">
        <f t="shared" si="7"/>
        <v>80</v>
      </c>
      <c r="AG54" s="909">
        <f t="shared" si="8"/>
        <v>10</v>
      </c>
      <c r="AH54" s="907">
        <f t="shared" si="9"/>
        <v>618</v>
      </c>
      <c r="AI54" s="908">
        <f t="shared" si="10"/>
        <v>321</v>
      </c>
      <c r="AJ54" s="909">
        <f t="shared" si="11"/>
        <v>42</v>
      </c>
      <c r="AK54" s="907">
        <f t="shared" si="12"/>
        <v>1163</v>
      </c>
      <c r="AL54" s="908">
        <f t="shared" si="13"/>
        <v>722</v>
      </c>
      <c r="AM54" s="910">
        <f t="shared" si="14"/>
        <v>283</v>
      </c>
    </row>
    <row r="55" spans="1:39">
      <c r="A55" s="775" t="s">
        <v>127</v>
      </c>
      <c r="B55" s="776" t="s">
        <v>128</v>
      </c>
      <c r="C55" s="776" t="s">
        <v>273</v>
      </c>
      <c r="D55" s="777">
        <v>234</v>
      </c>
      <c r="E55" s="778">
        <v>89</v>
      </c>
      <c r="F55" s="778">
        <v>131</v>
      </c>
      <c r="G55" s="778">
        <f t="shared" si="15"/>
        <v>11</v>
      </c>
      <c r="H55" s="779">
        <v>3</v>
      </c>
      <c r="I55" s="780">
        <v>686</v>
      </c>
      <c r="J55" s="781">
        <v>390</v>
      </c>
      <c r="K55" s="781">
        <v>255</v>
      </c>
      <c r="L55" s="781">
        <f t="shared" si="16"/>
        <v>32</v>
      </c>
      <c r="M55" s="782">
        <v>9</v>
      </c>
      <c r="N55" s="780">
        <v>1457</v>
      </c>
      <c r="O55" s="781">
        <v>793</v>
      </c>
      <c r="P55" s="781">
        <v>480</v>
      </c>
      <c r="Q55" s="783">
        <f t="shared" si="17"/>
        <v>133</v>
      </c>
      <c r="R55" s="784">
        <v>51</v>
      </c>
      <c r="S55" s="785">
        <v>2377</v>
      </c>
      <c r="T55" s="786"/>
      <c r="U55" s="872">
        <f>ROUND(H55*'Hispanic Adjustment'!P54,0)</f>
        <v>3</v>
      </c>
      <c r="V55" s="756">
        <f>ROUND(H55*'Hispanic Adjustment'!Q54,0)</f>
        <v>0</v>
      </c>
      <c r="W55" s="873">
        <f>ROUND(H55*'Hispanic Adjustment'!R54,0)</f>
        <v>1</v>
      </c>
      <c r="X55" s="872">
        <f>ROUND(M55*'Hispanic Adjustment'!S54,0)</f>
        <v>7</v>
      </c>
      <c r="Y55" s="756">
        <f>ROUND(M55*'Hispanic Adjustment'!T54,0)</f>
        <v>1</v>
      </c>
      <c r="Z55" s="873">
        <f>ROUND(M55*'Hispanic Adjustment'!U54,0)</f>
        <v>1</v>
      </c>
      <c r="AA55" s="872">
        <f>ROUND(R55*'Hispanic Adjustment'!V54,0)</f>
        <v>44</v>
      </c>
      <c r="AB55" s="756">
        <f>ROUND(R55*'Hispanic Adjustment'!W54,0)</f>
        <v>5</v>
      </c>
      <c r="AC55" s="873">
        <f>ROUND(R55*'Hispanic Adjustment'!X54,0)</f>
        <v>2</v>
      </c>
      <c r="AE55" s="907">
        <f t="shared" si="6"/>
        <v>92</v>
      </c>
      <c r="AF55" s="908">
        <f t="shared" si="7"/>
        <v>131</v>
      </c>
      <c r="AG55" s="909">
        <f t="shared" si="8"/>
        <v>12</v>
      </c>
      <c r="AH55" s="907">
        <f t="shared" si="9"/>
        <v>397</v>
      </c>
      <c r="AI55" s="908">
        <f t="shared" si="10"/>
        <v>256</v>
      </c>
      <c r="AJ55" s="909">
        <f t="shared" si="11"/>
        <v>33</v>
      </c>
      <c r="AK55" s="907">
        <f t="shared" si="12"/>
        <v>837</v>
      </c>
      <c r="AL55" s="908">
        <f t="shared" si="13"/>
        <v>485</v>
      </c>
      <c r="AM55" s="910">
        <f t="shared" si="14"/>
        <v>135</v>
      </c>
    </row>
    <row r="56" spans="1:39">
      <c r="A56" s="775" t="s">
        <v>129</v>
      </c>
      <c r="B56" s="776" t="s">
        <v>130</v>
      </c>
      <c r="C56" s="776" t="s">
        <v>273</v>
      </c>
      <c r="D56" s="777">
        <v>332</v>
      </c>
      <c r="E56" s="778">
        <v>131</v>
      </c>
      <c r="F56" s="778">
        <v>195</v>
      </c>
      <c r="G56" s="778">
        <f t="shared" si="15"/>
        <v>6</v>
      </c>
      <c r="H56" s="779">
        <v>0</v>
      </c>
      <c r="I56" s="780">
        <v>611</v>
      </c>
      <c r="J56" s="781">
        <v>211</v>
      </c>
      <c r="K56" s="781">
        <v>385</v>
      </c>
      <c r="L56" s="781">
        <f t="shared" si="16"/>
        <v>11</v>
      </c>
      <c r="M56" s="782">
        <v>4</v>
      </c>
      <c r="N56" s="780">
        <v>1160</v>
      </c>
      <c r="O56" s="781">
        <v>321</v>
      </c>
      <c r="P56" s="781">
        <v>775</v>
      </c>
      <c r="Q56" s="783">
        <f t="shared" si="17"/>
        <v>55</v>
      </c>
      <c r="R56" s="784">
        <v>9</v>
      </c>
      <c r="S56" s="785">
        <v>2103</v>
      </c>
      <c r="T56" s="786"/>
      <c r="U56" s="872">
        <f>ROUND(H56*'Hispanic Adjustment'!P55,0)</f>
        <v>0</v>
      </c>
      <c r="V56" s="756">
        <f>ROUND(H56*'Hispanic Adjustment'!Q55,0)</f>
        <v>0</v>
      </c>
      <c r="W56" s="873">
        <f>ROUND(H56*'Hispanic Adjustment'!R55,0)</f>
        <v>0</v>
      </c>
      <c r="X56" s="872">
        <f>ROUND(M56*'Hispanic Adjustment'!S55,0)</f>
        <v>3</v>
      </c>
      <c r="Y56" s="756">
        <f>ROUND(M56*'Hispanic Adjustment'!T55,0)</f>
        <v>0</v>
      </c>
      <c r="Z56" s="873">
        <f>ROUND(M56*'Hispanic Adjustment'!U55,0)</f>
        <v>1</v>
      </c>
      <c r="AA56" s="872">
        <f>ROUND(R56*'Hispanic Adjustment'!V55,0)</f>
        <v>6</v>
      </c>
      <c r="AB56" s="756">
        <f>ROUND(R56*'Hispanic Adjustment'!W55,0)</f>
        <v>2</v>
      </c>
      <c r="AC56" s="873">
        <f>ROUND(R56*'Hispanic Adjustment'!X55,0)</f>
        <v>0</v>
      </c>
      <c r="AE56" s="907">
        <f t="shared" si="6"/>
        <v>131</v>
      </c>
      <c r="AF56" s="908">
        <f t="shared" si="7"/>
        <v>195</v>
      </c>
      <c r="AG56" s="909">
        <f t="shared" si="8"/>
        <v>6</v>
      </c>
      <c r="AH56" s="907">
        <f t="shared" si="9"/>
        <v>214</v>
      </c>
      <c r="AI56" s="908">
        <f t="shared" si="10"/>
        <v>385</v>
      </c>
      <c r="AJ56" s="909">
        <f t="shared" si="11"/>
        <v>12</v>
      </c>
      <c r="AK56" s="907">
        <f t="shared" si="12"/>
        <v>327</v>
      </c>
      <c r="AL56" s="908">
        <f t="shared" si="13"/>
        <v>777</v>
      </c>
      <c r="AM56" s="910">
        <f t="shared" si="14"/>
        <v>55</v>
      </c>
    </row>
    <row r="57" spans="1:39">
      <c r="A57" s="775" t="s">
        <v>131</v>
      </c>
      <c r="B57" s="776" t="s">
        <v>132</v>
      </c>
      <c r="C57" s="776" t="s">
        <v>275</v>
      </c>
      <c r="D57" s="777">
        <v>1157</v>
      </c>
      <c r="E57" s="778">
        <v>1123</v>
      </c>
      <c r="F57" s="778">
        <v>6</v>
      </c>
      <c r="G57" s="778">
        <f t="shared" si="15"/>
        <v>28</v>
      </c>
      <c r="H57" s="779">
        <v>0</v>
      </c>
      <c r="I57" s="780">
        <v>3195</v>
      </c>
      <c r="J57" s="781">
        <v>3143</v>
      </c>
      <c r="K57" s="781">
        <v>13</v>
      </c>
      <c r="L57" s="781">
        <f t="shared" si="16"/>
        <v>26</v>
      </c>
      <c r="M57" s="782">
        <v>13</v>
      </c>
      <c r="N57" s="780">
        <v>3395</v>
      </c>
      <c r="O57" s="781">
        <v>3184</v>
      </c>
      <c r="P57" s="781">
        <v>32</v>
      </c>
      <c r="Q57" s="783">
        <f t="shared" si="17"/>
        <v>106</v>
      </c>
      <c r="R57" s="784">
        <v>73</v>
      </c>
      <c r="S57" s="785">
        <v>7747</v>
      </c>
      <c r="T57" s="786"/>
      <c r="U57" s="872">
        <f>ROUND(H57*'Hispanic Adjustment'!P56,0)</f>
        <v>0</v>
      </c>
      <c r="V57" s="756">
        <f>ROUND(H57*'Hispanic Adjustment'!Q56,0)</f>
        <v>0</v>
      </c>
      <c r="W57" s="873">
        <f>ROUND(H57*'Hispanic Adjustment'!R56,0)</f>
        <v>0</v>
      </c>
      <c r="X57" s="872">
        <f>ROUND(M57*'Hispanic Adjustment'!S56,0)</f>
        <v>10</v>
      </c>
      <c r="Y57" s="756">
        <f>ROUND(M57*'Hispanic Adjustment'!T56,0)</f>
        <v>2</v>
      </c>
      <c r="Z57" s="873">
        <f>ROUND(M57*'Hispanic Adjustment'!U56,0)</f>
        <v>0</v>
      </c>
      <c r="AA57" s="872">
        <f>ROUND(R57*'Hispanic Adjustment'!V56,0)</f>
        <v>70</v>
      </c>
      <c r="AB57" s="756">
        <f>ROUND(R57*'Hispanic Adjustment'!W56,0)</f>
        <v>0</v>
      </c>
      <c r="AC57" s="873">
        <f>ROUND(R57*'Hispanic Adjustment'!X56,0)</f>
        <v>3</v>
      </c>
      <c r="AE57" s="907">
        <f t="shared" si="6"/>
        <v>1123</v>
      </c>
      <c r="AF57" s="908">
        <f t="shared" si="7"/>
        <v>6</v>
      </c>
      <c r="AG57" s="909">
        <f t="shared" si="8"/>
        <v>28</v>
      </c>
      <c r="AH57" s="907">
        <f t="shared" si="9"/>
        <v>3153</v>
      </c>
      <c r="AI57" s="908">
        <f t="shared" si="10"/>
        <v>15</v>
      </c>
      <c r="AJ57" s="909">
        <f t="shared" si="11"/>
        <v>26</v>
      </c>
      <c r="AK57" s="907">
        <f t="shared" si="12"/>
        <v>3254</v>
      </c>
      <c r="AL57" s="908">
        <f t="shared" si="13"/>
        <v>32</v>
      </c>
      <c r="AM57" s="910">
        <f t="shared" si="14"/>
        <v>109</v>
      </c>
    </row>
    <row r="58" spans="1:39">
      <c r="A58" s="775" t="s">
        <v>133</v>
      </c>
      <c r="B58" s="776" t="s">
        <v>134</v>
      </c>
      <c r="C58" s="776" t="s">
        <v>274</v>
      </c>
      <c r="D58" s="777">
        <v>1961</v>
      </c>
      <c r="E58" s="778">
        <v>967</v>
      </c>
      <c r="F58" s="778">
        <v>223</v>
      </c>
      <c r="G58" s="778">
        <f t="shared" si="15"/>
        <v>627</v>
      </c>
      <c r="H58" s="779">
        <v>144</v>
      </c>
      <c r="I58" s="780">
        <v>2614</v>
      </c>
      <c r="J58" s="781">
        <v>1372</v>
      </c>
      <c r="K58" s="781">
        <v>605</v>
      </c>
      <c r="L58" s="781">
        <f t="shared" si="16"/>
        <v>344</v>
      </c>
      <c r="M58" s="782">
        <v>293</v>
      </c>
      <c r="N58" s="780">
        <v>12154</v>
      </c>
      <c r="O58" s="781">
        <v>2600</v>
      </c>
      <c r="P58" s="781">
        <v>1651</v>
      </c>
      <c r="Q58" s="783">
        <f t="shared" si="17"/>
        <v>2365</v>
      </c>
      <c r="R58" s="784">
        <v>5538</v>
      </c>
      <c r="S58" s="785">
        <v>16729</v>
      </c>
      <c r="T58" s="786"/>
      <c r="U58" s="872">
        <f>ROUND(H58*'Hispanic Adjustment'!P57,0)</f>
        <v>133</v>
      </c>
      <c r="V58" s="756">
        <f>ROUND(H58*'Hispanic Adjustment'!Q57,0)</f>
        <v>5</v>
      </c>
      <c r="W58" s="873">
        <f>ROUND(H58*'Hispanic Adjustment'!R57,0)</f>
        <v>6</v>
      </c>
      <c r="X58" s="872">
        <f>ROUND(M58*'Hispanic Adjustment'!S57,0)</f>
        <v>268</v>
      </c>
      <c r="Y58" s="756">
        <f>ROUND(M58*'Hispanic Adjustment'!T57,0)</f>
        <v>12</v>
      </c>
      <c r="Z58" s="873">
        <f>ROUND(M58*'Hispanic Adjustment'!U57,0)</f>
        <v>13</v>
      </c>
      <c r="AA58" s="872">
        <f>ROUND(R58*'Hispanic Adjustment'!V57,0)</f>
        <v>4897</v>
      </c>
      <c r="AB58" s="756">
        <f>ROUND(R58*'Hispanic Adjustment'!W57,0)</f>
        <v>325</v>
      </c>
      <c r="AC58" s="873">
        <f>ROUND(R58*'Hispanic Adjustment'!X57,0)</f>
        <v>315</v>
      </c>
      <c r="AE58" s="907">
        <f t="shared" si="6"/>
        <v>1100</v>
      </c>
      <c r="AF58" s="908">
        <f t="shared" si="7"/>
        <v>228</v>
      </c>
      <c r="AG58" s="909">
        <f t="shared" si="8"/>
        <v>633</v>
      </c>
      <c r="AH58" s="907">
        <f t="shared" si="9"/>
        <v>1640</v>
      </c>
      <c r="AI58" s="908">
        <f t="shared" si="10"/>
        <v>617</v>
      </c>
      <c r="AJ58" s="909">
        <f t="shared" si="11"/>
        <v>357</v>
      </c>
      <c r="AK58" s="907">
        <f t="shared" si="12"/>
        <v>7497</v>
      </c>
      <c r="AL58" s="908">
        <f t="shared" si="13"/>
        <v>1976</v>
      </c>
      <c r="AM58" s="910">
        <f t="shared" si="14"/>
        <v>2680</v>
      </c>
    </row>
    <row r="59" spans="1:39">
      <c r="A59" s="775" t="s">
        <v>135</v>
      </c>
      <c r="B59" s="776" t="s">
        <v>136</v>
      </c>
      <c r="C59" s="776" t="s">
        <v>274</v>
      </c>
      <c r="D59" s="777">
        <v>624</v>
      </c>
      <c r="E59" s="778">
        <v>330</v>
      </c>
      <c r="F59" s="778">
        <v>272</v>
      </c>
      <c r="G59" s="778">
        <f t="shared" si="15"/>
        <v>20</v>
      </c>
      <c r="H59" s="779">
        <v>2</v>
      </c>
      <c r="I59" s="780">
        <v>1692</v>
      </c>
      <c r="J59" s="781">
        <v>1061</v>
      </c>
      <c r="K59" s="781">
        <v>523</v>
      </c>
      <c r="L59" s="781">
        <f t="shared" si="16"/>
        <v>92</v>
      </c>
      <c r="M59" s="782">
        <v>16</v>
      </c>
      <c r="N59" s="780">
        <v>3051</v>
      </c>
      <c r="O59" s="781">
        <v>1743</v>
      </c>
      <c r="P59" s="781">
        <v>800</v>
      </c>
      <c r="Q59" s="783">
        <f t="shared" si="17"/>
        <v>379</v>
      </c>
      <c r="R59" s="784">
        <v>129</v>
      </c>
      <c r="S59" s="785">
        <v>5367</v>
      </c>
      <c r="T59" s="786"/>
      <c r="U59" s="872">
        <f>ROUND(H59*'Hispanic Adjustment'!P58,0)</f>
        <v>2</v>
      </c>
      <c r="V59" s="756">
        <f>ROUND(H59*'Hispanic Adjustment'!Q58,0)</f>
        <v>0</v>
      </c>
      <c r="W59" s="873">
        <f>ROUND(H59*'Hispanic Adjustment'!R58,0)</f>
        <v>0</v>
      </c>
      <c r="X59" s="872">
        <f>ROUND(M59*'Hispanic Adjustment'!S58,0)</f>
        <v>13</v>
      </c>
      <c r="Y59" s="756">
        <f>ROUND(M59*'Hispanic Adjustment'!T58,0)</f>
        <v>2</v>
      </c>
      <c r="Z59" s="873">
        <f>ROUND(M59*'Hispanic Adjustment'!U58,0)</f>
        <v>1</v>
      </c>
      <c r="AA59" s="872">
        <f>ROUND(R59*'Hispanic Adjustment'!V58,0)</f>
        <v>114</v>
      </c>
      <c r="AB59" s="756">
        <f>ROUND(R59*'Hispanic Adjustment'!W58,0)</f>
        <v>12</v>
      </c>
      <c r="AC59" s="873">
        <f>ROUND(R59*'Hispanic Adjustment'!X58,0)</f>
        <v>3</v>
      </c>
      <c r="AE59" s="907">
        <f t="shared" si="6"/>
        <v>332</v>
      </c>
      <c r="AF59" s="908">
        <f t="shared" si="7"/>
        <v>272</v>
      </c>
      <c r="AG59" s="909">
        <f t="shared" si="8"/>
        <v>20</v>
      </c>
      <c r="AH59" s="907">
        <f t="shared" si="9"/>
        <v>1074</v>
      </c>
      <c r="AI59" s="908">
        <f t="shared" si="10"/>
        <v>525</v>
      </c>
      <c r="AJ59" s="909">
        <f t="shared" si="11"/>
        <v>93</v>
      </c>
      <c r="AK59" s="907">
        <f t="shared" si="12"/>
        <v>1857</v>
      </c>
      <c r="AL59" s="908">
        <f t="shared" si="13"/>
        <v>812</v>
      </c>
      <c r="AM59" s="910">
        <f t="shared" si="14"/>
        <v>382</v>
      </c>
    </row>
    <row r="60" spans="1:39">
      <c r="A60" s="775" t="s">
        <v>137</v>
      </c>
      <c r="B60" s="776" t="s">
        <v>138</v>
      </c>
      <c r="C60" s="776" t="s">
        <v>273</v>
      </c>
      <c r="D60" s="777">
        <v>500</v>
      </c>
      <c r="E60" s="778">
        <v>185</v>
      </c>
      <c r="F60" s="778">
        <v>308</v>
      </c>
      <c r="G60" s="778">
        <f t="shared" si="15"/>
        <v>7</v>
      </c>
      <c r="H60" s="779">
        <v>0</v>
      </c>
      <c r="I60" s="780">
        <v>900</v>
      </c>
      <c r="J60" s="781">
        <v>423</v>
      </c>
      <c r="K60" s="781">
        <v>466</v>
      </c>
      <c r="L60" s="781">
        <f t="shared" si="16"/>
        <v>6</v>
      </c>
      <c r="M60" s="782">
        <v>5</v>
      </c>
      <c r="N60" s="780">
        <v>1601</v>
      </c>
      <c r="O60" s="781">
        <v>649</v>
      </c>
      <c r="P60" s="781">
        <v>775</v>
      </c>
      <c r="Q60" s="783">
        <f t="shared" si="17"/>
        <v>61</v>
      </c>
      <c r="R60" s="784">
        <v>116</v>
      </c>
      <c r="S60" s="785">
        <v>3001</v>
      </c>
      <c r="T60" s="786"/>
      <c r="U60" s="872">
        <f>ROUND(H60*'Hispanic Adjustment'!P59,0)</f>
        <v>0</v>
      </c>
      <c r="V60" s="756">
        <f>ROUND(H60*'Hispanic Adjustment'!Q59,0)</f>
        <v>0</v>
      </c>
      <c r="W60" s="873">
        <f>ROUND(H60*'Hispanic Adjustment'!R59,0)</f>
        <v>0</v>
      </c>
      <c r="X60" s="872">
        <f>ROUND(M60*'Hispanic Adjustment'!S59,0)</f>
        <v>4</v>
      </c>
      <c r="Y60" s="756">
        <f>ROUND(M60*'Hispanic Adjustment'!T59,0)</f>
        <v>1</v>
      </c>
      <c r="Z60" s="873">
        <f>ROUND(M60*'Hispanic Adjustment'!U59,0)</f>
        <v>0</v>
      </c>
      <c r="AA60" s="872">
        <f>ROUND(R60*'Hispanic Adjustment'!V59,0)</f>
        <v>91</v>
      </c>
      <c r="AB60" s="756">
        <f>ROUND(R60*'Hispanic Adjustment'!W59,0)</f>
        <v>21</v>
      </c>
      <c r="AC60" s="873">
        <f>ROUND(R60*'Hispanic Adjustment'!X59,0)</f>
        <v>5</v>
      </c>
      <c r="AE60" s="907">
        <f t="shared" si="6"/>
        <v>185</v>
      </c>
      <c r="AF60" s="908">
        <f t="shared" si="7"/>
        <v>308</v>
      </c>
      <c r="AG60" s="909">
        <f t="shared" si="8"/>
        <v>7</v>
      </c>
      <c r="AH60" s="907">
        <f t="shared" si="9"/>
        <v>427</v>
      </c>
      <c r="AI60" s="908">
        <f t="shared" si="10"/>
        <v>467</v>
      </c>
      <c r="AJ60" s="909">
        <f t="shared" si="11"/>
        <v>6</v>
      </c>
      <c r="AK60" s="907">
        <f t="shared" si="12"/>
        <v>740</v>
      </c>
      <c r="AL60" s="908">
        <f t="shared" si="13"/>
        <v>796</v>
      </c>
      <c r="AM60" s="910">
        <f t="shared" si="14"/>
        <v>66</v>
      </c>
    </row>
    <row r="61" spans="1:39">
      <c r="A61" s="775" t="s">
        <v>141</v>
      </c>
      <c r="B61" s="776" t="s">
        <v>142</v>
      </c>
      <c r="C61" s="776" t="s">
        <v>274</v>
      </c>
      <c r="D61" s="777">
        <v>317</v>
      </c>
      <c r="E61" s="778">
        <v>247</v>
      </c>
      <c r="F61" s="778">
        <v>63</v>
      </c>
      <c r="G61" s="778">
        <f t="shared" si="15"/>
        <v>6</v>
      </c>
      <c r="H61" s="779">
        <v>1</v>
      </c>
      <c r="I61" s="780">
        <v>505</v>
      </c>
      <c r="J61" s="781">
        <v>396</v>
      </c>
      <c r="K61" s="781">
        <v>90</v>
      </c>
      <c r="L61" s="781">
        <f t="shared" si="16"/>
        <v>14</v>
      </c>
      <c r="M61" s="782">
        <v>5</v>
      </c>
      <c r="N61" s="780">
        <v>1164</v>
      </c>
      <c r="O61" s="781">
        <v>830</v>
      </c>
      <c r="P61" s="781">
        <v>179</v>
      </c>
      <c r="Q61" s="783">
        <f t="shared" si="17"/>
        <v>106</v>
      </c>
      <c r="R61" s="784">
        <v>49</v>
      </c>
      <c r="S61" s="785">
        <v>1986</v>
      </c>
      <c r="T61" s="786"/>
      <c r="U61" s="872">
        <f>ROUND(H61*'Hispanic Adjustment'!P60,0)</f>
        <v>1</v>
      </c>
      <c r="V61" s="756">
        <f>ROUND(H61*'Hispanic Adjustment'!Q60,0)</f>
        <v>0</v>
      </c>
      <c r="W61" s="873">
        <f>ROUND(H61*'Hispanic Adjustment'!R60,0)</f>
        <v>0</v>
      </c>
      <c r="X61" s="872">
        <f>ROUND(M61*'Hispanic Adjustment'!S60,0)</f>
        <v>5</v>
      </c>
      <c r="Y61" s="756">
        <f>ROUND(M61*'Hispanic Adjustment'!T60,0)</f>
        <v>0</v>
      </c>
      <c r="Z61" s="873">
        <f>ROUND(M61*'Hispanic Adjustment'!U60,0)</f>
        <v>0</v>
      </c>
      <c r="AA61" s="872">
        <f>ROUND(R61*'Hispanic Adjustment'!V60,0)</f>
        <v>44</v>
      </c>
      <c r="AB61" s="756">
        <f>ROUND(R61*'Hispanic Adjustment'!W60,0)</f>
        <v>5</v>
      </c>
      <c r="AC61" s="873">
        <f>ROUND(R61*'Hispanic Adjustment'!X60,0)</f>
        <v>0</v>
      </c>
      <c r="AE61" s="907">
        <f t="shared" si="6"/>
        <v>248</v>
      </c>
      <c r="AF61" s="908">
        <f t="shared" si="7"/>
        <v>63</v>
      </c>
      <c r="AG61" s="909">
        <f t="shared" si="8"/>
        <v>6</v>
      </c>
      <c r="AH61" s="907">
        <f t="shared" si="9"/>
        <v>401</v>
      </c>
      <c r="AI61" s="908">
        <f t="shared" si="10"/>
        <v>90</v>
      </c>
      <c r="AJ61" s="909">
        <f t="shared" si="11"/>
        <v>14</v>
      </c>
      <c r="AK61" s="907">
        <f t="shared" si="12"/>
        <v>874</v>
      </c>
      <c r="AL61" s="908">
        <f t="shared" si="13"/>
        <v>184</v>
      </c>
      <c r="AM61" s="910">
        <f t="shared" si="14"/>
        <v>106</v>
      </c>
    </row>
    <row r="62" spans="1:39">
      <c r="A62" s="775" t="s">
        <v>147</v>
      </c>
      <c r="B62" s="776" t="s">
        <v>148</v>
      </c>
      <c r="C62" s="776" t="s">
        <v>271</v>
      </c>
      <c r="D62" s="777">
        <v>193</v>
      </c>
      <c r="E62" s="778">
        <v>124</v>
      </c>
      <c r="F62" s="778">
        <v>61</v>
      </c>
      <c r="G62" s="778">
        <f t="shared" si="15"/>
        <v>8</v>
      </c>
      <c r="H62" s="779">
        <v>0</v>
      </c>
      <c r="I62" s="780">
        <v>308</v>
      </c>
      <c r="J62" s="781">
        <v>238</v>
      </c>
      <c r="K62" s="781">
        <v>58</v>
      </c>
      <c r="L62" s="781">
        <f t="shared" si="16"/>
        <v>7</v>
      </c>
      <c r="M62" s="782">
        <v>5</v>
      </c>
      <c r="N62" s="780">
        <v>640</v>
      </c>
      <c r="O62" s="781">
        <v>490</v>
      </c>
      <c r="P62" s="781">
        <v>93</v>
      </c>
      <c r="Q62" s="783">
        <f t="shared" si="17"/>
        <v>20</v>
      </c>
      <c r="R62" s="784">
        <v>37</v>
      </c>
      <c r="S62" s="785">
        <v>1141</v>
      </c>
      <c r="T62" s="786"/>
      <c r="U62" s="872">
        <f>ROUND(H62*'Hispanic Adjustment'!P61,0)</f>
        <v>0</v>
      </c>
      <c r="V62" s="756">
        <f>ROUND(H62*'Hispanic Adjustment'!Q61,0)</f>
        <v>0</v>
      </c>
      <c r="W62" s="873">
        <f>ROUND(H62*'Hispanic Adjustment'!R61,0)</f>
        <v>0</v>
      </c>
      <c r="X62" s="872">
        <f>ROUND(M62*'Hispanic Adjustment'!S61,0)</f>
        <v>5</v>
      </c>
      <c r="Y62" s="756">
        <f>ROUND(M62*'Hispanic Adjustment'!T61,0)</f>
        <v>0</v>
      </c>
      <c r="Z62" s="873">
        <f>ROUND(M62*'Hispanic Adjustment'!U61,0)</f>
        <v>0</v>
      </c>
      <c r="AA62" s="872">
        <f>ROUND(R62*'Hispanic Adjustment'!V61,0)</f>
        <v>37</v>
      </c>
      <c r="AB62" s="756">
        <f>ROUND(R62*'Hispanic Adjustment'!W61,0)</f>
        <v>0</v>
      </c>
      <c r="AC62" s="873">
        <f>ROUND(R62*'Hispanic Adjustment'!X61,0)</f>
        <v>0</v>
      </c>
      <c r="AE62" s="907">
        <f t="shared" si="6"/>
        <v>124</v>
      </c>
      <c r="AF62" s="908">
        <f t="shared" si="7"/>
        <v>61</v>
      </c>
      <c r="AG62" s="909">
        <f t="shared" si="8"/>
        <v>8</v>
      </c>
      <c r="AH62" s="907">
        <f t="shared" si="9"/>
        <v>243</v>
      </c>
      <c r="AI62" s="908">
        <f t="shared" si="10"/>
        <v>58</v>
      </c>
      <c r="AJ62" s="909">
        <f t="shared" si="11"/>
        <v>7</v>
      </c>
      <c r="AK62" s="907">
        <f t="shared" si="12"/>
        <v>527</v>
      </c>
      <c r="AL62" s="908">
        <f t="shared" si="13"/>
        <v>93</v>
      </c>
      <c r="AM62" s="910">
        <f t="shared" si="14"/>
        <v>20</v>
      </c>
    </row>
    <row r="63" spans="1:39">
      <c r="A63" s="775" t="s">
        <v>149</v>
      </c>
      <c r="B63" s="776" t="s">
        <v>150</v>
      </c>
      <c r="C63" s="776" t="s">
        <v>272</v>
      </c>
      <c r="D63" s="777">
        <v>1109</v>
      </c>
      <c r="E63" s="778">
        <v>424</v>
      </c>
      <c r="F63" s="778">
        <v>650</v>
      </c>
      <c r="G63" s="778">
        <f t="shared" si="15"/>
        <v>33</v>
      </c>
      <c r="H63" s="779">
        <v>2</v>
      </c>
      <c r="I63" s="780">
        <v>2199</v>
      </c>
      <c r="J63" s="781">
        <v>837</v>
      </c>
      <c r="K63" s="781">
        <v>1326</v>
      </c>
      <c r="L63" s="781">
        <f t="shared" si="16"/>
        <v>23</v>
      </c>
      <c r="M63" s="782">
        <v>13</v>
      </c>
      <c r="N63" s="780">
        <v>3721</v>
      </c>
      <c r="O63" s="781">
        <v>1252</v>
      </c>
      <c r="P63" s="781">
        <v>2197</v>
      </c>
      <c r="Q63" s="783">
        <f t="shared" si="17"/>
        <v>171</v>
      </c>
      <c r="R63" s="784">
        <v>101</v>
      </c>
      <c r="S63" s="785">
        <v>7029</v>
      </c>
      <c r="T63" s="786"/>
      <c r="U63" s="872">
        <f>ROUND(H63*'Hispanic Adjustment'!P62,0)</f>
        <v>1</v>
      </c>
      <c r="V63" s="756">
        <f>ROUND(H63*'Hispanic Adjustment'!Q62,0)</f>
        <v>0</v>
      </c>
      <c r="W63" s="873">
        <f>ROUND(H63*'Hispanic Adjustment'!R62,0)</f>
        <v>0</v>
      </c>
      <c r="X63" s="872">
        <f>ROUND(M63*'Hispanic Adjustment'!S62,0)</f>
        <v>11</v>
      </c>
      <c r="Y63" s="756">
        <f>ROUND(M63*'Hispanic Adjustment'!T62,0)</f>
        <v>2</v>
      </c>
      <c r="Z63" s="873">
        <f>ROUND(M63*'Hispanic Adjustment'!U62,0)</f>
        <v>0</v>
      </c>
      <c r="AA63" s="872">
        <f>ROUND(R63*'Hispanic Adjustment'!V62,0)</f>
        <v>77</v>
      </c>
      <c r="AB63" s="756">
        <f>ROUND(R63*'Hispanic Adjustment'!W62,0)</f>
        <v>23</v>
      </c>
      <c r="AC63" s="873">
        <f>ROUND(R63*'Hispanic Adjustment'!X62,0)</f>
        <v>1</v>
      </c>
      <c r="AE63" s="907">
        <f t="shared" si="6"/>
        <v>425</v>
      </c>
      <c r="AF63" s="908">
        <f t="shared" si="7"/>
        <v>650</v>
      </c>
      <c r="AG63" s="909">
        <f t="shared" si="8"/>
        <v>33</v>
      </c>
      <c r="AH63" s="907">
        <f t="shared" si="9"/>
        <v>848</v>
      </c>
      <c r="AI63" s="908">
        <f t="shared" si="10"/>
        <v>1328</v>
      </c>
      <c r="AJ63" s="909">
        <f t="shared" si="11"/>
        <v>23</v>
      </c>
      <c r="AK63" s="907">
        <f t="shared" si="12"/>
        <v>1329</v>
      </c>
      <c r="AL63" s="908">
        <f t="shared" si="13"/>
        <v>2220</v>
      </c>
      <c r="AM63" s="910">
        <f t="shared" si="14"/>
        <v>172</v>
      </c>
    </row>
    <row r="64" spans="1:39">
      <c r="A64" s="775" t="s">
        <v>151</v>
      </c>
      <c r="B64" s="776" t="s">
        <v>152</v>
      </c>
      <c r="C64" s="776" t="s">
        <v>273</v>
      </c>
      <c r="D64" s="777">
        <v>255</v>
      </c>
      <c r="E64" s="778">
        <v>129</v>
      </c>
      <c r="F64" s="778">
        <v>115</v>
      </c>
      <c r="G64" s="778">
        <f t="shared" si="15"/>
        <v>10</v>
      </c>
      <c r="H64" s="779">
        <v>1</v>
      </c>
      <c r="I64" s="780">
        <v>616</v>
      </c>
      <c r="J64" s="781">
        <v>405</v>
      </c>
      <c r="K64" s="781">
        <v>186</v>
      </c>
      <c r="L64" s="781">
        <f t="shared" si="16"/>
        <v>19</v>
      </c>
      <c r="M64" s="782">
        <v>6</v>
      </c>
      <c r="N64" s="780">
        <v>1013</v>
      </c>
      <c r="O64" s="781">
        <v>613</v>
      </c>
      <c r="P64" s="781">
        <v>294</v>
      </c>
      <c r="Q64" s="783">
        <f t="shared" si="17"/>
        <v>76</v>
      </c>
      <c r="R64" s="784">
        <v>30</v>
      </c>
      <c r="S64" s="785">
        <v>1884</v>
      </c>
      <c r="T64" s="786"/>
      <c r="U64" s="872">
        <f>ROUND(H64*'Hispanic Adjustment'!P63,0)</f>
        <v>1</v>
      </c>
      <c r="V64" s="756">
        <f>ROUND(H64*'Hispanic Adjustment'!Q63,0)</f>
        <v>0</v>
      </c>
      <c r="W64" s="873">
        <f>ROUND(H64*'Hispanic Adjustment'!R63,0)</f>
        <v>0</v>
      </c>
      <c r="X64" s="872">
        <f>ROUND(M64*'Hispanic Adjustment'!S63,0)</f>
        <v>5</v>
      </c>
      <c r="Y64" s="756">
        <f>ROUND(M64*'Hispanic Adjustment'!T63,0)</f>
        <v>1</v>
      </c>
      <c r="Z64" s="873">
        <f>ROUND(M64*'Hispanic Adjustment'!U63,0)</f>
        <v>0</v>
      </c>
      <c r="AA64" s="872">
        <f>ROUND(R64*'Hispanic Adjustment'!V63,0)</f>
        <v>26</v>
      </c>
      <c r="AB64" s="756">
        <f>ROUND(R64*'Hispanic Adjustment'!W63,0)</f>
        <v>3</v>
      </c>
      <c r="AC64" s="873">
        <f>ROUND(R64*'Hispanic Adjustment'!X63,0)</f>
        <v>1</v>
      </c>
      <c r="AE64" s="907">
        <f t="shared" si="6"/>
        <v>130</v>
      </c>
      <c r="AF64" s="908">
        <f t="shared" si="7"/>
        <v>115</v>
      </c>
      <c r="AG64" s="909">
        <f t="shared" si="8"/>
        <v>10</v>
      </c>
      <c r="AH64" s="907">
        <f t="shared" si="9"/>
        <v>410</v>
      </c>
      <c r="AI64" s="908">
        <f t="shared" si="10"/>
        <v>187</v>
      </c>
      <c r="AJ64" s="909">
        <f t="shared" si="11"/>
        <v>19</v>
      </c>
      <c r="AK64" s="907">
        <f t="shared" si="12"/>
        <v>639</v>
      </c>
      <c r="AL64" s="908">
        <f t="shared" si="13"/>
        <v>297</v>
      </c>
      <c r="AM64" s="910">
        <f t="shared" si="14"/>
        <v>77</v>
      </c>
    </row>
    <row r="65" spans="1:39">
      <c r="A65" s="775" t="s">
        <v>153</v>
      </c>
      <c r="B65" s="776" t="s">
        <v>154</v>
      </c>
      <c r="C65" s="776" t="s">
        <v>275</v>
      </c>
      <c r="D65" s="777">
        <v>899</v>
      </c>
      <c r="E65" s="778">
        <v>826</v>
      </c>
      <c r="F65" s="778">
        <v>38</v>
      </c>
      <c r="G65" s="778">
        <f t="shared" si="15"/>
        <v>32</v>
      </c>
      <c r="H65" s="779">
        <v>3</v>
      </c>
      <c r="I65" s="780">
        <v>3565</v>
      </c>
      <c r="J65" s="781">
        <v>3110</v>
      </c>
      <c r="K65" s="781">
        <v>242</v>
      </c>
      <c r="L65" s="781">
        <f t="shared" si="16"/>
        <v>173</v>
      </c>
      <c r="M65" s="782">
        <v>40</v>
      </c>
      <c r="N65" s="780">
        <v>5724</v>
      </c>
      <c r="O65" s="781">
        <v>4128</v>
      </c>
      <c r="P65" s="781">
        <v>494</v>
      </c>
      <c r="Q65" s="783">
        <f t="shared" si="17"/>
        <v>813</v>
      </c>
      <c r="R65" s="784">
        <v>289</v>
      </c>
      <c r="S65" s="785">
        <v>10188</v>
      </c>
      <c r="T65" s="786"/>
      <c r="U65" s="872">
        <f>ROUND(H65*'Hispanic Adjustment'!P64,0)</f>
        <v>3</v>
      </c>
      <c r="V65" s="756">
        <f>ROUND(H65*'Hispanic Adjustment'!Q64,0)</f>
        <v>0</v>
      </c>
      <c r="W65" s="873">
        <f>ROUND(H65*'Hispanic Adjustment'!R64,0)</f>
        <v>0</v>
      </c>
      <c r="X65" s="872">
        <f>ROUND(M65*'Hispanic Adjustment'!S64,0)</f>
        <v>35</v>
      </c>
      <c r="Y65" s="756">
        <f>ROUND(M65*'Hispanic Adjustment'!T64,0)</f>
        <v>2</v>
      </c>
      <c r="Z65" s="873">
        <f>ROUND(M65*'Hispanic Adjustment'!U64,0)</f>
        <v>3</v>
      </c>
      <c r="AA65" s="872">
        <f>ROUND(R65*'Hispanic Adjustment'!V64,0)</f>
        <v>253</v>
      </c>
      <c r="AB65" s="756">
        <f>ROUND(R65*'Hispanic Adjustment'!W64,0)</f>
        <v>17</v>
      </c>
      <c r="AC65" s="873">
        <f>ROUND(R65*'Hispanic Adjustment'!X64,0)</f>
        <v>20</v>
      </c>
      <c r="AE65" s="907">
        <f t="shared" si="6"/>
        <v>829</v>
      </c>
      <c r="AF65" s="908">
        <f t="shared" si="7"/>
        <v>38</v>
      </c>
      <c r="AG65" s="909">
        <f t="shared" si="8"/>
        <v>32</v>
      </c>
      <c r="AH65" s="907">
        <f t="shared" si="9"/>
        <v>3145</v>
      </c>
      <c r="AI65" s="908">
        <f t="shared" si="10"/>
        <v>244</v>
      </c>
      <c r="AJ65" s="909">
        <f t="shared" si="11"/>
        <v>176</v>
      </c>
      <c r="AK65" s="907">
        <f t="shared" si="12"/>
        <v>4381</v>
      </c>
      <c r="AL65" s="908">
        <f t="shared" si="13"/>
        <v>511</v>
      </c>
      <c r="AM65" s="910">
        <f t="shared" si="14"/>
        <v>833</v>
      </c>
    </row>
    <row r="66" spans="1:39">
      <c r="A66" s="775" t="s">
        <v>155</v>
      </c>
      <c r="B66" s="776" t="s">
        <v>156</v>
      </c>
      <c r="C66" s="776" t="s">
        <v>272</v>
      </c>
      <c r="D66" s="777">
        <v>468</v>
      </c>
      <c r="E66" s="778">
        <v>280</v>
      </c>
      <c r="F66" s="778">
        <v>166</v>
      </c>
      <c r="G66" s="778">
        <f t="shared" si="15"/>
        <v>21</v>
      </c>
      <c r="H66" s="779">
        <v>1</v>
      </c>
      <c r="I66" s="780">
        <v>858</v>
      </c>
      <c r="J66" s="781">
        <v>615</v>
      </c>
      <c r="K66" s="781">
        <v>189</v>
      </c>
      <c r="L66" s="781">
        <f t="shared" si="16"/>
        <v>46</v>
      </c>
      <c r="M66" s="782">
        <v>8</v>
      </c>
      <c r="N66" s="780">
        <v>1473</v>
      </c>
      <c r="O66" s="781">
        <v>896</v>
      </c>
      <c r="P66" s="781">
        <v>266</v>
      </c>
      <c r="Q66" s="783">
        <f t="shared" si="17"/>
        <v>204</v>
      </c>
      <c r="R66" s="784">
        <v>107</v>
      </c>
      <c r="S66" s="785">
        <v>2799</v>
      </c>
      <c r="T66" s="786"/>
      <c r="U66" s="872">
        <f>ROUND(H66*'Hispanic Adjustment'!P65,0)</f>
        <v>1</v>
      </c>
      <c r="V66" s="756">
        <f>ROUND(H66*'Hispanic Adjustment'!Q65,0)</f>
        <v>0</v>
      </c>
      <c r="W66" s="873">
        <f>ROUND(H66*'Hispanic Adjustment'!R65,0)</f>
        <v>0</v>
      </c>
      <c r="X66" s="872">
        <f>ROUND(M66*'Hispanic Adjustment'!S65,0)</f>
        <v>7</v>
      </c>
      <c r="Y66" s="756">
        <f>ROUND(M66*'Hispanic Adjustment'!T65,0)</f>
        <v>1</v>
      </c>
      <c r="Z66" s="873">
        <f>ROUND(M66*'Hispanic Adjustment'!U65,0)</f>
        <v>0</v>
      </c>
      <c r="AA66" s="872">
        <f>ROUND(R66*'Hispanic Adjustment'!V65,0)</f>
        <v>85</v>
      </c>
      <c r="AB66" s="756">
        <f>ROUND(R66*'Hispanic Adjustment'!W65,0)</f>
        <v>18</v>
      </c>
      <c r="AC66" s="873">
        <f>ROUND(R66*'Hispanic Adjustment'!X65,0)</f>
        <v>3</v>
      </c>
      <c r="AE66" s="907">
        <f t="shared" si="6"/>
        <v>281</v>
      </c>
      <c r="AF66" s="908">
        <f t="shared" si="7"/>
        <v>166</v>
      </c>
      <c r="AG66" s="909">
        <f t="shared" si="8"/>
        <v>21</v>
      </c>
      <c r="AH66" s="907">
        <f t="shared" si="9"/>
        <v>622</v>
      </c>
      <c r="AI66" s="908">
        <f t="shared" si="10"/>
        <v>190</v>
      </c>
      <c r="AJ66" s="909">
        <f t="shared" si="11"/>
        <v>46</v>
      </c>
      <c r="AK66" s="907">
        <f t="shared" si="12"/>
        <v>981</v>
      </c>
      <c r="AL66" s="908">
        <f t="shared" si="13"/>
        <v>284</v>
      </c>
      <c r="AM66" s="910">
        <f t="shared" si="14"/>
        <v>207</v>
      </c>
    </row>
    <row r="67" spans="1:39">
      <c r="A67" s="775" t="s">
        <v>157</v>
      </c>
      <c r="B67" s="776" t="s">
        <v>158</v>
      </c>
      <c r="C67" s="776" t="s">
        <v>273</v>
      </c>
      <c r="D67" s="777">
        <v>108</v>
      </c>
      <c r="E67" s="778">
        <v>49</v>
      </c>
      <c r="F67" s="778">
        <v>51</v>
      </c>
      <c r="G67" s="778">
        <f t="shared" si="15"/>
        <v>7</v>
      </c>
      <c r="H67" s="779">
        <v>1</v>
      </c>
      <c r="I67" s="780">
        <v>474</v>
      </c>
      <c r="J67" s="781">
        <v>365</v>
      </c>
      <c r="K67" s="781">
        <v>89</v>
      </c>
      <c r="L67" s="781">
        <f t="shared" si="16"/>
        <v>14</v>
      </c>
      <c r="M67" s="782">
        <v>6</v>
      </c>
      <c r="N67" s="780">
        <v>989</v>
      </c>
      <c r="O67" s="781">
        <v>664</v>
      </c>
      <c r="P67" s="781">
        <v>204</v>
      </c>
      <c r="Q67" s="783">
        <f t="shared" si="17"/>
        <v>66</v>
      </c>
      <c r="R67" s="784">
        <v>55</v>
      </c>
      <c r="S67" s="785">
        <v>1571</v>
      </c>
      <c r="T67" s="786"/>
      <c r="U67" s="872">
        <f>ROUND(H67*'Hispanic Adjustment'!P66,0)</f>
        <v>1</v>
      </c>
      <c r="V67" s="756">
        <f>ROUND(H67*'Hispanic Adjustment'!Q66,0)</f>
        <v>0</v>
      </c>
      <c r="W67" s="873">
        <f>ROUND(H67*'Hispanic Adjustment'!R66,0)</f>
        <v>0</v>
      </c>
      <c r="X67" s="872">
        <f>ROUND(M67*'Hispanic Adjustment'!S66,0)</f>
        <v>5</v>
      </c>
      <c r="Y67" s="756">
        <f>ROUND(M67*'Hispanic Adjustment'!T66,0)</f>
        <v>0</v>
      </c>
      <c r="Z67" s="873">
        <f>ROUND(M67*'Hispanic Adjustment'!U66,0)</f>
        <v>0</v>
      </c>
      <c r="AA67" s="872">
        <f>ROUND(R67*'Hispanic Adjustment'!V66,0)</f>
        <v>47</v>
      </c>
      <c r="AB67" s="756">
        <f>ROUND(R67*'Hispanic Adjustment'!W66,0)</f>
        <v>3</v>
      </c>
      <c r="AC67" s="873">
        <f>ROUND(R67*'Hispanic Adjustment'!X66,0)</f>
        <v>5</v>
      </c>
      <c r="AE67" s="907">
        <f t="shared" si="6"/>
        <v>50</v>
      </c>
      <c r="AF67" s="908">
        <f t="shared" si="7"/>
        <v>51</v>
      </c>
      <c r="AG67" s="909">
        <f t="shared" si="8"/>
        <v>7</v>
      </c>
      <c r="AH67" s="907">
        <f t="shared" si="9"/>
        <v>370</v>
      </c>
      <c r="AI67" s="908">
        <f t="shared" si="10"/>
        <v>89</v>
      </c>
      <c r="AJ67" s="909">
        <f t="shared" si="11"/>
        <v>14</v>
      </c>
      <c r="AK67" s="907">
        <f t="shared" si="12"/>
        <v>711</v>
      </c>
      <c r="AL67" s="908">
        <f t="shared" si="13"/>
        <v>207</v>
      </c>
      <c r="AM67" s="910">
        <f t="shared" si="14"/>
        <v>71</v>
      </c>
    </row>
    <row r="68" spans="1:39">
      <c r="A68" s="775" t="s">
        <v>163</v>
      </c>
      <c r="B68" s="776" t="s">
        <v>164</v>
      </c>
      <c r="C68" s="776" t="s">
        <v>271</v>
      </c>
      <c r="D68" s="777">
        <v>700</v>
      </c>
      <c r="E68" s="778">
        <v>183</v>
      </c>
      <c r="F68" s="778">
        <v>509</v>
      </c>
      <c r="G68" s="778">
        <f t="shared" si="15"/>
        <v>4</v>
      </c>
      <c r="H68" s="779">
        <v>4</v>
      </c>
      <c r="I68" s="780">
        <v>1088</v>
      </c>
      <c r="J68" s="781">
        <v>342</v>
      </c>
      <c r="K68" s="781">
        <v>701</v>
      </c>
      <c r="L68" s="781">
        <f t="shared" si="16"/>
        <v>21</v>
      </c>
      <c r="M68" s="782">
        <v>24</v>
      </c>
      <c r="N68" s="780">
        <v>1767</v>
      </c>
      <c r="O68" s="781">
        <v>441</v>
      </c>
      <c r="P68" s="781">
        <v>961</v>
      </c>
      <c r="Q68" s="783">
        <f t="shared" si="17"/>
        <v>90</v>
      </c>
      <c r="R68" s="784">
        <v>275</v>
      </c>
      <c r="S68" s="785">
        <v>3555</v>
      </c>
      <c r="T68" s="786"/>
      <c r="U68" s="872">
        <f>ROUND(H68*'Hispanic Adjustment'!P67,0)</f>
        <v>4</v>
      </c>
      <c r="V68" s="756">
        <f>ROUND(H68*'Hispanic Adjustment'!Q67,0)</f>
        <v>0</v>
      </c>
      <c r="W68" s="873">
        <f>ROUND(H68*'Hispanic Adjustment'!R67,0)</f>
        <v>0</v>
      </c>
      <c r="X68" s="872">
        <f>ROUND(M68*'Hispanic Adjustment'!S67,0)</f>
        <v>22</v>
      </c>
      <c r="Y68" s="756">
        <f>ROUND(M68*'Hispanic Adjustment'!T67,0)</f>
        <v>1</v>
      </c>
      <c r="Z68" s="873">
        <f>ROUND(M68*'Hispanic Adjustment'!U67,0)</f>
        <v>1</v>
      </c>
      <c r="AA68" s="872">
        <f>ROUND(R68*'Hispanic Adjustment'!V67,0)</f>
        <v>249</v>
      </c>
      <c r="AB68" s="756">
        <f>ROUND(R68*'Hispanic Adjustment'!W67,0)</f>
        <v>20</v>
      </c>
      <c r="AC68" s="873">
        <f>ROUND(R68*'Hispanic Adjustment'!X67,0)</f>
        <v>6</v>
      </c>
      <c r="AE68" s="907">
        <f t="shared" si="6"/>
        <v>187</v>
      </c>
      <c r="AF68" s="908">
        <f t="shared" si="7"/>
        <v>509</v>
      </c>
      <c r="AG68" s="909">
        <f t="shared" si="8"/>
        <v>4</v>
      </c>
      <c r="AH68" s="907">
        <f t="shared" si="9"/>
        <v>364</v>
      </c>
      <c r="AI68" s="908">
        <f t="shared" si="10"/>
        <v>702</v>
      </c>
      <c r="AJ68" s="909">
        <f t="shared" si="11"/>
        <v>22</v>
      </c>
      <c r="AK68" s="907">
        <f t="shared" si="12"/>
        <v>690</v>
      </c>
      <c r="AL68" s="908">
        <f t="shared" si="13"/>
        <v>981</v>
      </c>
      <c r="AM68" s="910">
        <f t="shared" si="14"/>
        <v>96</v>
      </c>
    </row>
    <row r="69" spans="1:39">
      <c r="A69" s="775" t="s">
        <v>165</v>
      </c>
      <c r="B69" s="776" t="s">
        <v>166</v>
      </c>
      <c r="C69" s="776" t="s">
        <v>273</v>
      </c>
      <c r="D69" s="777">
        <v>296</v>
      </c>
      <c r="E69" s="778">
        <v>113</v>
      </c>
      <c r="F69" s="778">
        <v>180</v>
      </c>
      <c r="G69" s="778">
        <f t="shared" si="15"/>
        <v>3</v>
      </c>
      <c r="H69" s="779">
        <v>0</v>
      </c>
      <c r="I69" s="780">
        <v>704</v>
      </c>
      <c r="J69" s="781">
        <v>290</v>
      </c>
      <c r="K69" s="781">
        <v>399</v>
      </c>
      <c r="L69" s="781">
        <f t="shared" si="16"/>
        <v>9</v>
      </c>
      <c r="M69" s="782">
        <v>6</v>
      </c>
      <c r="N69" s="780">
        <v>1116</v>
      </c>
      <c r="O69" s="781">
        <v>387</v>
      </c>
      <c r="P69" s="781">
        <v>582</v>
      </c>
      <c r="Q69" s="783">
        <f t="shared" si="17"/>
        <v>60</v>
      </c>
      <c r="R69" s="784">
        <v>87</v>
      </c>
      <c r="S69" s="785">
        <v>2116</v>
      </c>
      <c r="T69" s="786"/>
      <c r="U69" s="872">
        <f>ROUND(H69*'Hispanic Adjustment'!P68,0)</f>
        <v>0</v>
      </c>
      <c r="V69" s="756">
        <f>ROUND(H69*'Hispanic Adjustment'!Q68,0)</f>
        <v>0</v>
      </c>
      <c r="W69" s="873">
        <f>ROUND(H69*'Hispanic Adjustment'!R68,0)</f>
        <v>0</v>
      </c>
      <c r="X69" s="872">
        <f>ROUND(M69*'Hispanic Adjustment'!S68,0)</f>
        <v>5</v>
      </c>
      <c r="Y69" s="756">
        <f>ROUND(M69*'Hispanic Adjustment'!T68,0)</f>
        <v>0</v>
      </c>
      <c r="Z69" s="873">
        <f>ROUND(M69*'Hispanic Adjustment'!U68,0)</f>
        <v>0</v>
      </c>
      <c r="AA69" s="872">
        <f>ROUND(R69*'Hispanic Adjustment'!V68,0)</f>
        <v>73</v>
      </c>
      <c r="AB69" s="756">
        <f>ROUND(R69*'Hispanic Adjustment'!W68,0)</f>
        <v>7</v>
      </c>
      <c r="AC69" s="873">
        <f>ROUND(R69*'Hispanic Adjustment'!X68,0)</f>
        <v>7</v>
      </c>
      <c r="AE69" s="907">
        <f t="shared" si="6"/>
        <v>113</v>
      </c>
      <c r="AF69" s="908">
        <f t="shared" si="7"/>
        <v>180</v>
      </c>
      <c r="AG69" s="909">
        <f t="shared" si="8"/>
        <v>3</v>
      </c>
      <c r="AH69" s="907">
        <f t="shared" si="9"/>
        <v>295</v>
      </c>
      <c r="AI69" s="908">
        <f t="shared" si="10"/>
        <v>399</v>
      </c>
      <c r="AJ69" s="909">
        <f t="shared" si="11"/>
        <v>9</v>
      </c>
      <c r="AK69" s="907">
        <f t="shared" si="12"/>
        <v>460</v>
      </c>
      <c r="AL69" s="908">
        <f t="shared" si="13"/>
        <v>589</v>
      </c>
      <c r="AM69" s="910">
        <f t="shared" si="14"/>
        <v>67</v>
      </c>
    </row>
    <row r="70" spans="1:39">
      <c r="A70" s="775" t="s">
        <v>169</v>
      </c>
      <c r="B70" s="776" t="s">
        <v>170</v>
      </c>
      <c r="C70" s="776" t="s">
        <v>273</v>
      </c>
      <c r="D70" s="777">
        <v>502</v>
      </c>
      <c r="E70" s="778">
        <v>200</v>
      </c>
      <c r="F70" s="778">
        <v>294</v>
      </c>
      <c r="G70" s="778">
        <f t="shared" ref="G70:G101" si="18">D70-E70-F70-H70</f>
        <v>5</v>
      </c>
      <c r="H70" s="779">
        <v>3</v>
      </c>
      <c r="I70" s="780">
        <v>1356</v>
      </c>
      <c r="J70" s="781">
        <v>563</v>
      </c>
      <c r="K70" s="781">
        <v>766</v>
      </c>
      <c r="L70" s="781">
        <f t="shared" ref="L70:L101" si="19">I70-J70-K70-M70</f>
        <v>16</v>
      </c>
      <c r="M70" s="782">
        <v>11</v>
      </c>
      <c r="N70" s="780">
        <v>2231</v>
      </c>
      <c r="O70" s="781">
        <v>850</v>
      </c>
      <c r="P70" s="781">
        <v>1120</v>
      </c>
      <c r="Q70" s="783">
        <f t="shared" ref="Q70:Q101" si="20">N70-O70-P70-R70</f>
        <v>96</v>
      </c>
      <c r="R70" s="784">
        <v>165</v>
      </c>
      <c r="S70" s="785">
        <v>4089</v>
      </c>
      <c r="T70" s="786"/>
      <c r="U70" s="872">
        <f>ROUND(H70*'Hispanic Adjustment'!P69,0)</f>
        <v>1</v>
      </c>
      <c r="V70" s="756">
        <f>ROUND(H70*'Hispanic Adjustment'!Q69,0)</f>
        <v>2</v>
      </c>
      <c r="W70" s="873">
        <f>ROUND(H70*'Hispanic Adjustment'!R69,0)</f>
        <v>0</v>
      </c>
      <c r="X70" s="872">
        <f>ROUND(M70*'Hispanic Adjustment'!S69,0)</f>
        <v>8</v>
      </c>
      <c r="Y70" s="756">
        <f>ROUND(M70*'Hispanic Adjustment'!T69,0)</f>
        <v>2</v>
      </c>
      <c r="Z70" s="873">
        <f>ROUND(M70*'Hispanic Adjustment'!U69,0)</f>
        <v>1</v>
      </c>
      <c r="AA70" s="872">
        <f>ROUND(R70*'Hispanic Adjustment'!V69,0)</f>
        <v>111</v>
      </c>
      <c r="AB70" s="756">
        <f>ROUND(R70*'Hispanic Adjustment'!W69,0)</f>
        <v>35</v>
      </c>
      <c r="AC70" s="873">
        <f>ROUND(R70*'Hispanic Adjustment'!X69,0)</f>
        <v>18</v>
      </c>
      <c r="AE70" s="907">
        <f t="shared" si="6"/>
        <v>201</v>
      </c>
      <c r="AF70" s="908">
        <f t="shared" si="7"/>
        <v>296</v>
      </c>
      <c r="AG70" s="909">
        <f t="shared" si="8"/>
        <v>5</v>
      </c>
      <c r="AH70" s="907">
        <f t="shared" si="9"/>
        <v>571</v>
      </c>
      <c r="AI70" s="908">
        <f t="shared" si="10"/>
        <v>768</v>
      </c>
      <c r="AJ70" s="909">
        <f t="shared" si="11"/>
        <v>17</v>
      </c>
      <c r="AK70" s="907">
        <f t="shared" si="12"/>
        <v>961</v>
      </c>
      <c r="AL70" s="908">
        <f t="shared" si="13"/>
        <v>1155</v>
      </c>
      <c r="AM70" s="910">
        <f t="shared" si="14"/>
        <v>114</v>
      </c>
    </row>
    <row r="71" spans="1:39">
      <c r="A71" s="775" t="s">
        <v>171</v>
      </c>
      <c r="B71" s="776" t="s">
        <v>172</v>
      </c>
      <c r="C71" s="776" t="s">
        <v>274</v>
      </c>
      <c r="D71" s="777">
        <v>570</v>
      </c>
      <c r="E71" s="778">
        <v>377</v>
      </c>
      <c r="F71" s="778">
        <v>173</v>
      </c>
      <c r="G71" s="778">
        <f t="shared" si="18"/>
        <v>19</v>
      </c>
      <c r="H71" s="779">
        <v>1</v>
      </c>
      <c r="I71" s="780">
        <v>1297</v>
      </c>
      <c r="J71" s="781">
        <v>858</v>
      </c>
      <c r="K71" s="781">
        <v>351</v>
      </c>
      <c r="L71" s="781">
        <f t="shared" si="19"/>
        <v>66</v>
      </c>
      <c r="M71" s="782">
        <v>22</v>
      </c>
      <c r="N71" s="780">
        <v>2927</v>
      </c>
      <c r="O71" s="781">
        <v>1658</v>
      </c>
      <c r="P71" s="781">
        <v>773</v>
      </c>
      <c r="Q71" s="783">
        <f t="shared" si="20"/>
        <v>340</v>
      </c>
      <c r="R71" s="784">
        <v>156</v>
      </c>
      <c r="S71" s="785">
        <v>4794</v>
      </c>
      <c r="T71" s="786"/>
      <c r="U71" s="872">
        <f>ROUND(H71*'Hispanic Adjustment'!P70,0)</f>
        <v>1</v>
      </c>
      <c r="V71" s="756">
        <f>ROUND(H71*'Hispanic Adjustment'!Q70,0)</f>
        <v>0</v>
      </c>
      <c r="W71" s="873">
        <f>ROUND(H71*'Hispanic Adjustment'!R70,0)</f>
        <v>0</v>
      </c>
      <c r="X71" s="872">
        <f>ROUND(M71*'Hispanic Adjustment'!S70,0)</f>
        <v>19</v>
      </c>
      <c r="Y71" s="756">
        <f>ROUND(M71*'Hispanic Adjustment'!T70,0)</f>
        <v>2</v>
      </c>
      <c r="Z71" s="873">
        <f>ROUND(M71*'Hispanic Adjustment'!U70,0)</f>
        <v>1</v>
      </c>
      <c r="AA71" s="872">
        <f>ROUND(R71*'Hispanic Adjustment'!V70,0)</f>
        <v>133</v>
      </c>
      <c r="AB71" s="756">
        <f>ROUND(R71*'Hispanic Adjustment'!W70,0)</f>
        <v>18</v>
      </c>
      <c r="AC71" s="873">
        <f>ROUND(R71*'Hispanic Adjustment'!X70,0)</f>
        <v>5</v>
      </c>
      <c r="AE71" s="907">
        <f t="shared" ref="AE71:AE125" si="21">U71+E71</f>
        <v>378</v>
      </c>
      <c r="AF71" s="908">
        <f t="shared" ref="AF71:AF125" si="22">V71+F71</f>
        <v>173</v>
      </c>
      <c r="AG71" s="909">
        <f t="shared" ref="AG71:AG125" si="23">W71+G71</f>
        <v>19</v>
      </c>
      <c r="AH71" s="907">
        <f t="shared" ref="AH71:AH125" si="24">X71+J71</f>
        <v>877</v>
      </c>
      <c r="AI71" s="908">
        <f t="shared" ref="AI71:AI125" si="25">Y71+K71</f>
        <v>353</v>
      </c>
      <c r="AJ71" s="909">
        <f t="shared" ref="AJ71:AJ125" si="26">Z71+L71</f>
        <v>67</v>
      </c>
      <c r="AK71" s="907">
        <f t="shared" ref="AK71:AK125" si="27">AA71+O71</f>
        <v>1791</v>
      </c>
      <c r="AL71" s="908">
        <f t="shared" ref="AL71:AL125" si="28">AB71+P71</f>
        <v>791</v>
      </c>
      <c r="AM71" s="910">
        <f t="shared" ref="AM71:AM125" si="29">AC71+Q71</f>
        <v>345</v>
      </c>
    </row>
    <row r="72" spans="1:39">
      <c r="A72" s="775" t="s">
        <v>173</v>
      </c>
      <c r="B72" s="776" t="s">
        <v>174</v>
      </c>
      <c r="C72" s="776" t="s">
        <v>274</v>
      </c>
      <c r="D72" s="777">
        <v>653</v>
      </c>
      <c r="E72" s="778">
        <v>622</v>
      </c>
      <c r="F72" s="778">
        <v>14</v>
      </c>
      <c r="G72" s="778">
        <f t="shared" si="18"/>
        <v>14</v>
      </c>
      <c r="H72" s="779">
        <v>3</v>
      </c>
      <c r="I72" s="780">
        <v>1666</v>
      </c>
      <c r="J72" s="781">
        <v>1572</v>
      </c>
      <c r="K72" s="781">
        <v>48</v>
      </c>
      <c r="L72" s="781">
        <f t="shared" si="19"/>
        <v>33</v>
      </c>
      <c r="M72" s="782">
        <v>13</v>
      </c>
      <c r="N72" s="780">
        <v>2500</v>
      </c>
      <c r="O72" s="781">
        <v>2173</v>
      </c>
      <c r="P72" s="781">
        <v>77</v>
      </c>
      <c r="Q72" s="783">
        <f t="shared" si="20"/>
        <v>148</v>
      </c>
      <c r="R72" s="784">
        <v>102</v>
      </c>
      <c r="S72" s="785">
        <v>4819</v>
      </c>
      <c r="T72" s="786"/>
      <c r="U72" s="872">
        <f>ROUND(H72*'Hispanic Adjustment'!P71,0)</f>
        <v>3</v>
      </c>
      <c r="V72" s="756">
        <f>ROUND(H72*'Hispanic Adjustment'!Q71,0)</f>
        <v>0</v>
      </c>
      <c r="W72" s="873">
        <f>ROUND(H72*'Hispanic Adjustment'!R71,0)</f>
        <v>0</v>
      </c>
      <c r="X72" s="872">
        <f>ROUND(M72*'Hispanic Adjustment'!S71,0)</f>
        <v>12</v>
      </c>
      <c r="Y72" s="756">
        <f>ROUND(M72*'Hispanic Adjustment'!T71,0)</f>
        <v>1</v>
      </c>
      <c r="Z72" s="873">
        <f>ROUND(M72*'Hispanic Adjustment'!U71,0)</f>
        <v>0</v>
      </c>
      <c r="AA72" s="872">
        <f>ROUND(R72*'Hispanic Adjustment'!V71,0)</f>
        <v>94</v>
      </c>
      <c r="AB72" s="756">
        <f>ROUND(R72*'Hispanic Adjustment'!W71,0)</f>
        <v>7</v>
      </c>
      <c r="AC72" s="873">
        <f>ROUND(R72*'Hispanic Adjustment'!X71,0)</f>
        <v>1</v>
      </c>
      <c r="AE72" s="907">
        <f t="shared" si="21"/>
        <v>625</v>
      </c>
      <c r="AF72" s="908">
        <f t="shared" si="22"/>
        <v>14</v>
      </c>
      <c r="AG72" s="909">
        <f t="shared" si="23"/>
        <v>14</v>
      </c>
      <c r="AH72" s="907">
        <f t="shared" si="24"/>
        <v>1584</v>
      </c>
      <c r="AI72" s="908">
        <f t="shared" si="25"/>
        <v>49</v>
      </c>
      <c r="AJ72" s="909">
        <f t="shared" si="26"/>
        <v>33</v>
      </c>
      <c r="AK72" s="907">
        <f t="shared" si="27"/>
        <v>2267</v>
      </c>
      <c r="AL72" s="908">
        <f t="shared" si="28"/>
        <v>84</v>
      </c>
      <c r="AM72" s="910">
        <f t="shared" si="29"/>
        <v>149</v>
      </c>
    </row>
    <row r="73" spans="1:39">
      <c r="A73" s="775" t="s">
        <v>175</v>
      </c>
      <c r="B73" s="776" t="s">
        <v>176</v>
      </c>
      <c r="C73" s="776" t="s">
        <v>275</v>
      </c>
      <c r="D73" s="777">
        <v>652</v>
      </c>
      <c r="E73" s="778">
        <v>568</v>
      </c>
      <c r="F73" s="778">
        <v>60</v>
      </c>
      <c r="G73" s="778">
        <f t="shared" si="18"/>
        <v>24</v>
      </c>
      <c r="H73" s="779">
        <v>0</v>
      </c>
      <c r="I73" s="780">
        <v>1646</v>
      </c>
      <c r="J73" s="781">
        <v>1468</v>
      </c>
      <c r="K73" s="781">
        <v>139</v>
      </c>
      <c r="L73" s="781">
        <f t="shared" si="19"/>
        <v>18</v>
      </c>
      <c r="M73" s="782">
        <v>21</v>
      </c>
      <c r="N73" s="780">
        <v>2149</v>
      </c>
      <c r="O73" s="781">
        <v>1747</v>
      </c>
      <c r="P73" s="781">
        <v>172</v>
      </c>
      <c r="Q73" s="783">
        <f t="shared" si="20"/>
        <v>95</v>
      </c>
      <c r="R73" s="784">
        <v>135</v>
      </c>
      <c r="S73" s="785">
        <v>4447</v>
      </c>
      <c r="T73" s="786"/>
      <c r="U73" s="872">
        <f>ROUND(H73*'Hispanic Adjustment'!P72,0)</f>
        <v>0</v>
      </c>
      <c r="V73" s="756">
        <f>ROUND(H73*'Hispanic Adjustment'!Q72,0)</f>
        <v>0</v>
      </c>
      <c r="W73" s="873">
        <f>ROUND(H73*'Hispanic Adjustment'!R72,0)</f>
        <v>0</v>
      </c>
      <c r="X73" s="872">
        <f>ROUND(M73*'Hispanic Adjustment'!S72,0)</f>
        <v>19</v>
      </c>
      <c r="Y73" s="756">
        <f>ROUND(M73*'Hispanic Adjustment'!T72,0)</f>
        <v>1</v>
      </c>
      <c r="Z73" s="873">
        <f>ROUND(M73*'Hispanic Adjustment'!U72,0)</f>
        <v>1</v>
      </c>
      <c r="AA73" s="872">
        <f>ROUND(R73*'Hispanic Adjustment'!V72,0)</f>
        <v>123</v>
      </c>
      <c r="AB73" s="756">
        <f>ROUND(R73*'Hispanic Adjustment'!W72,0)</f>
        <v>2</v>
      </c>
      <c r="AC73" s="873">
        <f>ROUND(R73*'Hispanic Adjustment'!X72,0)</f>
        <v>10</v>
      </c>
      <c r="AE73" s="907">
        <f t="shared" si="21"/>
        <v>568</v>
      </c>
      <c r="AF73" s="908">
        <f t="shared" si="22"/>
        <v>60</v>
      </c>
      <c r="AG73" s="909">
        <f t="shared" si="23"/>
        <v>24</v>
      </c>
      <c r="AH73" s="907">
        <f t="shared" si="24"/>
        <v>1487</v>
      </c>
      <c r="AI73" s="908">
        <f t="shared" si="25"/>
        <v>140</v>
      </c>
      <c r="AJ73" s="909">
        <f t="shared" si="26"/>
        <v>19</v>
      </c>
      <c r="AK73" s="907">
        <f t="shared" si="27"/>
        <v>1870</v>
      </c>
      <c r="AL73" s="908">
        <f t="shared" si="28"/>
        <v>174</v>
      </c>
      <c r="AM73" s="910">
        <f t="shared" si="29"/>
        <v>105</v>
      </c>
    </row>
    <row r="74" spans="1:39">
      <c r="A74" s="775" t="s">
        <v>179</v>
      </c>
      <c r="B74" s="776" t="s">
        <v>180</v>
      </c>
      <c r="C74" s="776" t="s">
        <v>272</v>
      </c>
      <c r="D74" s="777">
        <v>1950</v>
      </c>
      <c r="E74" s="778">
        <v>1074</v>
      </c>
      <c r="F74" s="778">
        <v>841</v>
      </c>
      <c r="G74" s="778">
        <f t="shared" si="18"/>
        <v>32</v>
      </c>
      <c r="H74" s="779">
        <v>3</v>
      </c>
      <c r="I74" s="780">
        <v>4183</v>
      </c>
      <c r="J74" s="781">
        <v>2516</v>
      </c>
      <c r="K74" s="781">
        <v>1471</v>
      </c>
      <c r="L74" s="781">
        <f t="shared" si="19"/>
        <v>160</v>
      </c>
      <c r="M74" s="782">
        <v>36</v>
      </c>
      <c r="N74" s="780">
        <v>6631</v>
      </c>
      <c r="O74" s="781">
        <v>3633</v>
      </c>
      <c r="P74" s="781">
        <v>2056</v>
      </c>
      <c r="Q74" s="783">
        <f t="shared" si="20"/>
        <v>581</v>
      </c>
      <c r="R74" s="784">
        <v>361</v>
      </c>
      <c r="S74" s="785">
        <v>12764</v>
      </c>
      <c r="T74" s="786"/>
      <c r="U74" s="872">
        <f>ROUND(H74*'Hispanic Adjustment'!P73,0)</f>
        <v>2</v>
      </c>
      <c r="V74" s="756">
        <f>ROUND(H74*'Hispanic Adjustment'!Q73,0)</f>
        <v>0</v>
      </c>
      <c r="W74" s="873">
        <f>ROUND(H74*'Hispanic Adjustment'!R73,0)</f>
        <v>0</v>
      </c>
      <c r="X74" s="872">
        <f>ROUND(M74*'Hispanic Adjustment'!S73,0)</f>
        <v>32</v>
      </c>
      <c r="Y74" s="756">
        <f>ROUND(M74*'Hispanic Adjustment'!T73,0)</f>
        <v>3</v>
      </c>
      <c r="Z74" s="873">
        <f>ROUND(M74*'Hispanic Adjustment'!U73,0)</f>
        <v>1</v>
      </c>
      <c r="AA74" s="872">
        <f>ROUND(R74*'Hispanic Adjustment'!V73,0)</f>
        <v>321</v>
      </c>
      <c r="AB74" s="756">
        <f>ROUND(R74*'Hispanic Adjustment'!W73,0)</f>
        <v>27</v>
      </c>
      <c r="AC74" s="873">
        <f>ROUND(R74*'Hispanic Adjustment'!X73,0)</f>
        <v>13</v>
      </c>
      <c r="AE74" s="907">
        <f t="shared" si="21"/>
        <v>1076</v>
      </c>
      <c r="AF74" s="908">
        <f t="shared" si="22"/>
        <v>841</v>
      </c>
      <c r="AG74" s="909">
        <f t="shared" si="23"/>
        <v>32</v>
      </c>
      <c r="AH74" s="907">
        <f t="shared" si="24"/>
        <v>2548</v>
      </c>
      <c r="AI74" s="908">
        <f t="shared" si="25"/>
        <v>1474</v>
      </c>
      <c r="AJ74" s="909">
        <f t="shared" si="26"/>
        <v>161</v>
      </c>
      <c r="AK74" s="907">
        <f t="shared" si="27"/>
        <v>3954</v>
      </c>
      <c r="AL74" s="908">
        <f t="shared" si="28"/>
        <v>2083</v>
      </c>
      <c r="AM74" s="910">
        <f t="shared" si="29"/>
        <v>594</v>
      </c>
    </row>
    <row r="75" spans="1:39">
      <c r="A75" s="775" t="s">
        <v>183</v>
      </c>
      <c r="B75" s="776" t="s">
        <v>184</v>
      </c>
      <c r="C75" s="776" t="s">
        <v>273</v>
      </c>
      <c r="D75" s="777">
        <v>212</v>
      </c>
      <c r="E75" s="778">
        <v>102</v>
      </c>
      <c r="F75" s="778">
        <v>100</v>
      </c>
      <c r="G75" s="778">
        <f t="shared" si="18"/>
        <v>9</v>
      </c>
      <c r="H75" s="779">
        <v>1</v>
      </c>
      <c r="I75" s="780">
        <v>671</v>
      </c>
      <c r="J75" s="781">
        <v>454</v>
      </c>
      <c r="K75" s="781">
        <v>150</v>
      </c>
      <c r="L75" s="781">
        <f t="shared" si="19"/>
        <v>57</v>
      </c>
      <c r="M75" s="782">
        <v>10</v>
      </c>
      <c r="N75" s="780">
        <v>1248</v>
      </c>
      <c r="O75" s="781">
        <v>783</v>
      </c>
      <c r="P75" s="781">
        <v>196</v>
      </c>
      <c r="Q75" s="783">
        <f t="shared" si="20"/>
        <v>201</v>
      </c>
      <c r="R75" s="784">
        <v>68</v>
      </c>
      <c r="S75" s="785">
        <v>2131</v>
      </c>
      <c r="T75" s="786"/>
      <c r="U75" s="872">
        <f>ROUND(H75*'Hispanic Adjustment'!P74,0)</f>
        <v>1</v>
      </c>
      <c r="V75" s="756">
        <f>ROUND(H75*'Hispanic Adjustment'!Q74,0)</f>
        <v>0</v>
      </c>
      <c r="W75" s="873">
        <f>ROUND(H75*'Hispanic Adjustment'!R74,0)</f>
        <v>0</v>
      </c>
      <c r="X75" s="872">
        <f>ROUND(M75*'Hispanic Adjustment'!S74,0)</f>
        <v>9</v>
      </c>
      <c r="Y75" s="756">
        <f>ROUND(M75*'Hispanic Adjustment'!T74,0)</f>
        <v>1</v>
      </c>
      <c r="Z75" s="873">
        <f>ROUND(M75*'Hispanic Adjustment'!U74,0)</f>
        <v>0</v>
      </c>
      <c r="AA75" s="872">
        <f>ROUND(R75*'Hispanic Adjustment'!V74,0)</f>
        <v>62</v>
      </c>
      <c r="AB75" s="756">
        <f>ROUND(R75*'Hispanic Adjustment'!W74,0)</f>
        <v>6</v>
      </c>
      <c r="AC75" s="873">
        <f>ROUND(R75*'Hispanic Adjustment'!X74,0)</f>
        <v>0</v>
      </c>
      <c r="AE75" s="907">
        <f t="shared" si="21"/>
        <v>103</v>
      </c>
      <c r="AF75" s="908">
        <f t="shared" si="22"/>
        <v>100</v>
      </c>
      <c r="AG75" s="909">
        <f t="shared" si="23"/>
        <v>9</v>
      </c>
      <c r="AH75" s="907">
        <f t="shared" si="24"/>
        <v>463</v>
      </c>
      <c r="AI75" s="908">
        <f t="shared" si="25"/>
        <v>151</v>
      </c>
      <c r="AJ75" s="909">
        <f t="shared" si="26"/>
        <v>57</v>
      </c>
      <c r="AK75" s="907">
        <f t="shared" si="27"/>
        <v>845</v>
      </c>
      <c r="AL75" s="908">
        <f t="shared" si="28"/>
        <v>202</v>
      </c>
      <c r="AM75" s="910">
        <f t="shared" si="29"/>
        <v>201</v>
      </c>
    </row>
    <row r="76" spans="1:39">
      <c r="A76" s="775" t="s">
        <v>185</v>
      </c>
      <c r="B76" s="776" t="s">
        <v>186</v>
      </c>
      <c r="C76" s="776" t="s">
        <v>273</v>
      </c>
      <c r="D76" s="777">
        <v>511</v>
      </c>
      <c r="E76" s="778">
        <v>162</v>
      </c>
      <c r="F76" s="778">
        <v>339</v>
      </c>
      <c r="G76" s="778">
        <f t="shared" si="18"/>
        <v>8</v>
      </c>
      <c r="H76" s="779">
        <v>2</v>
      </c>
      <c r="I76" s="780">
        <v>1639</v>
      </c>
      <c r="J76" s="781">
        <v>594</v>
      </c>
      <c r="K76" s="781">
        <v>1003</v>
      </c>
      <c r="L76" s="781">
        <f t="shared" si="19"/>
        <v>25</v>
      </c>
      <c r="M76" s="782">
        <v>17</v>
      </c>
      <c r="N76" s="780">
        <v>2488</v>
      </c>
      <c r="O76" s="781">
        <v>750</v>
      </c>
      <c r="P76" s="781">
        <v>1477</v>
      </c>
      <c r="Q76" s="783">
        <f t="shared" si="20"/>
        <v>208</v>
      </c>
      <c r="R76" s="784">
        <v>53</v>
      </c>
      <c r="S76" s="785">
        <v>4638</v>
      </c>
      <c r="T76" s="786"/>
      <c r="U76" s="872">
        <f>ROUND(H76*'Hispanic Adjustment'!P75,0)</f>
        <v>2</v>
      </c>
      <c r="V76" s="756">
        <f>ROUND(H76*'Hispanic Adjustment'!Q75,0)</f>
        <v>0</v>
      </c>
      <c r="W76" s="873">
        <f>ROUND(H76*'Hispanic Adjustment'!R75,0)</f>
        <v>0</v>
      </c>
      <c r="X76" s="872">
        <f>ROUND(M76*'Hispanic Adjustment'!S75,0)</f>
        <v>13</v>
      </c>
      <c r="Y76" s="756">
        <f>ROUND(M76*'Hispanic Adjustment'!T75,0)</f>
        <v>4</v>
      </c>
      <c r="Z76" s="873">
        <f>ROUND(M76*'Hispanic Adjustment'!U75,0)</f>
        <v>1</v>
      </c>
      <c r="AA76" s="872">
        <f>ROUND(R76*'Hispanic Adjustment'!V75,0)</f>
        <v>35</v>
      </c>
      <c r="AB76" s="756">
        <f>ROUND(R76*'Hispanic Adjustment'!W75,0)</f>
        <v>17</v>
      </c>
      <c r="AC76" s="873">
        <f>ROUND(R76*'Hispanic Adjustment'!X75,0)</f>
        <v>2</v>
      </c>
      <c r="AE76" s="907">
        <f t="shared" si="21"/>
        <v>164</v>
      </c>
      <c r="AF76" s="908">
        <f t="shared" si="22"/>
        <v>339</v>
      </c>
      <c r="AG76" s="909">
        <f t="shared" si="23"/>
        <v>8</v>
      </c>
      <c r="AH76" s="907">
        <f t="shared" si="24"/>
        <v>607</v>
      </c>
      <c r="AI76" s="908">
        <f t="shared" si="25"/>
        <v>1007</v>
      </c>
      <c r="AJ76" s="909">
        <f t="shared" si="26"/>
        <v>26</v>
      </c>
      <c r="AK76" s="907">
        <f t="shared" si="27"/>
        <v>785</v>
      </c>
      <c r="AL76" s="908">
        <f t="shared" si="28"/>
        <v>1494</v>
      </c>
      <c r="AM76" s="910">
        <f t="shared" si="29"/>
        <v>210</v>
      </c>
    </row>
    <row r="77" spans="1:39">
      <c r="A77" s="775" t="s">
        <v>187</v>
      </c>
      <c r="B77" s="776" t="s">
        <v>188</v>
      </c>
      <c r="C77" s="776" t="s">
        <v>271</v>
      </c>
      <c r="D77" s="777">
        <v>284</v>
      </c>
      <c r="E77" s="778">
        <v>139</v>
      </c>
      <c r="F77" s="778">
        <v>118</v>
      </c>
      <c r="G77" s="778">
        <f t="shared" si="18"/>
        <v>22</v>
      </c>
      <c r="H77" s="779">
        <v>5</v>
      </c>
      <c r="I77" s="780">
        <v>1087</v>
      </c>
      <c r="J77" s="781">
        <v>611</v>
      </c>
      <c r="K77" s="781">
        <v>411</v>
      </c>
      <c r="L77" s="781">
        <f t="shared" si="19"/>
        <v>33</v>
      </c>
      <c r="M77" s="782">
        <v>32</v>
      </c>
      <c r="N77" s="780">
        <v>2139</v>
      </c>
      <c r="O77" s="781">
        <v>970</v>
      </c>
      <c r="P77" s="781">
        <v>819</v>
      </c>
      <c r="Q77" s="783">
        <f t="shared" si="20"/>
        <v>216</v>
      </c>
      <c r="R77" s="784">
        <v>134</v>
      </c>
      <c r="S77" s="785">
        <v>3510</v>
      </c>
      <c r="T77" s="786"/>
      <c r="U77" s="872">
        <f>ROUND(H77*'Hispanic Adjustment'!P76,0)</f>
        <v>4</v>
      </c>
      <c r="V77" s="756">
        <f>ROUND(H77*'Hispanic Adjustment'!Q76,0)</f>
        <v>1</v>
      </c>
      <c r="W77" s="873">
        <f>ROUND(H77*'Hispanic Adjustment'!R76,0)</f>
        <v>0</v>
      </c>
      <c r="X77" s="872">
        <f>ROUND(M77*'Hispanic Adjustment'!S76,0)</f>
        <v>24</v>
      </c>
      <c r="Y77" s="756">
        <f>ROUND(M77*'Hispanic Adjustment'!T76,0)</f>
        <v>7</v>
      </c>
      <c r="Z77" s="873">
        <f>ROUND(M77*'Hispanic Adjustment'!U76,0)</f>
        <v>1</v>
      </c>
      <c r="AA77" s="872">
        <f>ROUND(R77*'Hispanic Adjustment'!V76,0)</f>
        <v>95</v>
      </c>
      <c r="AB77" s="756">
        <f>ROUND(R77*'Hispanic Adjustment'!W76,0)</f>
        <v>30</v>
      </c>
      <c r="AC77" s="873">
        <f>ROUND(R77*'Hispanic Adjustment'!X76,0)</f>
        <v>9</v>
      </c>
      <c r="AE77" s="907">
        <f t="shared" si="21"/>
        <v>143</v>
      </c>
      <c r="AF77" s="908">
        <f t="shared" si="22"/>
        <v>119</v>
      </c>
      <c r="AG77" s="909">
        <f t="shared" si="23"/>
        <v>22</v>
      </c>
      <c r="AH77" s="907">
        <f t="shared" si="24"/>
        <v>635</v>
      </c>
      <c r="AI77" s="908">
        <f t="shared" si="25"/>
        <v>418</v>
      </c>
      <c r="AJ77" s="909">
        <f t="shared" si="26"/>
        <v>34</v>
      </c>
      <c r="AK77" s="907">
        <f t="shared" si="27"/>
        <v>1065</v>
      </c>
      <c r="AL77" s="908">
        <f t="shared" si="28"/>
        <v>849</v>
      </c>
      <c r="AM77" s="910">
        <f t="shared" si="29"/>
        <v>225</v>
      </c>
    </row>
    <row r="78" spans="1:39">
      <c r="A78" s="775" t="s">
        <v>189</v>
      </c>
      <c r="B78" s="776" t="s">
        <v>190</v>
      </c>
      <c r="C78" s="776" t="s">
        <v>274</v>
      </c>
      <c r="D78" s="777">
        <v>2788</v>
      </c>
      <c r="E78" s="778">
        <v>1184</v>
      </c>
      <c r="F78" s="778">
        <v>590</v>
      </c>
      <c r="G78" s="778">
        <f t="shared" si="18"/>
        <v>661</v>
      </c>
      <c r="H78" s="779">
        <v>353</v>
      </c>
      <c r="I78" s="780">
        <v>9260</v>
      </c>
      <c r="J78" s="781">
        <v>3353</v>
      </c>
      <c r="K78" s="781">
        <v>3575</v>
      </c>
      <c r="L78" s="781">
        <f t="shared" si="19"/>
        <v>1103</v>
      </c>
      <c r="M78" s="782">
        <v>1229</v>
      </c>
      <c r="N78" s="780">
        <v>34380</v>
      </c>
      <c r="O78" s="781">
        <v>5157</v>
      </c>
      <c r="P78" s="781">
        <v>8250</v>
      </c>
      <c r="Q78" s="783">
        <f t="shared" si="20"/>
        <v>5843</v>
      </c>
      <c r="R78" s="784">
        <v>15130</v>
      </c>
      <c r="S78" s="785">
        <v>46428</v>
      </c>
      <c r="T78" s="786"/>
      <c r="U78" s="872">
        <f>ROUND(H78*'Hispanic Adjustment'!P77,0)</f>
        <v>314</v>
      </c>
      <c r="V78" s="756">
        <f>ROUND(H78*'Hispanic Adjustment'!Q77,0)</f>
        <v>20</v>
      </c>
      <c r="W78" s="873">
        <f>ROUND(H78*'Hispanic Adjustment'!R77,0)</f>
        <v>19</v>
      </c>
      <c r="X78" s="872">
        <f>ROUND(M78*'Hispanic Adjustment'!S77,0)</f>
        <v>1072</v>
      </c>
      <c r="Y78" s="756">
        <f>ROUND(M78*'Hispanic Adjustment'!T77,0)</f>
        <v>85</v>
      </c>
      <c r="Z78" s="873">
        <f>ROUND(M78*'Hispanic Adjustment'!U77,0)</f>
        <v>72</v>
      </c>
      <c r="AA78" s="872">
        <f>ROUND(R78*'Hispanic Adjustment'!V77,0)</f>
        <v>12737</v>
      </c>
      <c r="AB78" s="756">
        <f>ROUND(R78*'Hispanic Adjustment'!W77,0)</f>
        <v>1393</v>
      </c>
      <c r="AC78" s="873">
        <f>ROUND(R78*'Hispanic Adjustment'!X77,0)</f>
        <v>1000</v>
      </c>
      <c r="AE78" s="907">
        <f t="shared" si="21"/>
        <v>1498</v>
      </c>
      <c r="AF78" s="908">
        <f t="shared" si="22"/>
        <v>610</v>
      </c>
      <c r="AG78" s="909">
        <f t="shared" si="23"/>
        <v>680</v>
      </c>
      <c r="AH78" s="907">
        <f t="shared" si="24"/>
        <v>4425</v>
      </c>
      <c r="AI78" s="908">
        <f t="shared" si="25"/>
        <v>3660</v>
      </c>
      <c r="AJ78" s="909">
        <f t="shared" si="26"/>
        <v>1175</v>
      </c>
      <c r="AK78" s="907">
        <f t="shared" si="27"/>
        <v>17894</v>
      </c>
      <c r="AL78" s="908">
        <f t="shared" si="28"/>
        <v>9643</v>
      </c>
      <c r="AM78" s="910">
        <f t="shared" si="29"/>
        <v>6843</v>
      </c>
    </row>
    <row r="79" spans="1:39">
      <c r="A79" s="775" t="s">
        <v>191</v>
      </c>
      <c r="B79" s="776" t="s">
        <v>192</v>
      </c>
      <c r="C79" s="776" t="s">
        <v>275</v>
      </c>
      <c r="D79" s="777">
        <v>920</v>
      </c>
      <c r="E79" s="778">
        <v>838</v>
      </c>
      <c r="F79" s="778">
        <v>63</v>
      </c>
      <c r="G79" s="778">
        <f t="shared" si="18"/>
        <v>17</v>
      </c>
      <c r="H79" s="779">
        <v>2</v>
      </c>
      <c r="I79" s="780">
        <v>2565</v>
      </c>
      <c r="J79" s="781">
        <v>2333</v>
      </c>
      <c r="K79" s="781">
        <v>198</v>
      </c>
      <c r="L79" s="781">
        <f t="shared" si="19"/>
        <v>15</v>
      </c>
      <c r="M79" s="782">
        <v>19</v>
      </c>
      <c r="N79" s="780">
        <v>3561</v>
      </c>
      <c r="O79" s="781">
        <v>2793</v>
      </c>
      <c r="P79" s="781">
        <v>364</v>
      </c>
      <c r="Q79" s="783">
        <f t="shared" si="20"/>
        <v>260</v>
      </c>
      <c r="R79" s="784">
        <v>144</v>
      </c>
      <c r="S79" s="785">
        <v>7046</v>
      </c>
      <c r="T79" s="786"/>
      <c r="U79" s="872">
        <f>ROUND(H79*'Hispanic Adjustment'!P78,0)</f>
        <v>2</v>
      </c>
      <c r="V79" s="756">
        <f>ROUND(H79*'Hispanic Adjustment'!Q78,0)</f>
        <v>0</v>
      </c>
      <c r="W79" s="873">
        <f>ROUND(H79*'Hispanic Adjustment'!R78,0)</f>
        <v>0</v>
      </c>
      <c r="X79" s="872">
        <f>ROUND(M79*'Hispanic Adjustment'!S78,0)</f>
        <v>18</v>
      </c>
      <c r="Y79" s="756">
        <f>ROUND(M79*'Hispanic Adjustment'!T78,0)</f>
        <v>1</v>
      </c>
      <c r="Z79" s="873">
        <f>ROUND(M79*'Hispanic Adjustment'!U78,0)</f>
        <v>1</v>
      </c>
      <c r="AA79" s="872">
        <f>ROUND(R79*'Hispanic Adjustment'!V78,0)</f>
        <v>132</v>
      </c>
      <c r="AB79" s="756">
        <f>ROUND(R79*'Hispanic Adjustment'!W78,0)</f>
        <v>11</v>
      </c>
      <c r="AC79" s="873">
        <f>ROUND(R79*'Hispanic Adjustment'!X78,0)</f>
        <v>2</v>
      </c>
      <c r="AE79" s="907">
        <f t="shared" si="21"/>
        <v>840</v>
      </c>
      <c r="AF79" s="908">
        <f t="shared" si="22"/>
        <v>63</v>
      </c>
      <c r="AG79" s="909">
        <f t="shared" si="23"/>
        <v>17</v>
      </c>
      <c r="AH79" s="907">
        <f t="shared" si="24"/>
        <v>2351</v>
      </c>
      <c r="AI79" s="908">
        <f t="shared" si="25"/>
        <v>199</v>
      </c>
      <c r="AJ79" s="909">
        <f t="shared" si="26"/>
        <v>16</v>
      </c>
      <c r="AK79" s="907">
        <f t="shared" si="27"/>
        <v>2925</v>
      </c>
      <c r="AL79" s="908">
        <f t="shared" si="28"/>
        <v>375</v>
      </c>
      <c r="AM79" s="910">
        <f t="shared" si="29"/>
        <v>262</v>
      </c>
    </row>
    <row r="80" spans="1:39">
      <c r="A80" s="775" t="s">
        <v>195</v>
      </c>
      <c r="B80" s="776" t="s">
        <v>196</v>
      </c>
      <c r="C80" s="776" t="s">
        <v>274</v>
      </c>
      <c r="D80" s="777">
        <v>124</v>
      </c>
      <c r="E80" s="778">
        <v>108</v>
      </c>
      <c r="F80" s="778">
        <v>14</v>
      </c>
      <c r="G80" s="778">
        <f t="shared" si="18"/>
        <v>2</v>
      </c>
      <c r="H80" s="779">
        <v>0</v>
      </c>
      <c r="I80" s="780">
        <v>225</v>
      </c>
      <c r="J80" s="781">
        <v>198</v>
      </c>
      <c r="K80" s="781">
        <v>19</v>
      </c>
      <c r="L80" s="781">
        <f t="shared" si="19"/>
        <v>5</v>
      </c>
      <c r="M80" s="782">
        <v>3</v>
      </c>
      <c r="N80" s="780">
        <v>535</v>
      </c>
      <c r="O80" s="781">
        <v>420</v>
      </c>
      <c r="P80" s="781">
        <v>48</v>
      </c>
      <c r="Q80" s="783">
        <f t="shared" si="20"/>
        <v>16</v>
      </c>
      <c r="R80" s="784">
        <v>51</v>
      </c>
      <c r="S80" s="785">
        <v>884</v>
      </c>
      <c r="T80" s="786"/>
      <c r="U80" s="872">
        <f>ROUND(H80*'Hispanic Adjustment'!P79,0)</f>
        <v>0</v>
      </c>
      <c r="V80" s="756">
        <f>ROUND(H80*'Hispanic Adjustment'!Q79,0)</f>
        <v>0</v>
      </c>
      <c r="W80" s="873">
        <f>ROUND(H80*'Hispanic Adjustment'!R79,0)</f>
        <v>0</v>
      </c>
      <c r="X80" s="872">
        <f>ROUND(M80*'Hispanic Adjustment'!S79,0)</f>
        <v>3</v>
      </c>
      <c r="Y80" s="756">
        <f>ROUND(M80*'Hispanic Adjustment'!T79,0)</f>
        <v>0</v>
      </c>
      <c r="Z80" s="873">
        <f>ROUND(M80*'Hispanic Adjustment'!U79,0)</f>
        <v>0</v>
      </c>
      <c r="AA80" s="872">
        <f>ROUND(R80*'Hispanic Adjustment'!V79,0)</f>
        <v>48</v>
      </c>
      <c r="AB80" s="756">
        <f>ROUND(R80*'Hispanic Adjustment'!W79,0)</f>
        <v>2</v>
      </c>
      <c r="AC80" s="873">
        <f>ROUND(R80*'Hispanic Adjustment'!X79,0)</f>
        <v>1</v>
      </c>
      <c r="AE80" s="907">
        <f t="shared" si="21"/>
        <v>108</v>
      </c>
      <c r="AF80" s="908">
        <f t="shared" si="22"/>
        <v>14</v>
      </c>
      <c r="AG80" s="909">
        <f t="shared" si="23"/>
        <v>2</v>
      </c>
      <c r="AH80" s="907">
        <f t="shared" si="24"/>
        <v>201</v>
      </c>
      <c r="AI80" s="908">
        <f t="shared" si="25"/>
        <v>19</v>
      </c>
      <c r="AJ80" s="909">
        <f t="shared" si="26"/>
        <v>5</v>
      </c>
      <c r="AK80" s="907">
        <f t="shared" si="27"/>
        <v>468</v>
      </c>
      <c r="AL80" s="908">
        <f t="shared" si="28"/>
        <v>50</v>
      </c>
      <c r="AM80" s="910">
        <f t="shared" si="29"/>
        <v>17</v>
      </c>
    </row>
    <row r="81" spans="1:39">
      <c r="A81" s="775" t="s">
        <v>199</v>
      </c>
      <c r="B81" s="776" t="s">
        <v>279</v>
      </c>
      <c r="C81" s="776" t="s">
        <v>273</v>
      </c>
      <c r="D81" s="777">
        <v>203</v>
      </c>
      <c r="E81" s="778">
        <v>110</v>
      </c>
      <c r="F81" s="778">
        <v>88</v>
      </c>
      <c r="G81" s="778">
        <f t="shared" si="18"/>
        <v>4</v>
      </c>
      <c r="H81" s="779">
        <v>1</v>
      </c>
      <c r="I81" s="780">
        <v>481</v>
      </c>
      <c r="J81" s="781">
        <v>228</v>
      </c>
      <c r="K81" s="781">
        <v>234</v>
      </c>
      <c r="L81" s="781">
        <f t="shared" si="19"/>
        <v>7</v>
      </c>
      <c r="M81" s="782">
        <v>12</v>
      </c>
      <c r="N81" s="780">
        <v>952</v>
      </c>
      <c r="O81" s="781">
        <v>343</v>
      </c>
      <c r="P81" s="781">
        <v>419</v>
      </c>
      <c r="Q81" s="783">
        <f t="shared" si="20"/>
        <v>56</v>
      </c>
      <c r="R81" s="784">
        <v>134</v>
      </c>
      <c r="S81" s="785">
        <v>1636</v>
      </c>
      <c r="T81" s="786"/>
      <c r="U81" s="872">
        <f>ROUND(H81*'Hispanic Adjustment'!P80,0)</f>
        <v>1</v>
      </c>
      <c r="V81" s="756">
        <f>ROUND(H81*'Hispanic Adjustment'!Q80,0)</f>
        <v>0</v>
      </c>
      <c r="W81" s="873">
        <f>ROUND(H81*'Hispanic Adjustment'!R80,0)</f>
        <v>0</v>
      </c>
      <c r="X81" s="872">
        <f>ROUND(M81*'Hispanic Adjustment'!S80,0)</f>
        <v>11</v>
      </c>
      <c r="Y81" s="756">
        <f>ROUND(M81*'Hispanic Adjustment'!T80,0)</f>
        <v>1</v>
      </c>
      <c r="Z81" s="873">
        <f>ROUND(M81*'Hispanic Adjustment'!U80,0)</f>
        <v>0</v>
      </c>
      <c r="AA81" s="872">
        <f>ROUND(R81*'Hispanic Adjustment'!V80,0)</f>
        <v>124</v>
      </c>
      <c r="AB81" s="756">
        <f>ROUND(R81*'Hispanic Adjustment'!W80,0)</f>
        <v>8</v>
      </c>
      <c r="AC81" s="873">
        <f>ROUND(R81*'Hispanic Adjustment'!X80,0)</f>
        <v>3</v>
      </c>
      <c r="AE81" s="907">
        <f t="shared" si="21"/>
        <v>111</v>
      </c>
      <c r="AF81" s="908">
        <f t="shared" si="22"/>
        <v>88</v>
      </c>
      <c r="AG81" s="909">
        <f t="shared" si="23"/>
        <v>4</v>
      </c>
      <c r="AH81" s="907">
        <f t="shared" si="24"/>
        <v>239</v>
      </c>
      <c r="AI81" s="908">
        <f t="shared" si="25"/>
        <v>235</v>
      </c>
      <c r="AJ81" s="909">
        <f t="shared" si="26"/>
        <v>7</v>
      </c>
      <c r="AK81" s="907">
        <f t="shared" si="27"/>
        <v>467</v>
      </c>
      <c r="AL81" s="908">
        <f t="shared" si="28"/>
        <v>427</v>
      </c>
      <c r="AM81" s="910">
        <f t="shared" si="29"/>
        <v>59</v>
      </c>
    </row>
    <row r="82" spans="1:39">
      <c r="A82" s="775" t="s">
        <v>203</v>
      </c>
      <c r="B82" s="776" t="s">
        <v>311</v>
      </c>
      <c r="C82" s="776" t="s">
        <v>272</v>
      </c>
      <c r="D82" s="777">
        <v>1350</v>
      </c>
      <c r="E82" s="778">
        <v>1142</v>
      </c>
      <c r="F82" s="778">
        <v>92</v>
      </c>
      <c r="G82" s="778">
        <f t="shared" si="18"/>
        <v>111</v>
      </c>
      <c r="H82" s="779">
        <v>5</v>
      </c>
      <c r="I82" s="780">
        <v>3993</v>
      </c>
      <c r="J82" s="781">
        <v>3159</v>
      </c>
      <c r="K82" s="781">
        <v>540</v>
      </c>
      <c r="L82" s="781">
        <f t="shared" si="19"/>
        <v>233</v>
      </c>
      <c r="M82" s="782">
        <v>61</v>
      </c>
      <c r="N82" s="780">
        <v>7288</v>
      </c>
      <c r="O82" s="781">
        <v>4400</v>
      </c>
      <c r="P82" s="781">
        <v>1129</v>
      </c>
      <c r="Q82" s="783">
        <f t="shared" si="20"/>
        <v>1357</v>
      </c>
      <c r="R82" s="784">
        <v>402</v>
      </c>
      <c r="S82" s="785">
        <v>12632</v>
      </c>
      <c r="T82" s="786"/>
      <c r="U82" s="872">
        <f>ROUND(H82*'Hispanic Adjustment'!P81,0)</f>
        <v>5</v>
      </c>
      <c r="V82" s="756">
        <f>ROUND(H82*'Hispanic Adjustment'!Q81,0)</f>
        <v>0</v>
      </c>
      <c r="W82" s="873">
        <f>ROUND(H82*'Hispanic Adjustment'!R81,0)</f>
        <v>0</v>
      </c>
      <c r="X82" s="872">
        <f>ROUND(M82*'Hispanic Adjustment'!S81,0)</f>
        <v>55</v>
      </c>
      <c r="Y82" s="756">
        <f>ROUND(M82*'Hispanic Adjustment'!T81,0)</f>
        <v>4</v>
      </c>
      <c r="Z82" s="873">
        <f>ROUND(M82*'Hispanic Adjustment'!U81,0)</f>
        <v>3</v>
      </c>
      <c r="AA82" s="872">
        <f>ROUND(R82*'Hispanic Adjustment'!V81,0)</f>
        <v>355</v>
      </c>
      <c r="AB82" s="756">
        <f>ROUND(R82*'Hispanic Adjustment'!W81,0)</f>
        <v>35</v>
      </c>
      <c r="AC82" s="873">
        <f>ROUND(R82*'Hispanic Adjustment'!X81,0)</f>
        <v>16</v>
      </c>
      <c r="AE82" s="907">
        <f t="shared" si="21"/>
        <v>1147</v>
      </c>
      <c r="AF82" s="908">
        <f t="shared" si="22"/>
        <v>92</v>
      </c>
      <c r="AG82" s="909">
        <f t="shared" si="23"/>
        <v>111</v>
      </c>
      <c r="AH82" s="907">
        <f t="shared" si="24"/>
        <v>3214</v>
      </c>
      <c r="AI82" s="908">
        <f t="shared" si="25"/>
        <v>544</v>
      </c>
      <c r="AJ82" s="909">
        <f t="shared" si="26"/>
        <v>236</v>
      </c>
      <c r="AK82" s="907">
        <f t="shared" si="27"/>
        <v>4755</v>
      </c>
      <c r="AL82" s="908">
        <f t="shared" si="28"/>
        <v>1164</v>
      </c>
      <c r="AM82" s="910">
        <f t="shared" si="29"/>
        <v>1373</v>
      </c>
    </row>
    <row r="83" spans="1:39">
      <c r="A83" s="775" t="s">
        <v>205</v>
      </c>
      <c r="B83" s="776" t="s">
        <v>303</v>
      </c>
      <c r="C83" s="776" t="s">
        <v>272</v>
      </c>
      <c r="D83" s="777">
        <v>783</v>
      </c>
      <c r="E83" s="778">
        <v>703</v>
      </c>
      <c r="F83" s="778">
        <v>59</v>
      </c>
      <c r="G83" s="778">
        <f t="shared" si="18"/>
        <v>19</v>
      </c>
      <c r="H83" s="779">
        <v>2</v>
      </c>
      <c r="I83" s="780">
        <v>1733</v>
      </c>
      <c r="J83" s="781">
        <v>1523</v>
      </c>
      <c r="K83" s="781">
        <v>146</v>
      </c>
      <c r="L83" s="781">
        <f t="shared" si="19"/>
        <v>57</v>
      </c>
      <c r="M83" s="782">
        <v>7</v>
      </c>
      <c r="N83" s="780">
        <v>2892</v>
      </c>
      <c r="O83" s="781">
        <v>2150</v>
      </c>
      <c r="P83" s="781">
        <v>227</v>
      </c>
      <c r="Q83" s="783">
        <f t="shared" si="20"/>
        <v>371</v>
      </c>
      <c r="R83" s="784">
        <v>144</v>
      </c>
      <c r="S83" s="785">
        <v>5408</v>
      </c>
      <c r="T83" s="786"/>
      <c r="U83" s="872">
        <f>ROUND(H83*'Hispanic Adjustment'!P82,0)</f>
        <v>2</v>
      </c>
      <c r="V83" s="756">
        <f>ROUND(H83*'Hispanic Adjustment'!Q82,0)</f>
        <v>0</v>
      </c>
      <c r="W83" s="873">
        <f>ROUND(H83*'Hispanic Adjustment'!R82,0)</f>
        <v>0</v>
      </c>
      <c r="X83" s="872">
        <f>ROUND(M83*'Hispanic Adjustment'!S82,0)</f>
        <v>6</v>
      </c>
      <c r="Y83" s="756">
        <f>ROUND(M83*'Hispanic Adjustment'!T82,0)</f>
        <v>0</v>
      </c>
      <c r="Z83" s="873">
        <f>ROUND(M83*'Hispanic Adjustment'!U82,0)</f>
        <v>0</v>
      </c>
      <c r="AA83" s="872">
        <f>ROUND(R83*'Hispanic Adjustment'!V82,0)</f>
        <v>129</v>
      </c>
      <c r="AB83" s="756">
        <f>ROUND(R83*'Hispanic Adjustment'!W82,0)</f>
        <v>10</v>
      </c>
      <c r="AC83" s="873">
        <f>ROUND(R83*'Hispanic Adjustment'!X82,0)</f>
        <v>6</v>
      </c>
      <c r="AE83" s="907">
        <f t="shared" si="21"/>
        <v>705</v>
      </c>
      <c r="AF83" s="908">
        <f t="shared" si="22"/>
        <v>59</v>
      </c>
      <c r="AG83" s="909">
        <f t="shared" si="23"/>
        <v>19</v>
      </c>
      <c r="AH83" s="907">
        <f t="shared" si="24"/>
        <v>1529</v>
      </c>
      <c r="AI83" s="908">
        <f t="shared" si="25"/>
        <v>146</v>
      </c>
      <c r="AJ83" s="909">
        <f t="shared" si="26"/>
        <v>57</v>
      </c>
      <c r="AK83" s="907">
        <f t="shared" si="27"/>
        <v>2279</v>
      </c>
      <c r="AL83" s="908">
        <f t="shared" si="28"/>
        <v>237</v>
      </c>
      <c r="AM83" s="910">
        <f t="shared" si="29"/>
        <v>377</v>
      </c>
    </row>
    <row r="84" spans="1:39">
      <c r="A84" s="775" t="s">
        <v>207</v>
      </c>
      <c r="B84" s="776" t="s">
        <v>304</v>
      </c>
      <c r="C84" s="776" t="s">
        <v>274</v>
      </c>
      <c r="D84" s="777">
        <v>1514</v>
      </c>
      <c r="E84" s="778">
        <v>1372</v>
      </c>
      <c r="F84" s="778">
        <v>55</v>
      </c>
      <c r="G84" s="778">
        <f t="shared" si="18"/>
        <v>63</v>
      </c>
      <c r="H84" s="779">
        <v>24</v>
      </c>
      <c r="I84" s="780">
        <v>4404</v>
      </c>
      <c r="J84" s="781">
        <v>3348</v>
      </c>
      <c r="K84" s="781">
        <v>384</v>
      </c>
      <c r="L84" s="781">
        <f t="shared" si="19"/>
        <v>299</v>
      </c>
      <c r="M84" s="782">
        <v>373</v>
      </c>
      <c r="N84" s="780">
        <v>10268</v>
      </c>
      <c r="O84" s="781">
        <v>5058</v>
      </c>
      <c r="P84" s="781">
        <v>706</v>
      </c>
      <c r="Q84" s="783">
        <f t="shared" si="20"/>
        <v>1431</v>
      </c>
      <c r="R84" s="784">
        <v>3073</v>
      </c>
      <c r="S84" s="785">
        <v>16186</v>
      </c>
      <c r="T84" s="786"/>
      <c r="U84" s="872">
        <f>ROUND(H84*'Hispanic Adjustment'!P83,0)</f>
        <v>22</v>
      </c>
      <c r="V84" s="756">
        <f>ROUND(H84*'Hispanic Adjustment'!Q83,0)</f>
        <v>1</v>
      </c>
      <c r="W84" s="873">
        <f>ROUND(H84*'Hispanic Adjustment'!R83,0)</f>
        <v>2</v>
      </c>
      <c r="X84" s="872">
        <f>ROUND(M84*'Hispanic Adjustment'!S83,0)</f>
        <v>325</v>
      </c>
      <c r="Y84" s="756">
        <f>ROUND(M84*'Hispanic Adjustment'!T83,0)</f>
        <v>24</v>
      </c>
      <c r="Z84" s="873">
        <f>ROUND(M84*'Hispanic Adjustment'!U83,0)</f>
        <v>38</v>
      </c>
      <c r="AA84" s="872">
        <f>ROUND(R84*'Hispanic Adjustment'!V83,0)</f>
        <v>2685</v>
      </c>
      <c r="AB84" s="756">
        <f>ROUND(R84*'Hispanic Adjustment'!W83,0)</f>
        <v>198</v>
      </c>
      <c r="AC84" s="873">
        <f>ROUND(R84*'Hispanic Adjustment'!X83,0)</f>
        <v>270</v>
      </c>
      <c r="AE84" s="907">
        <f t="shared" si="21"/>
        <v>1394</v>
      </c>
      <c r="AF84" s="908">
        <f t="shared" si="22"/>
        <v>56</v>
      </c>
      <c r="AG84" s="909">
        <f t="shared" si="23"/>
        <v>65</v>
      </c>
      <c r="AH84" s="907">
        <f t="shared" si="24"/>
        <v>3673</v>
      </c>
      <c r="AI84" s="908">
        <f t="shared" si="25"/>
        <v>408</v>
      </c>
      <c r="AJ84" s="909">
        <f t="shared" si="26"/>
        <v>337</v>
      </c>
      <c r="AK84" s="907">
        <f t="shared" si="27"/>
        <v>7743</v>
      </c>
      <c r="AL84" s="908">
        <f t="shared" si="28"/>
        <v>904</v>
      </c>
      <c r="AM84" s="910">
        <f t="shared" si="29"/>
        <v>1701</v>
      </c>
    </row>
    <row r="85" spans="1:39">
      <c r="A85" s="775" t="s">
        <v>209</v>
      </c>
      <c r="B85" s="776" t="s">
        <v>210</v>
      </c>
      <c r="C85" s="776" t="s">
        <v>275</v>
      </c>
      <c r="D85" s="777">
        <v>856</v>
      </c>
      <c r="E85" s="778">
        <v>837</v>
      </c>
      <c r="F85" s="778">
        <v>8</v>
      </c>
      <c r="G85" s="778">
        <f t="shared" si="18"/>
        <v>11</v>
      </c>
      <c r="H85" s="779">
        <v>0</v>
      </c>
      <c r="I85" s="780">
        <v>2971</v>
      </c>
      <c r="J85" s="781">
        <v>2862</v>
      </c>
      <c r="K85" s="781">
        <v>28</v>
      </c>
      <c r="L85" s="781">
        <f t="shared" si="19"/>
        <v>59</v>
      </c>
      <c r="M85" s="782">
        <v>22</v>
      </c>
      <c r="N85" s="780">
        <v>3547</v>
      </c>
      <c r="O85" s="781">
        <v>3057</v>
      </c>
      <c r="P85" s="781">
        <v>36</v>
      </c>
      <c r="Q85" s="783">
        <f t="shared" si="20"/>
        <v>287</v>
      </c>
      <c r="R85" s="784">
        <v>167</v>
      </c>
      <c r="S85" s="785">
        <v>7374</v>
      </c>
      <c r="T85" s="786"/>
      <c r="U85" s="872">
        <f>ROUND(H85*'Hispanic Adjustment'!P84,0)</f>
        <v>0</v>
      </c>
      <c r="V85" s="756">
        <f>ROUND(H85*'Hispanic Adjustment'!Q84,0)</f>
        <v>0</v>
      </c>
      <c r="W85" s="873">
        <f>ROUND(H85*'Hispanic Adjustment'!R84,0)</f>
        <v>0</v>
      </c>
      <c r="X85" s="872">
        <f>ROUND(M85*'Hispanic Adjustment'!S84,0)</f>
        <v>20</v>
      </c>
      <c r="Y85" s="756">
        <f>ROUND(M85*'Hispanic Adjustment'!T84,0)</f>
        <v>1</v>
      </c>
      <c r="Z85" s="873">
        <f>ROUND(M85*'Hispanic Adjustment'!U84,0)</f>
        <v>1</v>
      </c>
      <c r="AA85" s="872">
        <f>ROUND(R85*'Hispanic Adjustment'!V84,0)</f>
        <v>147</v>
      </c>
      <c r="AB85" s="756">
        <f>ROUND(R85*'Hispanic Adjustment'!W84,0)</f>
        <v>4</v>
      </c>
      <c r="AC85" s="873">
        <f>ROUND(R85*'Hispanic Adjustment'!X84,0)</f>
        <v>16</v>
      </c>
      <c r="AE85" s="907">
        <f t="shared" si="21"/>
        <v>837</v>
      </c>
      <c r="AF85" s="908">
        <f t="shared" si="22"/>
        <v>8</v>
      </c>
      <c r="AG85" s="909">
        <f t="shared" si="23"/>
        <v>11</v>
      </c>
      <c r="AH85" s="907">
        <f t="shared" si="24"/>
        <v>2882</v>
      </c>
      <c r="AI85" s="908">
        <f t="shared" si="25"/>
        <v>29</v>
      </c>
      <c r="AJ85" s="909">
        <f t="shared" si="26"/>
        <v>60</v>
      </c>
      <c r="AK85" s="907">
        <f t="shared" si="27"/>
        <v>3204</v>
      </c>
      <c r="AL85" s="908">
        <f t="shared" si="28"/>
        <v>40</v>
      </c>
      <c r="AM85" s="910">
        <f t="shared" si="29"/>
        <v>303</v>
      </c>
    </row>
    <row r="86" spans="1:39">
      <c r="A86" s="775" t="s">
        <v>211</v>
      </c>
      <c r="B86" s="776" t="s">
        <v>212</v>
      </c>
      <c r="C86" s="776" t="s">
        <v>275</v>
      </c>
      <c r="D86" s="777">
        <v>928</v>
      </c>
      <c r="E86" s="778">
        <v>914</v>
      </c>
      <c r="F86" s="778">
        <v>1</v>
      </c>
      <c r="G86" s="778">
        <f t="shared" si="18"/>
        <v>13</v>
      </c>
      <c r="H86" s="779">
        <v>0</v>
      </c>
      <c r="I86" s="780">
        <v>2178</v>
      </c>
      <c r="J86" s="781">
        <v>2110</v>
      </c>
      <c r="K86" s="781">
        <v>22</v>
      </c>
      <c r="L86" s="781">
        <f t="shared" si="19"/>
        <v>39</v>
      </c>
      <c r="M86" s="782">
        <v>7</v>
      </c>
      <c r="N86" s="780">
        <v>2472</v>
      </c>
      <c r="O86" s="781">
        <v>2208</v>
      </c>
      <c r="P86" s="781">
        <v>37</v>
      </c>
      <c r="Q86" s="783">
        <f t="shared" si="20"/>
        <v>165</v>
      </c>
      <c r="R86" s="784">
        <v>62</v>
      </c>
      <c r="S86" s="785">
        <v>5578</v>
      </c>
      <c r="T86" s="786"/>
      <c r="U86" s="872">
        <f>ROUND(H86*'Hispanic Adjustment'!P85,0)</f>
        <v>0</v>
      </c>
      <c r="V86" s="756">
        <f>ROUND(H86*'Hispanic Adjustment'!Q85,0)</f>
        <v>0</v>
      </c>
      <c r="W86" s="873">
        <f>ROUND(H86*'Hispanic Adjustment'!R85,0)</f>
        <v>0</v>
      </c>
      <c r="X86" s="872">
        <f>ROUND(M86*'Hispanic Adjustment'!S85,0)</f>
        <v>6</v>
      </c>
      <c r="Y86" s="756">
        <f>ROUND(M86*'Hispanic Adjustment'!T85,0)</f>
        <v>0</v>
      </c>
      <c r="Z86" s="873">
        <f>ROUND(M86*'Hispanic Adjustment'!U85,0)</f>
        <v>0</v>
      </c>
      <c r="AA86" s="872">
        <f>ROUND(R86*'Hispanic Adjustment'!V85,0)</f>
        <v>55</v>
      </c>
      <c r="AB86" s="756">
        <f>ROUND(R86*'Hispanic Adjustment'!W85,0)</f>
        <v>0</v>
      </c>
      <c r="AC86" s="873">
        <f>ROUND(R86*'Hispanic Adjustment'!X85,0)</f>
        <v>7</v>
      </c>
      <c r="AE86" s="907">
        <f t="shared" si="21"/>
        <v>914</v>
      </c>
      <c r="AF86" s="908">
        <f t="shared" si="22"/>
        <v>1</v>
      </c>
      <c r="AG86" s="909">
        <f t="shared" si="23"/>
        <v>13</v>
      </c>
      <c r="AH86" s="907">
        <f t="shared" si="24"/>
        <v>2116</v>
      </c>
      <c r="AI86" s="908">
        <f t="shared" si="25"/>
        <v>22</v>
      </c>
      <c r="AJ86" s="909">
        <f t="shared" si="26"/>
        <v>39</v>
      </c>
      <c r="AK86" s="907">
        <f t="shared" si="27"/>
        <v>2263</v>
      </c>
      <c r="AL86" s="908">
        <f t="shared" si="28"/>
        <v>37</v>
      </c>
      <c r="AM86" s="910">
        <f t="shared" si="29"/>
        <v>172</v>
      </c>
    </row>
    <row r="87" spans="1:39">
      <c r="A87" s="775" t="s">
        <v>213</v>
      </c>
      <c r="B87" s="776" t="s">
        <v>214</v>
      </c>
      <c r="C87" s="776" t="s">
        <v>274</v>
      </c>
      <c r="D87" s="777">
        <v>725</v>
      </c>
      <c r="E87" s="778">
        <v>692</v>
      </c>
      <c r="F87" s="778">
        <v>18</v>
      </c>
      <c r="G87" s="778">
        <f t="shared" si="18"/>
        <v>10</v>
      </c>
      <c r="H87" s="779">
        <v>5</v>
      </c>
      <c r="I87" s="780">
        <v>1990</v>
      </c>
      <c r="J87" s="781">
        <v>1774</v>
      </c>
      <c r="K87" s="781">
        <v>81</v>
      </c>
      <c r="L87" s="781">
        <f t="shared" si="19"/>
        <v>56</v>
      </c>
      <c r="M87" s="782">
        <v>79</v>
      </c>
      <c r="N87" s="780">
        <v>4068</v>
      </c>
      <c r="O87" s="781">
        <v>3020</v>
      </c>
      <c r="P87" s="781">
        <v>145</v>
      </c>
      <c r="Q87" s="783">
        <f t="shared" si="20"/>
        <v>256</v>
      </c>
      <c r="R87" s="784">
        <v>647</v>
      </c>
      <c r="S87" s="785">
        <v>6783</v>
      </c>
      <c r="T87" s="786"/>
      <c r="U87" s="872">
        <f>ROUND(H87*'Hispanic Adjustment'!P86,0)</f>
        <v>4</v>
      </c>
      <c r="V87" s="756">
        <f>ROUND(H87*'Hispanic Adjustment'!Q86,0)</f>
        <v>0</v>
      </c>
      <c r="W87" s="873">
        <f>ROUND(H87*'Hispanic Adjustment'!R86,0)</f>
        <v>0</v>
      </c>
      <c r="X87" s="872">
        <f>ROUND(M87*'Hispanic Adjustment'!S86,0)</f>
        <v>72</v>
      </c>
      <c r="Y87" s="756">
        <f>ROUND(M87*'Hispanic Adjustment'!T86,0)</f>
        <v>4</v>
      </c>
      <c r="Z87" s="873">
        <f>ROUND(M87*'Hispanic Adjustment'!U86,0)</f>
        <v>4</v>
      </c>
      <c r="AA87" s="872">
        <f>ROUND(R87*'Hispanic Adjustment'!V86,0)</f>
        <v>598</v>
      </c>
      <c r="AB87" s="756">
        <f>ROUND(R87*'Hispanic Adjustment'!W86,0)</f>
        <v>24</v>
      </c>
      <c r="AC87" s="873">
        <f>ROUND(R87*'Hispanic Adjustment'!X86,0)</f>
        <v>25</v>
      </c>
      <c r="AE87" s="907">
        <f t="shared" si="21"/>
        <v>696</v>
      </c>
      <c r="AF87" s="908">
        <f t="shared" si="22"/>
        <v>18</v>
      </c>
      <c r="AG87" s="909">
        <f t="shared" si="23"/>
        <v>10</v>
      </c>
      <c r="AH87" s="907">
        <f t="shared" si="24"/>
        <v>1846</v>
      </c>
      <c r="AI87" s="908">
        <f t="shared" si="25"/>
        <v>85</v>
      </c>
      <c r="AJ87" s="909">
        <f t="shared" si="26"/>
        <v>60</v>
      </c>
      <c r="AK87" s="907">
        <f t="shared" si="27"/>
        <v>3618</v>
      </c>
      <c r="AL87" s="908">
        <f t="shared" si="28"/>
        <v>169</v>
      </c>
      <c r="AM87" s="910">
        <f t="shared" si="29"/>
        <v>281</v>
      </c>
    </row>
    <row r="88" spans="1:39">
      <c r="A88" s="775" t="s">
        <v>215</v>
      </c>
      <c r="B88" s="776" t="s">
        <v>216</v>
      </c>
      <c r="C88" s="776" t="s">
        <v>275</v>
      </c>
      <c r="D88" s="777">
        <v>1041</v>
      </c>
      <c r="E88" s="778">
        <v>997</v>
      </c>
      <c r="F88" s="778">
        <v>15</v>
      </c>
      <c r="G88" s="778">
        <f t="shared" si="18"/>
        <v>29</v>
      </c>
      <c r="H88" s="779">
        <v>0</v>
      </c>
      <c r="I88" s="780">
        <v>3009</v>
      </c>
      <c r="J88" s="781">
        <v>2875</v>
      </c>
      <c r="K88" s="781">
        <v>55</v>
      </c>
      <c r="L88" s="781">
        <f t="shared" si="19"/>
        <v>61</v>
      </c>
      <c r="M88" s="782">
        <v>18</v>
      </c>
      <c r="N88" s="780">
        <v>3887</v>
      </c>
      <c r="O88" s="781">
        <v>3267</v>
      </c>
      <c r="P88" s="781">
        <v>106</v>
      </c>
      <c r="Q88" s="783">
        <f t="shared" si="20"/>
        <v>381</v>
      </c>
      <c r="R88" s="784">
        <v>133</v>
      </c>
      <c r="S88" s="785">
        <v>7937</v>
      </c>
      <c r="T88" s="786"/>
      <c r="U88" s="872">
        <f>ROUND(H88*'Hispanic Adjustment'!P87,0)</f>
        <v>0</v>
      </c>
      <c r="V88" s="756">
        <f>ROUND(H88*'Hispanic Adjustment'!Q87,0)</f>
        <v>0</v>
      </c>
      <c r="W88" s="873">
        <f>ROUND(H88*'Hispanic Adjustment'!R87,0)</f>
        <v>0</v>
      </c>
      <c r="X88" s="872">
        <f>ROUND(M88*'Hispanic Adjustment'!S87,0)</f>
        <v>17</v>
      </c>
      <c r="Y88" s="756">
        <f>ROUND(M88*'Hispanic Adjustment'!T87,0)</f>
        <v>1</v>
      </c>
      <c r="Z88" s="873">
        <f>ROUND(M88*'Hispanic Adjustment'!U87,0)</f>
        <v>1</v>
      </c>
      <c r="AA88" s="872">
        <f>ROUND(R88*'Hispanic Adjustment'!V87,0)</f>
        <v>124</v>
      </c>
      <c r="AB88" s="756">
        <f>ROUND(R88*'Hispanic Adjustment'!W87,0)</f>
        <v>9</v>
      </c>
      <c r="AC88" s="873">
        <f>ROUND(R88*'Hispanic Adjustment'!X87,0)</f>
        <v>0</v>
      </c>
      <c r="AE88" s="907">
        <f t="shared" si="21"/>
        <v>997</v>
      </c>
      <c r="AF88" s="908">
        <f t="shared" si="22"/>
        <v>15</v>
      </c>
      <c r="AG88" s="909">
        <f t="shared" si="23"/>
        <v>29</v>
      </c>
      <c r="AH88" s="907">
        <f t="shared" si="24"/>
        <v>2892</v>
      </c>
      <c r="AI88" s="908">
        <f t="shared" si="25"/>
        <v>56</v>
      </c>
      <c r="AJ88" s="909">
        <f t="shared" si="26"/>
        <v>62</v>
      </c>
      <c r="AK88" s="907">
        <f t="shared" si="27"/>
        <v>3391</v>
      </c>
      <c r="AL88" s="908">
        <f t="shared" si="28"/>
        <v>115</v>
      </c>
      <c r="AM88" s="910">
        <f t="shared" si="29"/>
        <v>381</v>
      </c>
    </row>
    <row r="89" spans="1:39">
      <c r="A89" s="775" t="s">
        <v>217</v>
      </c>
      <c r="B89" s="776" t="s">
        <v>218</v>
      </c>
      <c r="C89" s="776" t="s">
        <v>271</v>
      </c>
      <c r="D89" s="777">
        <v>503</v>
      </c>
      <c r="E89" s="778">
        <v>138</v>
      </c>
      <c r="F89" s="778">
        <v>350</v>
      </c>
      <c r="G89" s="778">
        <f t="shared" si="18"/>
        <v>14</v>
      </c>
      <c r="H89" s="779">
        <v>1</v>
      </c>
      <c r="I89" s="780">
        <v>1204</v>
      </c>
      <c r="J89" s="781">
        <v>377</v>
      </c>
      <c r="K89" s="781">
        <v>757</v>
      </c>
      <c r="L89" s="781">
        <f t="shared" si="19"/>
        <v>41</v>
      </c>
      <c r="M89" s="782">
        <v>29</v>
      </c>
      <c r="N89" s="780">
        <v>1994</v>
      </c>
      <c r="O89" s="781">
        <v>599</v>
      </c>
      <c r="P89" s="781">
        <v>1143</v>
      </c>
      <c r="Q89" s="783">
        <f t="shared" si="20"/>
        <v>148</v>
      </c>
      <c r="R89" s="784">
        <v>104</v>
      </c>
      <c r="S89" s="785">
        <v>3701</v>
      </c>
      <c r="T89" s="786"/>
      <c r="U89" s="872">
        <f>ROUND(H89*'Hispanic Adjustment'!P88,0)</f>
        <v>1</v>
      </c>
      <c r="V89" s="756">
        <f>ROUND(H89*'Hispanic Adjustment'!Q88,0)</f>
        <v>0</v>
      </c>
      <c r="W89" s="873">
        <f>ROUND(H89*'Hispanic Adjustment'!R88,0)</f>
        <v>0</v>
      </c>
      <c r="X89" s="872">
        <f>ROUND(M89*'Hispanic Adjustment'!S88,0)</f>
        <v>18</v>
      </c>
      <c r="Y89" s="756">
        <f>ROUND(M89*'Hispanic Adjustment'!T88,0)</f>
        <v>7</v>
      </c>
      <c r="Z89" s="873">
        <f>ROUND(M89*'Hispanic Adjustment'!U88,0)</f>
        <v>4</v>
      </c>
      <c r="AA89" s="872">
        <f>ROUND(R89*'Hispanic Adjustment'!V88,0)</f>
        <v>71</v>
      </c>
      <c r="AB89" s="756">
        <f>ROUND(R89*'Hispanic Adjustment'!W88,0)</f>
        <v>23</v>
      </c>
      <c r="AC89" s="873">
        <f>ROUND(R89*'Hispanic Adjustment'!X88,0)</f>
        <v>10</v>
      </c>
      <c r="AE89" s="907">
        <f t="shared" si="21"/>
        <v>139</v>
      </c>
      <c r="AF89" s="908">
        <f t="shared" si="22"/>
        <v>350</v>
      </c>
      <c r="AG89" s="909">
        <f t="shared" si="23"/>
        <v>14</v>
      </c>
      <c r="AH89" s="907">
        <f t="shared" si="24"/>
        <v>395</v>
      </c>
      <c r="AI89" s="908">
        <f t="shared" si="25"/>
        <v>764</v>
      </c>
      <c r="AJ89" s="909">
        <f t="shared" si="26"/>
        <v>45</v>
      </c>
      <c r="AK89" s="907">
        <f t="shared" si="27"/>
        <v>670</v>
      </c>
      <c r="AL89" s="908">
        <f t="shared" si="28"/>
        <v>1166</v>
      </c>
      <c r="AM89" s="910">
        <f t="shared" si="29"/>
        <v>158</v>
      </c>
    </row>
    <row r="90" spans="1:39">
      <c r="A90" s="775" t="s">
        <v>219</v>
      </c>
      <c r="B90" s="776" t="s">
        <v>220</v>
      </c>
      <c r="C90" s="776" t="s">
        <v>274</v>
      </c>
      <c r="D90" s="777">
        <v>927</v>
      </c>
      <c r="E90" s="778">
        <v>586</v>
      </c>
      <c r="F90" s="778">
        <v>239</v>
      </c>
      <c r="G90" s="778">
        <f t="shared" si="18"/>
        <v>72</v>
      </c>
      <c r="H90" s="779">
        <v>30</v>
      </c>
      <c r="I90" s="780">
        <v>4176</v>
      </c>
      <c r="J90" s="781">
        <v>2613</v>
      </c>
      <c r="K90" s="781">
        <v>1168</v>
      </c>
      <c r="L90" s="781">
        <f t="shared" si="19"/>
        <v>242</v>
      </c>
      <c r="M90" s="782">
        <v>153</v>
      </c>
      <c r="N90" s="780">
        <v>10103</v>
      </c>
      <c r="O90" s="781">
        <v>4361</v>
      </c>
      <c r="P90" s="781">
        <v>2564</v>
      </c>
      <c r="Q90" s="783">
        <f t="shared" si="20"/>
        <v>1731</v>
      </c>
      <c r="R90" s="784">
        <v>1447</v>
      </c>
      <c r="S90" s="785">
        <v>15206</v>
      </c>
      <c r="T90" s="786"/>
      <c r="U90" s="872">
        <f>ROUND(H90*'Hispanic Adjustment'!P89,0)</f>
        <v>27</v>
      </c>
      <c r="V90" s="756">
        <f>ROUND(H90*'Hispanic Adjustment'!Q89,0)</f>
        <v>2</v>
      </c>
      <c r="W90" s="873">
        <f>ROUND(H90*'Hispanic Adjustment'!R89,0)</f>
        <v>1</v>
      </c>
      <c r="X90" s="872">
        <f>ROUND(M90*'Hispanic Adjustment'!S89,0)</f>
        <v>133</v>
      </c>
      <c r="Y90" s="756">
        <f>ROUND(M90*'Hispanic Adjustment'!T89,0)</f>
        <v>13</v>
      </c>
      <c r="Z90" s="873">
        <f>ROUND(M90*'Hispanic Adjustment'!U89,0)</f>
        <v>7</v>
      </c>
      <c r="AA90" s="872">
        <f>ROUND(R90*'Hispanic Adjustment'!V89,0)</f>
        <v>1225</v>
      </c>
      <c r="AB90" s="756">
        <f>ROUND(R90*'Hispanic Adjustment'!W89,0)</f>
        <v>156</v>
      </c>
      <c r="AC90" s="873">
        <f>ROUND(R90*'Hispanic Adjustment'!X89,0)</f>
        <v>66</v>
      </c>
      <c r="AE90" s="907">
        <f t="shared" si="21"/>
        <v>613</v>
      </c>
      <c r="AF90" s="908">
        <f t="shared" si="22"/>
        <v>241</v>
      </c>
      <c r="AG90" s="909">
        <f t="shared" si="23"/>
        <v>73</v>
      </c>
      <c r="AH90" s="907">
        <f t="shared" si="24"/>
        <v>2746</v>
      </c>
      <c r="AI90" s="908">
        <f t="shared" si="25"/>
        <v>1181</v>
      </c>
      <c r="AJ90" s="909">
        <f t="shared" si="26"/>
        <v>249</v>
      </c>
      <c r="AK90" s="907">
        <f t="shared" si="27"/>
        <v>5586</v>
      </c>
      <c r="AL90" s="908">
        <f t="shared" si="28"/>
        <v>2720</v>
      </c>
      <c r="AM90" s="910">
        <f t="shared" si="29"/>
        <v>1797</v>
      </c>
    </row>
    <row r="91" spans="1:39">
      <c r="A91" s="775" t="s">
        <v>221</v>
      </c>
      <c r="B91" s="776" t="s">
        <v>222</v>
      </c>
      <c r="C91" s="776" t="s">
        <v>274</v>
      </c>
      <c r="D91" s="777">
        <v>657</v>
      </c>
      <c r="E91" s="778">
        <v>398</v>
      </c>
      <c r="F91" s="778">
        <v>146</v>
      </c>
      <c r="G91" s="778">
        <f t="shared" si="18"/>
        <v>86</v>
      </c>
      <c r="H91" s="779">
        <v>27</v>
      </c>
      <c r="I91" s="780">
        <v>3196</v>
      </c>
      <c r="J91" s="781">
        <v>1629</v>
      </c>
      <c r="K91" s="781">
        <v>891</v>
      </c>
      <c r="L91" s="781">
        <f t="shared" si="19"/>
        <v>508</v>
      </c>
      <c r="M91" s="782">
        <v>168</v>
      </c>
      <c r="N91" s="780">
        <v>8900</v>
      </c>
      <c r="O91" s="781">
        <v>2865</v>
      </c>
      <c r="P91" s="781">
        <v>2272</v>
      </c>
      <c r="Q91" s="783">
        <f t="shared" si="20"/>
        <v>2251</v>
      </c>
      <c r="R91" s="784">
        <v>1512</v>
      </c>
      <c r="S91" s="785">
        <v>12753</v>
      </c>
      <c r="T91" s="786"/>
      <c r="U91" s="872">
        <f>ROUND(H91*'Hispanic Adjustment'!P90,0)</f>
        <v>23</v>
      </c>
      <c r="V91" s="756">
        <f>ROUND(H91*'Hispanic Adjustment'!Q90,0)</f>
        <v>2</v>
      </c>
      <c r="W91" s="873">
        <f>ROUND(H91*'Hispanic Adjustment'!R90,0)</f>
        <v>1</v>
      </c>
      <c r="X91" s="872">
        <f>ROUND(M91*'Hispanic Adjustment'!S90,0)</f>
        <v>144</v>
      </c>
      <c r="Y91" s="756">
        <f>ROUND(M91*'Hispanic Adjustment'!T90,0)</f>
        <v>16</v>
      </c>
      <c r="Z91" s="873">
        <f>ROUND(M91*'Hispanic Adjustment'!U90,0)</f>
        <v>8</v>
      </c>
      <c r="AA91" s="872">
        <f>ROUND(R91*'Hispanic Adjustment'!V90,0)</f>
        <v>1252</v>
      </c>
      <c r="AB91" s="756">
        <f>ROUND(R91*'Hispanic Adjustment'!W90,0)</f>
        <v>176</v>
      </c>
      <c r="AC91" s="873">
        <f>ROUND(R91*'Hispanic Adjustment'!X90,0)</f>
        <v>84</v>
      </c>
      <c r="AE91" s="907">
        <f t="shared" si="21"/>
        <v>421</v>
      </c>
      <c r="AF91" s="908">
        <f t="shared" si="22"/>
        <v>148</v>
      </c>
      <c r="AG91" s="909">
        <f t="shared" si="23"/>
        <v>87</v>
      </c>
      <c r="AH91" s="907">
        <f t="shared" si="24"/>
        <v>1773</v>
      </c>
      <c r="AI91" s="908">
        <f t="shared" si="25"/>
        <v>907</v>
      </c>
      <c r="AJ91" s="909">
        <f t="shared" si="26"/>
        <v>516</v>
      </c>
      <c r="AK91" s="907">
        <f t="shared" si="27"/>
        <v>4117</v>
      </c>
      <c r="AL91" s="908">
        <f t="shared" si="28"/>
        <v>2448</v>
      </c>
      <c r="AM91" s="910">
        <f t="shared" si="29"/>
        <v>2335</v>
      </c>
    </row>
    <row r="92" spans="1:39">
      <c r="A92" s="775" t="s">
        <v>225</v>
      </c>
      <c r="B92" s="776" t="s">
        <v>226</v>
      </c>
      <c r="C92" s="776" t="s">
        <v>271</v>
      </c>
      <c r="D92" s="777">
        <v>151</v>
      </c>
      <c r="E92" s="778">
        <v>33</v>
      </c>
      <c r="F92" s="778">
        <v>116</v>
      </c>
      <c r="G92" s="778">
        <f t="shared" si="18"/>
        <v>2</v>
      </c>
      <c r="H92" s="779">
        <v>0</v>
      </c>
      <c r="I92" s="780">
        <v>404</v>
      </c>
      <c r="J92" s="781">
        <v>136</v>
      </c>
      <c r="K92" s="781">
        <v>258</v>
      </c>
      <c r="L92" s="781">
        <f t="shared" si="19"/>
        <v>3</v>
      </c>
      <c r="M92" s="782">
        <v>7</v>
      </c>
      <c r="N92" s="780">
        <v>669</v>
      </c>
      <c r="O92" s="781">
        <v>246</v>
      </c>
      <c r="P92" s="781">
        <v>395</v>
      </c>
      <c r="Q92" s="783">
        <f t="shared" si="20"/>
        <v>17</v>
      </c>
      <c r="R92" s="784">
        <v>11</v>
      </c>
      <c r="S92" s="785">
        <v>1224</v>
      </c>
      <c r="T92" s="786"/>
      <c r="U92" s="872">
        <f>ROUND(H92*'Hispanic Adjustment'!P91,0)</f>
        <v>0</v>
      </c>
      <c r="V92" s="756">
        <f>ROUND(H92*'Hispanic Adjustment'!Q91,0)</f>
        <v>0</v>
      </c>
      <c r="W92" s="873">
        <f>ROUND(H92*'Hispanic Adjustment'!R91,0)</f>
        <v>0</v>
      </c>
      <c r="X92" s="872">
        <f>ROUND(M92*'Hispanic Adjustment'!S91,0)</f>
        <v>5</v>
      </c>
      <c r="Y92" s="756">
        <f>ROUND(M92*'Hispanic Adjustment'!T91,0)</f>
        <v>2</v>
      </c>
      <c r="Z92" s="873">
        <f>ROUND(M92*'Hispanic Adjustment'!U91,0)</f>
        <v>1</v>
      </c>
      <c r="AA92" s="872">
        <f>ROUND(R92*'Hispanic Adjustment'!V91,0)</f>
        <v>6</v>
      </c>
      <c r="AB92" s="756">
        <f>ROUND(R92*'Hispanic Adjustment'!W91,0)</f>
        <v>5</v>
      </c>
      <c r="AC92" s="873">
        <f>ROUND(R92*'Hispanic Adjustment'!X91,0)</f>
        <v>0</v>
      </c>
      <c r="AE92" s="907">
        <f t="shared" si="21"/>
        <v>33</v>
      </c>
      <c r="AF92" s="908">
        <f t="shared" si="22"/>
        <v>116</v>
      </c>
      <c r="AG92" s="909">
        <f t="shared" si="23"/>
        <v>2</v>
      </c>
      <c r="AH92" s="907">
        <f t="shared" si="24"/>
        <v>141</v>
      </c>
      <c r="AI92" s="908">
        <f t="shared" si="25"/>
        <v>260</v>
      </c>
      <c r="AJ92" s="909">
        <f t="shared" si="26"/>
        <v>4</v>
      </c>
      <c r="AK92" s="907">
        <f t="shared" si="27"/>
        <v>252</v>
      </c>
      <c r="AL92" s="908">
        <f t="shared" si="28"/>
        <v>400</v>
      </c>
      <c r="AM92" s="910">
        <f t="shared" si="29"/>
        <v>17</v>
      </c>
    </row>
    <row r="93" spans="1:39">
      <c r="A93" s="775" t="s">
        <v>227</v>
      </c>
      <c r="B93" s="776" t="s">
        <v>228</v>
      </c>
      <c r="C93" s="776" t="s">
        <v>271</v>
      </c>
      <c r="D93" s="777">
        <v>303</v>
      </c>
      <c r="E93" s="778">
        <v>56</v>
      </c>
      <c r="F93" s="778">
        <v>243</v>
      </c>
      <c r="G93" s="778">
        <f t="shared" si="18"/>
        <v>4</v>
      </c>
      <c r="H93" s="779">
        <v>0</v>
      </c>
      <c r="I93" s="780">
        <v>758</v>
      </c>
      <c r="J93" s="781">
        <v>174</v>
      </c>
      <c r="K93" s="781">
        <v>557</v>
      </c>
      <c r="L93" s="781">
        <f t="shared" si="19"/>
        <v>20</v>
      </c>
      <c r="M93" s="782">
        <v>7</v>
      </c>
      <c r="N93" s="780">
        <v>1245</v>
      </c>
      <c r="O93" s="781">
        <v>247</v>
      </c>
      <c r="P93" s="781">
        <v>788</v>
      </c>
      <c r="Q93" s="783">
        <f t="shared" si="20"/>
        <v>167</v>
      </c>
      <c r="R93" s="784">
        <v>43</v>
      </c>
      <c r="S93" s="785">
        <v>2306</v>
      </c>
      <c r="T93" s="786"/>
      <c r="U93" s="872">
        <f>ROUND(H93*'Hispanic Adjustment'!P92,0)</f>
        <v>0</v>
      </c>
      <c r="V93" s="756">
        <f>ROUND(H93*'Hispanic Adjustment'!Q92,0)</f>
        <v>0</v>
      </c>
      <c r="W93" s="873">
        <f>ROUND(H93*'Hispanic Adjustment'!R92,0)</f>
        <v>0</v>
      </c>
      <c r="X93" s="872">
        <f>ROUND(M93*'Hispanic Adjustment'!S92,0)</f>
        <v>5</v>
      </c>
      <c r="Y93" s="756">
        <f>ROUND(M93*'Hispanic Adjustment'!T92,0)</f>
        <v>1</v>
      </c>
      <c r="Z93" s="873">
        <f>ROUND(M93*'Hispanic Adjustment'!U92,0)</f>
        <v>1</v>
      </c>
      <c r="AA93" s="872">
        <f>ROUND(R93*'Hispanic Adjustment'!V92,0)</f>
        <v>31</v>
      </c>
      <c r="AB93" s="756">
        <f>ROUND(R93*'Hispanic Adjustment'!W92,0)</f>
        <v>9</v>
      </c>
      <c r="AC93" s="873">
        <f>ROUND(R93*'Hispanic Adjustment'!X92,0)</f>
        <v>3</v>
      </c>
      <c r="AE93" s="907">
        <f t="shared" si="21"/>
        <v>56</v>
      </c>
      <c r="AF93" s="908">
        <f t="shared" si="22"/>
        <v>243</v>
      </c>
      <c r="AG93" s="909">
        <f t="shared" si="23"/>
        <v>4</v>
      </c>
      <c r="AH93" s="907">
        <f t="shared" si="24"/>
        <v>179</v>
      </c>
      <c r="AI93" s="908">
        <f t="shared" si="25"/>
        <v>558</v>
      </c>
      <c r="AJ93" s="909">
        <f t="shared" si="26"/>
        <v>21</v>
      </c>
      <c r="AK93" s="907">
        <f t="shared" si="27"/>
        <v>278</v>
      </c>
      <c r="AL93" s="908">
        <f t="shared" si="28"/>
        <v>797</v>
      </c>
      <c r="AM93" s="910">
        <f t="shared" si="29"/>
        <v>170</v>
      </c>
    </row>
    <row r="94" spans="1:39">
      <c r="A94" s="775" t="s">
        <v>229</v>
      </c>
      <c r="B94" s="776" t="s">
        <v>230</v>
      </c>
      <c r="C94" s="776" t="s">
        <v>275</v>
      </c>
      <c r="D94" s="777">
        <v>1146</v>
      </c>
      <c r="E94" s="778">
        <v>1092</v>
      </c>
      <c r="F94" s="778">
        <v>39</v>
      </c>
      <c r="G94" s="778">
        <f t="shared" si="18"/>
        <v>15</v>
      </c>
      <c r="H94" s="779">
        <v>0</v>
      </c>
      <c r="I94" s="780">
        <v>3721</v>
      </c>
      <c r="J94" s="781">
        <v>3537</v>
      </c>
      <c r="K94" s="781">
        <v>102</v>
      </c>
      <c r="L94" s="781">
        <f t="shared" si="19"/>
        <v>63</v>
      </c>
      <c r="M94" s="782">
        <v>19</v>
      </c>
      <c r="N94" s="780">
        <v>5151</v>
      </c>
      <c r="O94" s="781">
        <v>4427</v>
      </c>
      <c r="P94" s="781">
        <v>224</v>
      </c>
      <c r="Q94" s="783">
        <f t="shared" si="20"/>
        <v>335</v>
      </c>
      <c r="R94" s="784">
        <v>165</v>
      </c>
      <c r="S94" s="785">
        <v>10018</v>
      </c>
      <c r="T94" s="786"/>
      <c r="U94" s="872">
        <f>ROUND(H94*'Hispanic Adjustment'!P93,0)</f>
        <v>0</v>
      </c>
      <c r="V94" s="756">
        <f>ROUND(H94*'Hispanic Adjustment'!Q93,0)</f>
        <v>0</v>
      </c>
      <c r="W94" s="873">
        <f>ROUND(H94*'Hispanic Adjustment'!R93,0)</f>
        <v>0</v>
      </c>
      <c r="X94" s="872">
        <f>ROUND(M94*'Hispanic Adjustment'!S93,0)</f>
        <v>17</v>
      </c>
      <c r="Y94" s="756">
        <f>ROUND(M94*'Hispanic Adjustment'!T93,0)</f>
        <v>1</v>
      </c>
      <c r="Z94" s="873">
        <f>ROUND(M94*'Hispanic Adjustment'!U93,0)</f>
        <v>1</v>
      </c>
      <c r="AA94" s="872">
        <f>ROUND(R94*'Hispanic Adjustment'!V93,0)</f>
        <v>151</v>
      </c>
      <c r="AB94" s="756">
        <f>ROUND(R94*'Hispanic Adjustment'!W93,0)</f>
        <v>14</v>
      </c>
      <c r="AC94" s="873">
        <f>ROUND(R94*'Hispanic Adjustment'!X93,0)</f>
        <v>0</v>
      </c>
      <c r="AE94" s="907">
        <f t="shared" si="21"/>
        <v>1092</v>
      </c>
      <c r="AF94" s="908">
        <f t="shared" si="22"/>
        <v>39</v>
      </c>
      <c r="AG94" s="909">
        <f t="shared" si="23"/>
        <v>15</v>
      </c>
      <c r="AH94" s="907">
        <f t="shared" si="24"/>
        <v>3554</v>
      </c>
      <c r="AI94" s="908">
        <f t="shared" si="25"/>
        <v>103</v>
      </c>
      <c r="AJ94" s="909">
        <f t="shared" si="26"/>
        <v>64</v>
      </c>
      <c r="AK94" s="907">
        <f t="shared" si="27"/>
        <v>4578</v>
      </c>
      <c r="AL94" s="908">
        <f t="shared" si="28"/>
        <v>238</v>
      </c>
      <c r="AM94" s="910">
        <f t="shared" si="29"/>
        <v>335</v>
      </c>
    </row>
    <row r="95" spans="1:39">
      <c r="A95" s="775" t="s">
        <v>233</v>
      </c>
      <c r="B95" s="776" t="s">
        <v>234</v>
      </c>
      <c r="C95" s="776" t="s">
        <v>274</v>
      </c>
      <c r="D95" s="777">
        <v>469</v>
      </c>
      <c r="E95" s="778">
        <v>393</v>
      </c>
      <c r="F95" s="778">
        <v>52</v>
      </c>
      <c r="G95" s="778">
        <f t="shared" si="18"/>
        <v>22</v>
      </c>
      <c r="H95" s="779">
        <v>2</v>
      </c>
      <c r="I95" s="780">
        <v>1786</v>
      </c>
      <c r="J95" s="781">
        <v>1455</v>
      </c>
      <c r="K95" s="781">
        <v>184</v>
      </c>
      <c r="L95" s="781">
        <f t="shared" si="19"/>
        <v>102</v>
      </c>
      <c r="M95" s="782">
        <v>45</v>
      </c>
      <c r="N95" s="780">
        <v>3503</v>
      </c>
      <c r="O95" s="781">
        <v>2483</v>
      </c>
      <c r="P95" s="781">
        <v>338</v>
      </c>
      <c r="Q95" s="783">
        <f t="shared" si="20"/>
        <v>438</v>
      </c>
      <c r="R95" s="784">
        <v>244</v>
      </c>
      <c r="S95" s="785">
        <v>5758</v>
      </c>
      <c r="T95" s="786"/>
      <c r="U95" s="872">
        <f>ROUND(H95*'Hispanic Adjustment'!P94,0)</f>
        <v>2</v>
      </c>
      <c r="V95" s="756">
        <f>ROUND(H95*'Hispanic Adjustment'!Q94,0)</f>
        <v>0</v>
      </c>
      <c r="W95" s="873">
        <f>ROUND(H95*'Hispanic Adjustment'!R94,0)</f>
        <v>0</v>
      </c>
      <c r="X95" s="872">
        <f>ROUND(M95*'Hispanic Adjustment'!S94,0)</f>
        <v>41</v>
      </c>
      <c r="Y95" s="756">
        <f>ROUND(M95*'Hispanic Adjustment'!T94,0)</f>
        <v>2</v>
      </c>
      <c r="Z95" s="873">
        <f>ROUND(M95*'Hispanic Adjustment'!U94,0)</f>
        <v>2</v>
      </c>
      <c r="AA95" s="872">
        <f>ROUND(R95*'Hispanic Adjustment'!V94,0)</f>
        <v>210</v>
      </c>
      <c r="AB95" s="756">
        <f>ROUND(R95*'Hispanic Adjustment'!W94,0)</f>
        <v>11</v>
      </c>
      <c r="AC95" s="873">
        <f>ROUND(R95*'Hispanic Adjustment'!X94,0)</f>
        <v>23</v>
      </c>
      <c r="AE95" s="907">
        <f t="shared" si="21"/>
        <v>395</v>
      </c>
      <c r="AF95" s="908">
        <f t="shared" si="22"/>
        <v>52</v>
      </c>
      <c r="AG95" s="909">
        <f t="shared" si="23"/>
        <v>22</v>
      </c>
      <c r="AH95" s="907">
        <f t="shared" si="24"/>
        <v>1496</v>
      </c>
      <c r="AI95" s="908">
        <f t="shared" si="25"/>
        <v>186</v>
      </c>
      <c r="AJ95" s="909">
        <f t="shared" si="26"/>
        <v>104</v>
      </c>
      <c r="AK95" s="907">
        <f t="shared" si="27"/>
        <v>2693</v>
      </c>
      <c r="AL95" s="908">
        <f t="shared" si="28"/>
        <v>349</v>
      </c>
      <c r="AM95" s="910">
        <f t="shared" si="29"/>
        <v>461</v>
      </c>
    </row>
    <row r="96" spans="1:39">
      <c r="A96" s="775" t="s">
        <v>235</v>
      </c>
      <c r="B96" s="776" t="s">
        <v>236</v>
      </c>
      <c r="C96" s="776" t="s">
        <v>275</v>
      </c>
      <c r="D96" s="777">
        <v>1333</v>
      </c>
      <c r="E96" s="778">
        <v>1291</v>
      </c>
      <c r="F96" s="778">
        <v>19</v>
      </c>
      <c r="G96" s="778">
        <f t="shared" si="18"/>
        <v>23</v>
      </c>
      <c r="H96" s="779">
        <v>0</v>
      </c>
      <c r="I96" s="780">
        <v>3648</v>
      </c>
      <c r="J96" s="781">
        <v>3523</v>
      </c>
      <c r="K96" s="781">
        <v>72</v>
      </c>
      <c r="L96" s="781">
        <f t="shared" si="19"/>
        <v>36</v>
      </c>
      <c r="M96" s="782">
        <v>17</v>
      </c>
      <c r="N96" s="780">
        <v>4950</v>
      </c>
      <c r="O96" s="781">
        <v>4383</v>
      </c>
      <c r="P96" s="781">
        <v>119</v>
      </c>
      <c r="Q96" s="783">
        <f t="shared" si="20"/>
        <v>256</v>
      </c>
      <c r="R96" s="784">
        <v>192</v>
      </c>
      <c r="S96" s="785">
        <v>9931</v>
      </c>
      <c r="T96" s="786"/>
      <c r="U96" s="872">
        <f>ROUND(H96*'Hispanic Adjustment'!P95,0)</f>
        <v>0</v>
      </c>
      <c r="V96" s="756">
        <f>ROUND(H96*'Hispanic Adjustment'!Q95,0)</f>
        <v>0</v>
      </c>
      <c r="W96" s="873">
        <f>ROUND(H96*'Hispanic Adjustment'!R95,0)</f>
        <v>0</v>
      </c>
      <c r="X96" s="872">
        <f>ROUND(M96*'Hispanic Adjustment'!S95,0)</f>
        <v>16</v>
      </c>
      <c r="Y96" s="756">
        <f>ROUND(M96*'Hispanic Adjustment'!T95,0)</f>
        <v>0</v>
      </c>
      <c r="Z96" s="873">
        <f>ROUND(M96*'Hispanic Adjustment'!U95,0)</f>
        <v>0</v>
      </c>
      <c r="AA96" s="872">
        <f>ROUND(R96*'Hispanic Adjustment'!V95,0)</f>
        <v>176</v>
      </c>
      <c r="AB96" s="756">
        <f>ROUND(R96*'Hispanic Adjustment'!W95,0)</f>
        <v>7</v>
      </c>
      <c r="AC96" s="873">
        <f>ROUND(R96*'Hispanic Adjustment'!X95,0)</f>
        <v>9</v>
      </c>
      <c r="AE96" s="907">
        <f t="shared" si="21"/>
        <v>1291</v>
      </c>
      <c r="AF96" s="908">
        <f t="shared" si="22"/>
        <v>19</v>
      </c>
      <c r="AG96" s="909">
        <f t="shared" si="23"/>
        <v>23</v>
      </c>
      <c r="AH96" s="907">
        <f t="shared" si="24"/>
        <v>3539</v>
      </c>
      <c r="AI96" s="908">
        <f t="shared" si="25"/>
        <v>72</v>
      </c>
      <c r="AJ96" s="909">
        <f t="shared" si="26"/>
        <v>36</v>
      </c>
      <c r="AK96" s="907">
        <f t="shared" si="27"/>
        <v>4559</v>
      </c>
      <c r="AL96" s="908">
        <f t="shared" si="28"/>
        <v>126</v>
      </c>
      <c r="AM96" s="910">
        <f t="shared" si="29"/>
        <v>265</v>
      </c>
    </row>
    <row r="97" spans="1:39">
      <c r="A97" s="775" t="s">
        <v>237</v>
      </c>
      <c r="B97" s="776" t="s">
        <v>238</v>
      </c>
      <c r="C97" s="776" t="s">
        <v>273</v>
      </c>
      <c r="D97" s="777">
        <v>547</v>
      </c>
      <c r="E97" s="778">
        <v>268</v>
      </c>
      <c r="F97" s="778">
        <v>270</v>
      </c>
      <c r="G97" s="778">
        <f t="shared" si="18"/>
        <v>6</v>
      </c>
      <c r="H97" s="779">
        <v>3</v>
      </c>
      <c r="I97" s="780">
        <v>1152</v>
      </c>
      <c r="J97" s="781">
        <v>543</v>
      </c>
      <c r="K97" s="781">
        <v>516</v>
      </c>
      <c r="L97" s="781">
        <f t="shared" si="19"/>
        <v>59</v>
      </c>
      <c r="M97" s="782">
        <v>34</v>
      </c>
      <c r="N97" s="780">
        <v>2091</v>
      </c>
      <c r="O97" s="781">
        <v>728</v>
      </c>
      <c r="P97" s="781">
        <v>904</v>
      </c>
      <c r="Q97" s="783">
        <f t="shared" si="20"/>
        <v>217</v>
      </c>
      <c r="R97" s="784">
        <v>242</v>
      </c>
      <c r="S97" s="785">
        <v>3790</v>
      </c>
      <c r="T97" s="786"/>
      <c r="U97" s="872">
        <f>ROUND(H97*'Hispanic Adjustment'!P96,0)</f>
        <v>2</v>
      </c>
      <c r="V97" s="756">
        <f>ROUND(H97*'Hispanic Adjustment'!Q96,0)</f>
        <v>1</v>
      </c>
      <c r="W97" s="873">
        <f>ROUND(H97*'Hispanic Adjustment'!R96,0)</f>
        <v>0</v>
      </c>
      <c r="X97" s="872">
        <f>ROUND(M97*'Hispanic Adjustment'!S96,0)</f>
        <v>29</v>
      </c>
      <c r="Y97" s="756">
        <f>ROUND(M97*'Hispanic Adjustment'!T96,0)</f>
        <v>3</v>
      </c>
      <c r="Z97" s="873">
        <f>ROUND(M97*'Hispanic Adjustment'!U96,0)</f>
        <v>2</v>
      </c>
      <c r="AA97" s="872">
        <f>ROUND(R97*'Hispanic Adjustment'!V96,0)</f>
        <v>201</v>
      </c>
      <c r="AB97" s="756">
        <f>ROUND(R97*'Hispanic Adjustment'!W96,0)</f>
        <v>24</v>
      </c>
      <c r="AC97" s="873">
        <f>ROUND(R97*'Hispanic Adjustment'!X96,0)</f>
        <v>17</v>
      </c>
      <c r="AE97" s="907">
        <f t="shared" si="21"/>
        <v>270</v>
      </c>
      <c r="AF97" s="908">
        <f t="shared" si="22"/>
        <v>271</v>
      </c>
      <c r="AG97" s="909">
        <f t="shared" si="23"/>
        <v>6</v>
      </c>
      <c r="AH97" s="907">
        <f t="shared" si="24"/>
        <v>572</v>
      </c>
      <c r="AI97" s="908">
        <f t="shared" si="25"/>
        <v>519</v>
      </c>
      <c r="AJ97" s="909">
        <f t="shared" si="26"/>
        <v>61</v>
      </c>
      <c r="AK97" s="907">
        <f t="shared" si="27"/>
        <v>929</v>
      </c>
      <c r="AL97" s="908">
        <f t="shared" si="28"/>
        <v>928</v>
      </c>
      <c r="AM97" s="910">
        <f t="shared" si="29"/>
        <v>234</v>
      </c>
    </row>
    <row r="98" spans="1:39">
      <c r="A98" s="775" t="s">
        <v>243</v>
      </c>
      <c r="B98" s="776" t="s">
        <v>244</v>
      </c>
      <c r="C98" s="776" t="s">
        <v>275</v>
      </c>
      <c r="D98" s="777">
        <v>1126</v>
      </c>
      <c r="E98" s="778">
        <v>1076</v>
      </c>
      <c r="F98" s="778">
        <v>22</v>
      </c>
      <c r="G98" s="778">
        <f t="shared" si="18"/>
        <v>28</v>
      </c>
      <c r="H98" s="779">
        <v>0</v>
      </c>
      <c r="I98" s="780">
        <v>4523</v>
      </c>
      <c r="J98" s="781">
        <v>4293</v>
      </c>
      <c r="K98" s="781">
        <v>107</v>
      </c>
      <c r="L98" s="781">
        <f t="shared" si="19"/>
        <v>97</v>
      </c>
      <c r="M98" s="782">
        <v>26</v>
      </c>
      <c r="N98" s="780">
        <v>5564</v>
      </c>
      <c r="O98" s="781">
        <v>4770</v>
      </c>
      <c r="P98" s="781">
        <v>152</v>
      </c>
      <c r="Q98" s="783">
        <f t="shared" si="20"/>
        <v>486</v>
      </c>
      <c r="R98" s="784">
        <v>156</v>
      </c>
      <c r="S98" s="785">
        <v>11213</v>
      </c>
      <c r="T98" s="786"/>
      <c r="U98" s="872">
        <f>ROUND(H98*'Hispanic Adjustment'!P97,0)</f>
        <v>0</v>
      </c>
      <c r="V98" s="756">
        <f>ROUND(H98*'Hispanic Adjustment'!Q97,0)</f>
        <v>0</v>
      </c>
      <c r="W98" s="873">
        <f>ROUND(H98*'Hispanic Adjustment'!R97,0)</f>
        <v>0</v>
      </c>
      <c r="X98" s="872">
        <f>ROUND(M98*'Hispanic Adjustment'!S97,0)</f>
        <v>23</v>
      </c>
      <c r="Y98" s="756">
        <f>ROUND(M98*'Hispanic Adjustment'!T97,0)</f>
        <v>2</v>
      </c>
      <c r="Z98" s="873">
        <f>ROUND(M98*'Hispanic Adjustment'!U97,0)</f>
        <v>0</v>
      </c>
      <c r="AA98" s="872">
        <f>ROUND(R98*'Hispanic Adjustment'!V97,0)</f>
        <v>144</v>
      </c>
      <c r="AB98" s="756">
        <f>ROUND(R98*'Hispanic Adjustment'!W97,0)</f>
        <v>9</v>
      </c>
      <c r="AC98" s="873">
        <f>ROUND(R98*'Hispanic Adjustment'!X97,0)</f>
        <v>3</v>
      </c>
      <c r="AE98" s="907">
        <f t="shared" si="21"/>
        <v>1076</v>
      </c>
      <c r="AF98" s="908">
        <f t="shared" si="22"/>
        <v>22</v>
      </c>
      <c r="AG98" s="909">
        <f t="shared" si="23"/>
        <v>28</v>
      </c>
      <c r="AH98" s="907">
        <f t="shared" si="24"/>
        <v>4316</v>
      </c>
      <c r="AI98" s="908">
        <f t="shared" si="25"/>
        <v>109</v>
      </c>
      <c r="AJ98" s="909">
        <f t="shared" si="26"/>
        <v>97</v>
      </c>
      <c r="AK98" s="907">
        <f t="shared" si="27"/>
        <v>4914</v>
      </c>
      <c r="AL98" s="908">
        <f t="shared" si="28"/>
        <v>161</v>
      </c>
      <c r="AM98" s="910">
        <f t="shared" si="29"/>
        <v>489</v>
      </c>
    </row>
    <row r="99" spans="1:39">
      <c r="A99" s="787" t="s">
        <v>245</v>
      </c>
      <c r="B99" s="776" t="s">
        <v>246</v>
      </c>
      <c r="C99" s="776" t="s">
        <v>275</v>
      </c>
      <c r="D99" s="777">
        <v>844</v>
      </c>
      <c r="E99" s="778">
        <v>801</v>
      </c>
      <c r="F99" s="778">
        <v>22</v>
      </c>
      <c r="G99" s="778">
        <f t="shared" si="18"/>
        <v>21</v>
      </c>
      <c r="H99" s="779">
        <v>0</v>
      </c>
      <c r="I99" s="780">
        <v>2112</v>
      </c>
      <c r="J99" s="781">
        <v>1941</v>
      </c>
      <c r="K99" s="781">
        <v>105</v>
      </c>
      <c r="L99" s="781">
        <f t="shared" si="19"/>
        <v>53</v>
      </c>
      <c r="M99" s="782">
        <v>13</v>
      </c>
      <c r="N99" s="780">
        <v>3068</v>
      </c>
      <c r="O99" s="781">
        <v>2524</v>
      </c>
      <c r="P99" s="781">
        <v>181</v>
      </c>
      <c r="Q99" s="783">
        <f t="shared" si="20"/>
        <v>304</v>
      </c>
      <c r="R99" s="784">
        <v>59</v>
      </c>
      <c r="S99" s="785">
        <v>6024</v>
      </c>
      <c r="T99" s="786"/>
      <c r="U99" s="872">
        <f>ROUND(H99*'Hispanic Adjustment'!P98,0)</f>
        <v>0</v>
      </c>
      <c r="V99" s="756">
        <f>ROUND(H99*'Hispanic Adjustment'!Q98,0)</f>
        <v>0</v>
      </c>
      <c r="W99" s="873">
        <f>ROUND(H99*'Hispanic Adjustment'!R98,0)</f>
        <v>0</v>
      </c>
      <c r="X99" s="872">
        <f>ROUND(M99*'Hispanic Adjustment'!S98,0)</f>
        <v>12</v>
      </c>
      <c r="Y99" s="756">
        <f>ROUND(M99*'Hispanic Adjustment'!T98,0)</f>
        <v>1</v>
      </c>
      <c r="Z99" s="873">
        <f>ROUND(M99*'Hispanic Adjustment'!U98,0)</f>
        <v>1</v>
      </c>
      <c r="AA99" s="872">
        <f>ROUND(R99*'Hispanic Adjustment'!V98,0)</f>
        <v>53</v>
      </c>
      <c r="AB99" s="756">
        <f>ROUND(R99*'Hispanic Adjustment'!W98,0)</f>
        <v>5</v>
      </c>
      <c r="AC99" s="873">
        <f>ROUND(R99*'Hispanic Adjustment'!X98,0)</f>
        <v>1</v>
      </c>
      <c r="AE99" s="907">
        <f t="shared" si="21"/>
        <v>801</v>
      </c>
      <c r="AF99" s="908">
        <f t="shared" si="22"/>
        <v>22</v>
      </c>
      <c r="AG99" s="909">
        <f t="shared" si="23"/>
        <v>21</v>
      </c>
      <c r="AH99" s="907">
        <f t="shared" si="24"/>
        <v>1953</v>
      </c>
      <c r="AI99" s="908">
        <f t="shared" si="25"/>
        <v>106</v>
      </c>
      <c r="AJ99" s="909">
        <f t="shared" si="26"/>
        <v>54</v>
      </c>
      <c r="AK99" s="907">
        <f t="shared" si="27"/>
        <v>2577</v>
      </c>
      <c r="AL99" s="908">
        <f t="shared" si="28"/>
        <v>186</v>
      </c>
      <c r="AM99" s="910">
        <f t="shared" si="29"/>
        <v>305</v>
      </c>
    </row>
    <row r="100" spans="1:39">
      <c r="A100" s="775" t="s">
        <v>247</v>
      </c>
      <c r="B100" s="776" t="s">
        <v>248</v>
      </c>
      <c r="C100" s="776" t="s">
        <v>271</v>
      </c>
      <c r="D100" s="777">
        <v>418</v>
      </c>
      <c r="E100" s="778">
        <v>209</v>
      </c>
      <c r="F100" s="778">
        <v>112</v>
      </c>
      <c r="G100" s="778">
        <f t="shared" si="18"/>
        <v>85</v>
      </c>
      <c r="H100" s="779">
        <v>12</v>
      </c>
      <c r="I100" s="780">
        <v>1369</v>
      </c>
      <c r="J100" s="781">
        <v>806</v>
      </c>
      <c r="K100" s="781">
        <v>444</v>
      </c>
      <c r="L100" s="781">
        <f t="shared" si="19"/>
        <v>82</v>
      </c>
      <c r="M100" s="782">
        <v>37</v>
      </c>
      <c r="N100" s="780">
        <v>3091</v>
      </c>
      <c r="O100" s="781">
        <v>1642</v>
      </c>
      <c r="P100" s="781">
        <v>921</v>
      </c>
      <c r="Q100" s="783">
        <f t="shared" si="20"/>
        <v>326</v>
      </c>
      <c r="R100" s="784">
        <v>202</v>
      </c>
      <c r="S100" s="785">
        <v>4878</v>
      </c>
      <c r="T100" s="786"/>
      <c r="U100" s="872">
        <f>ROUND(H100*'Hispanic Adjustment'!P99,0)</f>
        <v>11</v>
      </c>
      <c r="V100" s="756">
        <f>ROUND(H100*'Hispanic Adjustment'!Q99,0)</f>
        <v>1</v>
      </c>
      <c r="W100" s="873">
        <f>ROUND(H100*'Hispanic Adjustment'!R99,0)</f>
        <v>0</v>
      </c>
      <c r="X100" s="872">
        <f>ROUND(M100*'Hispanic Adjustment'!S99,0)</f>
        <v>32</v>
      </c>
      <c r="Y100" s="756">
        <f>ROUND(M100*'Hispanic Adjustment'!T99,0)</f>
        <v>3</v>
      </c>
      <c r="Z100" s="873">
        <f>ROUND(M100*'Hispanic Adjustment'!U99,0)</f>
        <v>3</v>
      </c>
      <c r="AA100" s="872">
        <f>ROUND(R100*'Hispanic Adjustment'!V99,0)</f>
        <v>163</v>
      </c>
      <c r="AB100" s="756">
        <f>ROUND(R100*'Hispanic Adjustment'!W99,0)</f>
        <v>23</v>
      </c>
      <c r="AC100" s="873">
        <f>ROUND(R100*'Hispanic Adjustment'!X99,0)</f>
        <v>16</v>
      </c>
      <c r="AE100" s="907">
        <f t="shared" si="21"/>
        <v>220</v>
      </c>
      <c r="AF100" s="908">
        <f t="shared" si="22"/>
        <v>113</v>
      </c>
      <c r="AG100" s="909">
        <f t="shared" si="23"/>
        <v>85</v>
      </c>
      <c r="AH100" s="907">
        <f t="shared" si="24"/>
        <v>838</v>
      </c>
      <c r="AI100" s="908">
        <f t="shared" si="25"/>
        <v>447</v>
      </c>
      <c r="AJ100" s="909">
        <f t="shared" si="26"/>
        <v>85</v>
      </c>
      <c r="AK100" s="907">
        <f t="shared" si="27"/>
        <v>1805</v>
      </c>
      <c r="AL100" s="908">
        <f t="shared" si="28"/>
        <v>944</v>
      </c>
      <c r="AM100" s="910">
        <f t="shared" si="29"/>
        <v>342</v>
      </c>
    </row>
    <row r="101" spans="1:39">
      <c r="A101" s="775" t="s">
        <v>14</v>
      </c>
      <c r="B101" s="776" t="s">
        <v>15</v>
      </c>
      <c r="C101" s="776" t="s">
        <v>274</v>
      </c>
      <c r="D101" s="777">
        <v>1479</v>
      </c>
      <c r="E101" s="778">
        <v>400</v>
      </c>
      <c r="F101" s="778">
        <v>635</v>
      </c>
      <c r="G101" s="778">
        <f t="shared" si="18"/>
        <v>295</v>
      </c>
      <c r="H101" s="779">
        <v>149</v>
      </c>
      <c r="I101" s="780">
        <v>2772</v>
      </c>
      <c r="J101" s="781">
        <v>525</v>
      </c>
      <c r="K101" s="781">
        <v>1718</v>
      </c>
      <c r="L101" s="781">
        <f t="shared" si="19"/>
        <v>240</v>
      </c>
      <c r="M101" s="782">
        <v>289</v>
      </c>
      <c r="N101" s="780">
        <v>9115</v>
      </c>
      <c r="O101" s="781">
        <v>426</v>
      </c>
      <c r="P101" s="781">
        <v>3380</v>
      </c>
      <c r="Q101" s="783">
        <f t="shared" si="20"/>
        <v>1187</v>
      </c>
      <c r="R101" s="784">
        <v>4122</v>
      </c>
      <c r="S101" s="785">
        <v>13366</v>
      </c>
      <c r="T101" s="786"/>
      <c r="U101" s="872">
        <f>ROUND(H101*'Hispanic Adjustment'!P100,0)</f>
        <v>136</v>
      </c>
      <c r="V101" s="756">
        <f>ROUND(H101*'Hispanic Adjustment'!Q100,0)</f>
        <v>8</v>
      </c>
      <c r="W101" s="873">
        <f>ROUND(H101*'Hispanic Adjustment'!R100,0)</f>
        <v>5</v>
      </c>
      <c r="X101" s="872">
        <f>ROUND(M101*'Hispanic Adjustment'!S100,0)</f>
        <v>252</v>
      </c>
      <c r="Y101" s="756">
        <f>ROUND(M101*'Hispanic Adjustment'!T100,0)</f>
        <v>20</v>
      </c>
      <c r="Z101" s="873">
        <f>ROUND(M101*'Hispanic Adjustment'!U100,0)</f>
        <v>17</v>
      </c>
      <c r="AA101" s="872">
        <f>ROUND(R101*'Hispanic Adjustment'!V100,0)</f>
        <v>3561</v>
      </c>
      <c r="AB101" s="756">
        <f>ROUND(R101*'Hispanic Adjustment'!W100,0)</f>
        <v>330</v>
      </c>
      <c r="AC101" s="873">
        <f>ROUND(R101*'Hispanic Adjustment'!X100,0)</f>
        <v>231</v>
      </c>
      <c r="AE101" s="907">
        <f t="shared" si="21"/>
        <v>536</v>
      </c>
      <c r="AF101" s="908">
        <f t="shared" si="22"/>
        <v>643</v>
      </c>
      <c r="AG101" s="909">
        <f t="shared" si="23"/>
        <v>300</v>
      </c>
      <c r="AH101" s="907">
        <f t="shared" si="24"/>
        <v>777</v>
      </c>
      <c r="AI101" s="908">
        <f t="shared" si="25"/>
        <v>1738</v>
      </c>
      <c r="AJ101" s="909">
        <f t="shared" si="26"/>
        <v>257</v>
      </c>
      <c r="AK101" s="907">
        <f t="shared" si="27"/>
        <v>3987</v>
      </c>
      <c r="AL101" s="908">
        <f t="shared" si="28"/>
        <v>3710</v>
      </c>
      <c r="AM101" s="910">
        <f t="shared" si="29"/>
        <v>1418</v>
      </c>
    </row>
    <row r="102" spans="1:39">
      <c r="A102" s="775" t="s">
        <v>35</v>
      </c>
      <c r="B102" s="776" t="s">
        <v>36</v>
      </c>
      <c r="C102" s="776" t="s">
        <v>275</v>
      </c>
      <c r="D102" s="777">
        <v>568</v>
      </c>
      <c r="E102" s="778">
        <v>525</v>
      </c>
      <c r="F102" s="778">
        <v>34</v>
      </c>
      <c r="G102" s="778">
        <f t="shared" ref="G102:G125" si="30">D102-E102-F102-H102</f>
        <v>7</v>
      </c>
      <c r="H102" s="779">
        <v>2</v>
      </c>
      <c r="I102" s="780">
        <v>2238</v>
      </c>
      <c r="J102" s="781">
        <v>1994</v>
      </c>
      <c r="K102" s="781">
        <v>192</v>
      </c>
      <c r="L102" s="781">
        <f t="shared" ref="L102:L125" si="31">I102-J102-K102-M102</f>
        <v>39</v>
      </c>
      <c r="M102" s="782">
        <v>13</v>
      </c>
      <c r="N102" s="780">
        <v>2898</v>
      </c>
      <c r="O102" s="781">
        <v>2229</v>
      </c>
      <c r="P102" s="781">
        <v>325</v>
      </c>
      <c r="Q102" s="783">
        <f t="shared" ref="Q102:Q125" si="32">N102-O102-P102-R102</f>
        <v>261</v>
      </c>
      <c r="R102" s="784">
        <v>83</v>
      </c>
      <c r="S102" s="785">
        <v>5704</v>
      </c>
      <c r="T102" s="786"/>
      <c r="U102" s="872">
        <f>ROUND(H102*'Hispanic Adjustment'!P101,0)</f>
        <v>1</v>
      </c>
      <c r="V102" s="756">
        <f>ROUND(H102*'Hispanic Adjustment'!Q101,0)</f>
        <v>0</v>
      </c>
      <c r="W102" s="873">
        <f>ROUND(H102*'Hispanic Adjustment'!R101,0)</f>
        <v>1</v>
      </c>
      <c r="X102" s="872">
        <f>ROUND(M102*'Hispanic Adjustment'!S101,0)</f>
        <v>11</v>
      </c>
      <c r="Y102" s="756">
        <f>ROUND(M102*'Hispanic Adjustment'!T101,0)</f>
        <v>1</v>
      </c>
      <c r="Z102" s="873">
        <f>ROUND(M102*'Hispanic Adjustment'!U101,0)</f>
        <v>1</v>
      </c>
      <c r="AA102" s="872">
        <f>ROUND(R102*'Hispanic Adjustment'!V101,0)</f>
        <v>72</v>
      </c>
      <c r="AB102" s="756">
        <f>ROUND(R102*'Hispanic Adjustment'!W101,0)</f>
        <v>8</v>
      </c>
      <c r="AC102" s="873">
        <f>ROUND(R102*'Hispanic Adjustment'!X101,0)</f>
        <v>3</v>
      </c>
      <c r="AE102" s="907">
        <f t="shared" si="21"/>
        <v>526</v>
      </c>
      <c r="AF102" s="908">
        <f t="shared" si="22"/>
        <v>34</v>
      </c>
      <c r="AG102" s="909">
        <f t="shared" si="23"/>
        <v>8</v>
      </c>
      <c r="AH102" s="907">
        <f t="shared" si="24"/>
        <v>2005</v>
      </c>
      <c r="AI102" s="908">
        <f t="shared" si="25"/>
        <v>193</v>
      </c>
      <c r="AJ102" s="909">
        <f t="shared" si="26"/>
        <v>40</v>
      </c>
      <c r="AK102" s="907">
        <f t="shared" si="27"/>
        <v>2301</v>
      </c>
      <c r="AL102" s="908">
        <f t="shared" si="28"/>
        <v>333</v>
      </c>
      <c r="AM102" s="910">
        <f t="shared" si="29"/>
        <v>264</v>
      </c>
    </row>
    <row r="103" spans="1:39">
      <c r="A103" s="775" t="s">
        <v>53</v>
      </c>
      <c r="B103" s="776" t="s">
        <v>54</v>
      </c>
      <c r="C103" s="776" t="s">
        <v>272</v>
      </c>
      <c r="D103" s="777">
        <v>605</v>
      </c>
      <c r="E103" s="778">
        <v>306</v>
      </c>
      <c r="F103" s="778">
        <v>259</v>
      </c>
      <c r="G103" s="778">
        <f t="shared" si="30"/>
        <v>35</v>
      </c>
      <c r="H103" s="779">
        <v>5</v>
      </c>
      <c r="I103" s="780">
        <v>2606</v>
      </c>
      <c r="J103" s="781">
        <v>994</v>
      </c>
      <c r="K103" s="781">
        <v>1344</v>
      </c>
      <c r="L103" s="781">
        <f t="shared" si="31"/>
        <v>218</v>
      </c>
      <c r="M103" s="782">
        <v>50</v>
      </c>
      <c r="N103" s="780">
        <v>3897</v>
      </c>
      <c r="O103" s="781">
        <v>789</v>
      </c>
      <c r="P103" s="781">
        <v>2235</v>
      </c>
      <c r="Q103" s="783">
        <f t="shared" si="32"/>
        <v>490</v>
      </c>
      <c r="R103" s="784">
        <v>383</v>
      </c>
      <c r="S103" s="785">
        <v>7108</v>
      </c>
      <c r="T103" s="786"/>
      <c r="U103" s="872">
        <f>ROUND(H103*'Hispanic Adjustment'!P102,0)</f>
        <v>4</v>
      </c>
      <c r="V103" s="756">
        <f>ROUND(H103*'Hispanic Adjustment'!Q102,0)</f>
        <v>0</v>
      </c>
      <c r="W103" s="873">
        <f>ROUND(H103*'Hispanic Adjustment'!R102,0)</f>
        <v>0</v>
      </c>
      <c r="X103" s="872">
        <f>ROUND(M103*'Hispanic Adjustment'!S102,0)</f>
        <v>42</v>
      </c>
      <c r="Y103" s="756">
        <f>ROUND(M103*'Hispanic Adjustment'!T102,0)</f>
        <v>4</v>
      </c>
      <c r="Z103" s="873">
        <f>ROUND(M103*'Hispanic Adjustment'!U102,0)</f>
        <v>3</v>
      </c>
      <c r="AA103" s="872">
        <f>ROUND(R103*'Hispanic Adjustment'!V102,0)</f>
        <v>315</v>
      </c>
      <c r="AB103" s="756">
        <f>ROUND(R103*'Hispanic Adjustment'!W102,0)</f>
        <v>49</v>
      </c>
      <c r="AC103" s="873">
        <f>ROUND(R103*'Hispanic Adjustment'!X102,0)</f>
        <v>19</v>
      </c>
      <c r="AE103" s="907">
        <f t="shared" si="21"/>
        <v>310</v>
      </c>
      <c r="AF103" s="908">
        <f t="shared" si="22"/>
        <v>259</v>
      </c>
      <c r="AG103" s="909">
        <f t="shared" si="23"/>
        <v>35</v>
      </c>
      <c r="AH103" s="907">
        <f t="shared" si="24"/>
        <v>1036</v>
      </c>
      <c r="AI103" s="908">
        <f t="shared" si="25"/>
        <v>1348</v>
      </c>
      <c r="AJ103" s="909">
        <f t="shared" si="26"/>
        <v>221</v>
      </c>
      <c r="AK103" s="907">
        <f t="shared" si="27"/>
        <v>1104</v>
      </c>
      <c r="AL103" s="908">
        <f t="shared" si="28"/>
        <v>2284</v>
      </c>
      <c r="AM103" s="910">
        <f t="shared" si="29"/>
        <v>509</v>
      </c>
    </row>
    <row r="104" spans="1:39">
      <c r="A104" s="775" t="s">
        <v>55</v>
      </c>
      <c r="B104" s="776" t="s">
        <v>56</v>
      </c>
      <c r="C104" s="776" t="s">
        <v>271</v>
      </c>
      <c r="D104" s="777">
        <v>2059</v>
      </c>
      <c r="E104" s="778">
        <v>886</v>
      </c>
      <c r="F104" s="778">
        <v>950</v>
      </c>
      <c r="G104" s="778">
        <f t="shared" si="30"/>
        <v>196</v>
      </c>
      <c r="H104" s="779">
        <v>27</v>
      </c>
      <c r="I104" s="780">
        <v>8832</v>
      </c>
      <c r="J104" s="781">
        <v>3176</v>
      </c>
      <c r="K104" s="781">
        <v>5134</v>
      </c>
      <c r="L104" s="781">
        <f t="shared" si="31"/>
        <v>318</v>
      </c>
      <c r="M104" s="782">
        <v>204</v>
      </c>
      <c r="N104" s="780">
        <v>18359</v>
      </c>
      <c r="O104" s="781">
        <v>4839</v>
      </c>
      <c r="P104" s="781">
        <v>10708</v>
      </c>
      <c r="Q104" s="783">
        <f t="shared" si="32"/>
        <v>1798</v>
      </c>
      <c r="R104" s="784">
        <v>1014</v>
      </c>
      <c r="S104" s="785">
        <v>29250</v>
      </c>
      <c r="T104" s="786"/>
      <c r="U104" s="872">
        <f>ROUND(H104*'Hispanic Adjustment'!P103,0)</f>
        <v>21</v>
      </c>
      <c r="V104" s="756">
        <f>ROUND(H104*'Hispanic Adjustment'!Q103,0)</f>
        <v>5</v>
      </c>
      <c r="W104" s="873">
        <f>ROUND(H104*'Hispanic Adjustment'!R103,0)</f>
        <v>1</v>
      </c>
      <c r="X104" s="872">
        <f>ROUND(M104*'Hispanic Adjustment'!S103,0)</f>
        <v>157</v>
      </c>
      <c r="Y104" s="756">
        <f>ROUND(M104*'Hispanic Adjustment'!T103,0)</f>
        <v>33</v>
      </c>
      <c r="Z104" s="873">
        <f>ROUND(M104*'Hispanic Adjustment'!U103,0)</f>
        <v>14</v>
      </c>
      <c r="AA104" s="872">
        <f>ROUND(R104*'Hispanic Adjustment'!V103,0)</f>
        <v>737</v>
      </c>
      <c r="AB104" s="756">
        <f>ROUND(R104*'Hispanic Adjustment'!W103,0)</f>
        <v>208</v>
      </c>
      <c r="AC104" s="873">
        <f>ROUND(R104*'Hispanic Adjustment'!X103,0)</f>
        <v>69</v>
      </c>
      <c r="AE104" s="907">
        <f t="shared" si="21"/>
        <v>907</v>
      </c>
      <c r="AF104" s="908">
        <f t="shared" si="22"/>
        <v>955</v>
      </c>
      <c r="AG104" s="909">
        <f t="shared" si="23"/>
        <v>197</v>
      </c>
      <c r="AH104" s="907">
        <f t="shared" si="24"/>
        <v>3333</v>
      </c>
      <c r="AI104" s="908">
        <f t="shared" si="25"/>
        <v>5167</v>
      </c>
      <c r="AJ104" s="909">
        <f t="shared" si="26"/>
        <v>332</v>
      </c>
      <c r="AK104" s="907">
        <f t="shared" si="27"/>
        <v>5576</v>
      </c>
      <c r="AL104" s="908">
        <f t="shared" si="28"/>
        <v>10916</v>
      </c>
      <c r="AM104" s="910">
        <f t="shared" si="29"/>
        <v>1867</v>
      </c>
    </row>
    <row r="105" spans="1:39">
      <c r="A105" s="775" t="s">
        <v>67</v>
      </c>
      <c r="B105" s="776" t="s">
        <v>68</v>
      </c>
      <c r="C105" s="776" t="s">
        <v>272</v>
      </c>
      <c r="D105" s="777">
        <v>1843</v>
      </c>
      <c r="E105" s="778">
        <v>868</v>
      </c>
      <c r="F105" s="778">
        <v>933</v>
      </c>
      <c r="G105" s="778">
        <f t="shared" si="30"/>
        <v>42</v>
      </c>
      <c r="H105" s="779">
        <v>0</v>
      </c>
      <c r="I105" s="780">
        <v>5432</v>
      </c>
      <c r="J105" s="781">
        <v>1645</v>
      </c>
      <c r="K105" s="781">
        <v>3550</v>
      </c>
      <c r="L105" s="781">
        <f t="shared" si="31"/>
        <v>158</v>
      </c>
      <c r="M105" s="782">
        <v>79</v>
      </c>
      <c r="N105" s="780">
        <v>7977</v>
      </c>
      <c r="O105" s="781">
        <v>1499</v>
      </c>
      <c r="P105" s="781">
        <v>5313</v>
      </c>
      <c r="Q105" s="783">
        <f t="shared" si="32"/>
        <v>651</v>
      </c>
      <c r="R105" s="784">
        <v>514</v>
      </c>
      <c r="S105" s="785">
        <v>15252</v>
      </c>
      <c r="T105" s="786"/>
      <c r="U105" s="872">
        <f>ROUND(H105*'Hispanic Adjustment'!P104,0)</f>
        <v>0</v>
      </c>
      <c r="V105" s="756">
        <f>ROUND(H105*'Hispanic Adjustment'!Q104,0)</f>
        <v>0</v>
      </c>
      <c r="W105" s="873">
        <f>ROUND(H105*'Hispanic Adjustment'!R104,0)</f>
        <v>0</v>
      </c>
      <c r="X105" s="872">
        <f>ROUND(M105*'Hispanic Adjustment'!S104,0)</f>
        <v>64</v>
      </c>
      <c r="Y105" s="756">
        <f>ROUND(M105*'Hispanic Adjustment'!T104,0)</f>
        <v>9</v>
      </c>
      <c r="Z105" s="873">
        <f>ROUND(M105*'Hispanic Adjustment'!U104,0)</f>
        <v>6</v>
      </c>
      <c r="AA105" s="872">
        <f>ROUND(R105*'Hispanic Adjustment'!V104,0)</f>
        <v>427</v>
      </c>
      <c r="AB105" s="756">
        <f>ROUND(R105*'Hispanic Adjustment'!W104,0)</f>
        <v>61</v>
      </c>
      <c r="AC105" s="873">
        <f>ROUND(R105*'Hispanic Adjustment'!X104,0)</f>
        <v>26</v>
      </c>
      <c r="AE105" s="907">
        <f t="shared" si="21"/>
        <v>868</v>
      </c>
      <c r="AF105" s="908">
        <f t="shared" si="22"/>
        <v>933</v>
      </c>
      <c r="AG105" s="909">
        <f t="shared" si="23"/>
        <v>42</v>
      </c>
      <c r="AH105" s="907">
        <f t="shared" si="24"/>
        <v>1709</v>
      </c>
      <c r="AI105" s="908">
        <f t="shared" si="25"/>
        <v>3559</v>
      </c>
      <c r="AJ105" s="909">
        <f t="shared" si="26"/>
        <v>164</v>
      </c>
      <c r="AK105" s="907">
        <f t="shared" si="27"/>
        <v>1926</v>
      </c>
      <c r="AL105" s="908">
        <f t="shared" si="28"/>
        <v>5374</v>
      </c>
      <c r="AM105" s="910">
        <f t="shared" si="29"/>
        <v>677</v>
      </c>
    </row>
    <row r="106" spans="1:39">
      <c r="A106" s="775" t="s">
        <v>83</v>
      </c>
      <c r="B106" s="776" t="s">
        <v>84</v>
      </c>
      <c r="C106" s="776" t="s">
        <v>271</v>
      </c>
      <c r="D106" s="777">
        <v>291</v>
      </c>
      <c r="E106" s="778">
        <v>44</v>
      </c>
      <c r="F106" s="778">
        <v>237</v>
      </c>
      <c r="G106" s="778">
        <f t="shared" si="30"/>
        <v>10</v>
      </c>
      <c r="H106" s="779">
        <v>0</v>
      </c>
      <c r="I106" s="780">
        <v>1072</v>
      </c>
      <c r="J106" s="781">
        <v>123</v>
      </c>
      <c r="K106" s="781">
        <v>910</v>
      </c>
      <c r="L106" s="781">
        <f t="shared" si="31"/>
        <v>34</v>
      </c>
      <c r="M106" s="782">
        <v>5</v>
      </c>
      <c r="N106" s="780">
        <v>1696</v>
      </c>
      <c r="O106" s="781">
        <v>155</v>
      </c>
      <c r="P106" s="781">
        <v>1348</v>
      </c>
      <c r="Q106" s="783">
        <f t="shared" si="32"/>
        <v>182</v>
      </c>
      <c r="R106" s="784">
        <v>11</v>
      </c>
      <c r="S106" s="785">
        <v>3059</v>
      </c>
      <c r="T106" s="786"/>
      <c r="U106" s="872">
        <f>ROUND(H106*'Hispanic Adjustment'!P105,0)</f>
        <v>0</v>
      </c>
      <c r="V106" s="756">
        <f>ROUND(H106*'Hispanic Adjustment'!Q105,0)</f>
        <v>0</v>
      </c>
      <c r="W106" s="873">
        <f>ROUND(H106*'Hispanic Adjustment'!R105,0)</f>
        <v>0</v>
      </c>
      <c r="X106" s="872">
        <f>ROUND(M106*'Hispanic Adjustment'!S105,0)</f>
        <v>4</v>
      </c>
      <c r="Y106" s="756">
        <f>ROUND(M106*'Hispanic Adjustment'!T105,0)</f>
        <v>1</v>
      </c>
      <c r="Z106" s="873">
        <f>ROUND(M106*'Hispanic Adjustment'!U105,0)</f>
        <v>0</v>
      </c>
      <c r="AA106" s="872">
        <f>ROUND(R106*'Hispanic Adjustment'!V105,0)</f>
        <v>8</v>
      </c>
      <c r="AB106" s="756">
        <f>ROUND(R106*'Hispanic Adjustment'!W105,0)</f>
        <v>3</v>
      </c>
      <c r="AC106" s="873">
        <f>ROUND(R106*'Hispanic Adjustment'!X105,0)</f>
        <v>0</v>
      </c>
      <c r="AE106" s="907">
        <f t="shared" si="21"/>
        <v>44</v>
      </c>
      <c r="AF106" s="908">
        <f t="shared" si="22"/>
        <v>237</v>
      </c>
      <c r="AG106" s="909">
        <f t="shared" si="23"/>
        <v>10</v>
      </c>
      <c r="AH106" s="907">
        <f t="shared" si="24"/>
        <v>127</v>
      </c>
      <c r="AI106" s="908">
        <f t="shared" si="25"/>
        <v>911</v>
      </c>
      <c r="AJ106" s="909">
        <f t="shared" si="26"/>
        <v>34</v>
      </c>
      <c r="AK106" s="907">
        <f t="shared" si="27"/>
        <v>163</v>
      </c>
      <c r="AL106" s="908">
        <f t="shared" si="28"/>
        <v>1351</v>
      </c>
      <c r="AM106" s="910">
        <f t="shared" si="29"/>
        <v>182</v>
      </c>
    </row>
    <row r="107" spans="1:39">
      <c r="A107" s="775" t="s">
        <v>89</v>
      </c>
      <c r="B107" s="776" t="s">
        <v>90</v>
      </c>
      <c r="C107" s="776" t="s">
        <v>274</v>
      </c>
      <c r="D107" s="777">
        <v>381</v>
      </c>
      <c r="E107" s="778">
        <v>206</v>
      </c>
      <c r="F107" s="778">
        <v>140</v>
      </c>
      <c r="G107" s="778">
        <f t="shared" si="30"/>
        <v>23</v>
      </c>
      <c r="H107" s="779">
        <v>12</v>
      </c>
      <c r="I107" s="780">
        <v>1722</v>
      </c>
      <c r="J107" s="781">
        <v>770</v>
      </c>
      <c r="K107" s="781">
        <v>789</v>
      </c>
      <c r="L107" s="781">
        <f t="shared" si="31"/>
        <v>89</v>
      </c>
      <c r="M107" s="782">
        <v>74</v>
      </c>
      <c r="N107" s="780">
        <v>3486</v>
      </c>
      <c r="O107" s="781">
        <v>784</v>
      </c>
      <c r="P107" s="781">
        <v>1576</v>
      </c>
      <c r="Q107" s="783">
        <f t="shared" si="32"/>
        <v>484</v>
      </c>
      <c r="R107" s="784">
        <v>642</v>
      </c>
      <c r="S107" s="785">
        <v>5589</v>
      </c>
      <c r="T107" s="786"/>
      <c r="U107" s="872">
        <f>ROUND(H107*'Hispanic Adjustment'!P106,0)</f>
        <v>11</v>
      </c>
      <c r="V107" s="756">
        <f>ROUND(H107*'Hispanic Adjustment'!Q106,0)</f>
        <v>0</v>
      </c>
      <c r="W107" s="873">
        <f>ROUND(H107*'Hispanic Adjustment'!R106,0)</f>
        <v>1</v>
      </c>
      <c r="X107" s="872">
        <f>ROUND(M107*'Hispanic Adjustment'!S106,0)</f>
        <v>60</v>
      </c>
      <c r="Y107" s="756">
        <f>ROUND(M107*'Hispanic Adjustment'!T106,0)</f>
        <v>8</v>
      </c>
      <c r="Z107" s="873">
        <f>ROUND(M107*'Hispanic Adjustment'!U106,0)</f>
        <v>6</v>
      </c>
      <c r="AA107" s="872">
        <f>ROUND(R107*'Hispanic Adjustment'!V106,0)</f>
        <v>496</v>
      </c>
      <c r="AB107" s="756">
        <f>ROUND(R107*'Hispanic Adjustment'!W106,0)</f>
        <v>97</v>
      </c>
      <c r="AC107" s="873">
        <f>ROUND(R107*'Hispanic Adjustment'!X106,0)</f>
        <v>49</v>
      </c>
      <c r="AE107" s="907">
        <f t="shared" si="21"/>
        <v>217</v>
      </c>
      <c r="AF107" s="908">
        <f t="shared" si="22"/>
        <v>140</v>
      </c>
      <c r="AG107" s="909">
        <f t="shared" si="23"/>
        <v>24</v>
      </c>
      <c r="AH107" s="907">
        <f t="shared" si="24"/>
        <v>830</v>
      </c>
      <c r="AI107" s="908">
        <f t="shared" si="25"/>
        <v>797</v>
      </c>
      <c r="AJ107" s="909">
        <f t="shared" si="26"/>
        <v>95</v>
      </c>
      <c r="AK107" s="907">
        <f t="shared" si="27"/>
        <v>1280</v>
      </c>
      <c r="AL107" s="908">
        <f t="shared" si="28"/>
        <v>1673</v>
      </c>
      <c r="AM107" s="910">
        <f t="shared" si="29"/>
        <v>533</v>
      </c>
    </row>
    <row r="108" spans="1:39">
      <c r="A108" s="775" t="s">
        <v>91</v>
      </c>
      <c r="B108" s="776" t="s">
        <v>92</v>
      </c>
      <c r="C108" s="776" t="s">
        <v>275</v>
      </c>
      <c r="D108" s="777">
        <v>350</v>
      </c>
      <c r="E108" s="778">
        <v>319</v>
      </c>
      <c r="F108" s="778">
        <v>23</v>
      </c>
      <c r="G108" s="778">
        <f t="shared" si="30"/>
        <v>5</v>
      </c>
      <c r="H108" s="779">
        <v>3</v>
      </c>
      <c r="I108" s="780">
        <v>776</v>
      </c>
      <c r="J108" s="781">
        <v>661</v>
      </c>
      <c r="K108" s="781">
        <v>90</v>
      </c>
      <c r="L108" s="781">
        <f t="shared" si="31"/>
        <v>11</v>
      </c>
      <c r="M108" s="782">
        <v>14</v>
      </c>
      <c r="N108" s="780">
        <v>1249</v>
      </c>
      <c r="O108" s="781">
        <v>661</v>
      </c>
      <c r="P108" s="781">
        <v>140</v>
      </c>
      <c r="Q108" s="783">
        <f t="shared" si="32"/>
        <v>55</v>
      </c>
      <c r="R108" s="784">
        <v>393</v>
      </c>
      <c r="S108" s="785">
        <v>2375</v>
      </c>
      <c r="T108" s="786"/>
      <c r="U108" s="872">
        <f>ROUND(H108*'Hispanic Adjustment'!P107,0)</f>
        <v>2</v>
      </c>
      <c r="V108" s="756">
        <f>ROUND(H108*'Hispanic Adjustment'!Q107,0)</f>
        <v>1</v>
      </c>
      <c r="W108" s="873">
        <f>ROUND(H108*'Hispanic Adjustment'!R107,0)</f>
        <v>0</v>
      </c>
      <c r="X108" s="872">
        <f>ROUND(M108*'Hispanic Adjustment'!S107,0)</f>
        <v>13</v>
      </c>
      <c r="Y108" s="756">
        <f>ROUND(M108*'Hispanic Adjustment'!T107,0)</f>
        <v>0</v>
      </c>
      <c r="Z108" s="873">
        <f>ROUND(M108*'Hispanic Adjustment'!U107,0)</f>
        <v>1</v>
      </c>
      <c r="AA108" s="872">
        <f>ROUND(R108*'Hispanic Adjustment'!V107,0)</f>
        <v>352</v>
      </c>
      <c r="AB108" s="756">
        <f>ROUND(R108*'Hispanic Adjustment'!W107,0)</f>
        <v>33</v>
      </c>
      <c r="AC108" s="873">
        <f>ROUND(R108*'Hispanic Adjustment'!X107,0)</f>
        <v>8</v>
      </c>
      <c r="AE108" s="907">
        <f t="shared" si="21"/>
        <v>321</v>
      </c>
      <c r="AF108" s="908">
        <f t="shared" si="22"/>
        <v>24</v>
      </c>
      <c r="AG108" s="909">
        <f t="shared" si="23"/>
        <v>5</v>
      </c>
      <c r="AH108" s="907">
        <f t="shared" si="24"/>
        <v>674</v>
      </c>
      <c r="AI108" s="908">
        <f t="shared" si="25"/>
        <v>90</v>
      </c>
      <c r="AJ108" s="909">
        <f t="shared" si="26"/>
        <v>12</v>
      </c>
      <c r="AK108" s="907">
        <f t="shared" si="27"/>
        <v>1013</v>
      </c>
      <c r="AL108" s="908">
        <f t="shared" si="28"/>
        <v>173</v>
      </c>
      <c r="AM108" s="910">
        <f t="shared" si="29"/>
        <v>63</v>
      </c>
    </row>
    <row r="109" spans="1:39">
      <c r="A109" s="775" t="s">
        <v>107</v>
      </c>
      <c r="B109" s="776" t="s">
        <v>108</v>
      </c>
      <c r="C109" s="776" t="s">
        <v>271</v>
      </c>
      <c r="D109" s="777">
        <v>1603</v>
      </c>
      <c r="E109" s="778">
        <v>425</v>
      </c>
      <c r="F109" s="778">
        <v>1022</v>
      </c>
      <c r="G109" s="778">
        <f t="shared" si="30"/>
        <v>122</v>
      </c>
      <c r="H109" s="779">
        <v>34</v>
      </c>
      <c r="I109" s="780">
        <v>8193</v>
      </c>
      <c r="J109" s="781">
        <v>1956</v>
      </c>
      <c r="K109" s="781">
        <v>5634</v>
      </c>
      <c r="L109" s="781">
        <f t="shared" si="31"/>
        <v>399</v>
      </c>
      <c r="M109" s="782">
        <v>204</v>
      </c>
      <c r="N109" s="780">
        <v>16289</v>
      </c>
      <c r="O109" s="781">
        <v>2691</v>
      </c>
      <c r="P109" s="781">
        <v>10948</v>
      </c>
      <c r="Q109" s="783">
        <f t="shared" si="32"/>
        <v>1903</v>
      </c>
      <c r="R109" s="784">
        <v>747</v>
      </c>
      <c r="S109" s="785">
        <v>26085</v>
      </c>
      <c r="T109" s="786"/>
      <c r="U109" s="872">
        <f>ROUND(H109*'Hispanic Adjustment'!P108,0)</f>
        <v>22</v>
      </c>
      <c r="V109" s="756">
        <f>ROUND(H109*'Hispanic Adjustment'!Q108,0)</f>
        <v>11</v>
      </c>
      <c r="W109" s="873">
        <f>ROUND(H109*'Hispanic Adjustment'!R108,0)</f>
        <v>1</v>
      </c>
      <c r="X109" s="872">
        <f>ROUND(M109*'Hispanic Adjustment'!S108,0)</f>
        <v>134</v>
      </c>
      <c r="Y109" s="756">
        <f>ROUND(M109*'Hispanic Adjustment'!T108,0)</f>
        <v>58</v>
      </c>
      <c r="Z109" s="873">
        <f>ROUND(M109*'Hispanic Adjustment'!U108,0)</f>
        <v>13</v>
      </c>
      <c r="AA109" s="872">
        <f>ROUND(R109*'Hispanic Adjustment'!V108,0)</f>
        <v>432</v>
      </c>
      <c r="AB109" s="756">
        <f>ROUND(R109*'Hispanic Adjustment'!W108,0)</f>
        <v>255</v>
      </c>
      <c r="AC109" s="873">
        <f>ROUND(R109*'Hispanic Adjustment'!X108,0)</f>
        <v>59</v>
      </c>
      <c r="AE109" s="907">
        <f t="shared" si="21"/>
        <v>447</v>
      </c>
      <c r="AF109" s="908">
        <f t="shared" si="22"/>
        <v>1033</v>
      </c>
      <c r="AG109" s="909">
        <f t="shared" si="23"/>
        <v>123</v>
      </c>
      <c r="AH109" s="907">
        <f t="shared" si="24"/>
        <v>2090</v>
      </c>
      <c r="AI109" s="908">
        <f t="shared" si="25"/>
        <v>5692</v>
      </c>
      <c r="AJ109" s="909">
        <f t="shared" si="26"/>
        <v>412</v>
      </c>
      <c r="AK109" s="907">
        <f t="shared" si="27"/>
        <v>3123</v>
      </c>
      <c r="AL109" s="908">
        <f t="shared" si="28"/>
        <v>11203</v>
      </c>
      <c r="AM109" s="910">
        <f t="shared" si="29"/>
        <v>1962</v>
      </c>
    </row>
    <row r="110" spans="1:39">
      <c r="A110" s="775" t="s">
        <v>117</v>
      </c>
      <c r="B110" s="776" t="s">
        <v>118</v>
      </c>
      <c r="C110" s="776" t="s">
        <v>273</v>
      </c>
      <c r="D110" s="777">
        <v>424</v>
      </c>
      <c r="E110" s="778">
        <v>214</v>
      </c>
      <c r="F110" s="778">
        <v>191</v>
      </c>
      <c r="G110" s="778">
        <f t="shared" si="30"/>
        <v>15</v>
      </c>
      <c r="H110" s="779">
        <v>4</v>
      </c>
      <c r="I110" s="780">
        <v>2392</v>
      </c>
      <c r="J110" s="781">
        <v>988</v>
      </c>
      <c r="K110" s="781">
        <v>1231</v>
      </c>
      <c r="L110" s="781">
        <f t="shared" si="31"/>
        <v>103</v>
      </c>
      <c r="M110" s="782">
        <v>70</v>
      </c>
      <c r="N110" s="780">
        <v>4557</v>
      </c>
      <c r="O110" s="781">
        <v>1370</v>
      </c>
      <c r="P110" s="781">
        <v>2480</v>
      </c>
      <c r="Q110" s="783">
        <f t="shared" si="32"/>
        <v>401</v>
      </c>
      <c r="R110" s="784">
        <v>306</v>
      </c>
      <c r="S110" s="785">
        <v>7373</v>
      </c>
      <c r="T110" s="786"/>
      <c r="U110" s="872">
        <f>ROUND(H110*'Hispanic Adjustment'!P109,0)</f>
        <v>3</v>
      </c>
      <c r="V110" s="756">
        <f>ROUND(H110*'Hispanic Adjustment'!Q109,0)</f>
        <v>0</v>
      </c>
      <c r="W110" s="873">
        <f>ROUND(H110*'Hispanic Adjustment'!R109,0)</f>
        <v>0</v>
      </c>
      <c r="X110" s="872">
        <f>ROUND(M110*'Hispanic Adjustment'!S109,0)</f>
        <v>51</v>
      </c>
      <c r="Y110" s="756">
        <f>ROUND(M110*'Hispanic Adjustment'!T109,0)</f>
        <v>15</v>
      </c>
      <c r="Z110" s="873">
        <f>ROUND(M110*'Hispanic Adjustment'!U109,0)</f>
        <v>3</v>
      </c>
      <c r="AA110" s="872">
        <f>ROUND(R110*'Hispanic Adjustment'!V109,0)</f>
        <v>217</v>
      </c>
      <c r="AB110" s="756">
        <f>ROUND(R110*'Hispanic Adjustment'!W109,0)</f>
        <v>81</v>
      </c>
      <c r="AC110" s="873">
        <f>ROUND(R110*'Hispanic Adjustment'!X109,0)</f>
        <v>9</v>
      </c>
      <c r="AE110" s="907">
        <f t="shared" si="21"/>
        <v>217</v>
      </c>
      <c r="AF110" s="908">
        <f t="shared" si="22"/>
        <v>191</v>
      </c>
      <c r="AG110" s="909">
        <f t="shared" si="23"/>
        <v>15</v>
      </c>
      <c r="AH110" s="907">
        <f t="shared" si="24"/>
        <v>1039</v>
      </c>
      <c r="AI110" s="908">
        <f t="shared" si="25"/>
        <v>1246</v>
      </c>
      <c r="AJ110" s="909">
        <f t="shared" si="26"/>
        <v>106</v>
      </c>
      <c r="AK110" s="907">
        <f t="shared" si="27"/>
        <v>1587</v>
      </c>
      <c r="AL110" s="908">
        <f t="shared" si="28"/>
        <v>2561</v>
      </c>
      <c r="AM110" s="910">
        <f t="shared" si="29"/>
        <v>410</v>
      </c>
    </row>
    <row r="111" spans="1:39">
      <c r="A111" s="775" t="s">
        <v>139</v>
      </c>
      <c r="B111" s="776" t="s">
        <v>140</v>
      </c>
      <c r="C111" s="776" t="s">
        <v>272</v>
      </c>
      <c r="D111" s="777">
        <v>1474</v>
      </c>
      <c r="E111" s="778">
        <v>729</v>
      </c>
      <c r="F111" s="778">
        <v>693</v>
      </c>
      <c r="G111" s="778">
        <f t="shared" si="30"/>
        <v>49</v>
      </c>
      <c r="H111" s="779">
        <v>3</v>
      </c>
      <c r="I111" s="780">
        <v>5470</v>
      </c>
      <c r="J111" s="781">
        <v>2082</v>
      </c>
      <c r="K111" s="781">
        <v>3133</v>
      </c>
      <c r="L111" s="781">
        <f t="shared" si="31"/>
        <v>194</v>
      </c>
      <c r="M111" s="782">
        <v>61</v>
      </c>
      <c r="N111" s="780">
        <v>9104</v>
      </c>
      <c r="O111" s="781">
        <v>2208</v>
      </c>
      <c r="P111" s="781">
        <v>5409</v>
      </c>
      <c r="Q111" s="783">
        <f t="shared" si="32"/>
        <v>1164</v>
      </c>
      <c r="R111" s="784">
        <v>323</v>
      </c>
      <c r="S111" s="785">
        <v>16048</v>
      </c>
      <c r="T111" s="786"/>
      <c r="U111" s="872">
        <f>ROUND(H111*'Hispanic Adjustment'!P110,0)</f>
        <v>3</v>
      </c>
      <c r="V111" s="756">
        <f>ROUND(H111*'Hispanic Adjustment'!Q110,0)</f>
        <v>0</v>
      </c>
      <c r="W111" s="873">
        <f>ROUND(H111*'Hispanic Adjustment'!R110,0)</f>
        <v>0</v>
      </c>
      <c r="X111" s="872">
        <f>ROUND(M111*'Hispanic Adjustment'!S110,0)</f>
        <v>49</v>
      </c>
      <c r="Y111" s="756">
        <f>ROUND(M111*'Hispanic Adjustment'!T110,0)</f>
        <v>8</v>
      </c>
      <c r="Z111" s="873">
        <f>ROUND(M111*'Hispanic Adjustment'!U110,0)</f>
        <v>4</v>
      </c>
      <c r="AA111" s="872">
        <f>ROUND(R111*'Hispanic Adjustment'!V110,0)</f>
        <v>253</v>
      </c>
      <c r="AB111" s="756">
        <f>ROUND(R111*'Hispanic Adjustment'!W110,0)</f>
        <v>48</v>
      </c>
      <c r="AC111" s="873">
        <f>ROUND(R111*'Hispanic Adjustment'!X110,0)</f>
        <v>22</v>
      </c>
      <c r="AE111" s="907">
        <f t="shared" si="21"/>
        <v>732</v>
      </c>
      <c r="AF111" s="908">
        <f t="shared" si="22"/>
        <v>693</v>
      </c>
      <c r="AG111" s="909">
        <f t="shared" si="23"/>
        <v>49</v>
      </c>
      <c r="AH111" s="907">
        <f t="shared" si="24"/>
        <v>2131</v>
      </c>
      <c r="AI111" s="908">
        <f t="shared" si="25"/>
        <v>3141</v>
      </c>
      <c r="AJ111" s="909">
        <f t="shared" si="26"/>
        <v>198</v>
      </c>
      <c r="AK111" s="907">
        <f t="shared" si="27"/>
        <v>2461</v>
      </c>
      <c r="AL111" s="908">
        <f t="shared" si="28"/>
        <v>5457</v>
      </c>
      <c r="AM111" s="910">
        <f t="shared" si="29"/>
        <v>1186</v>
      </c>
    </row>
    <row r="112" spans="1:39">
      <c r="A112" s="775" t="s">
        <v>143</v>
      </c>
      <c r="B112" s="776" t="s">
        <v>144</v>
      </c>
      <c r="C112" s="776" t="s">
        <v>274</v>
      </c>
      <c r="D112" s="777">
        <v>237</v>
      </c>
      <c r="E112" s="778">
        <v>116</v>
      </c>
      <c r="F112" s="778">
        <v>56</v>
      </c>
      <c r="G112" s="778">
        <f t="shared" si="30"/>
        <v>40</v>
      </c>
      <c r="H112" s="779">
        <v>25</v>
      </c>
      <c r="I112" s="780">
        <v>1034</v>
      </c>
      <c r="J112" s="781">
        <v>439</v>
      </c>
      <c r="K112" s="781">
        <v>342</v>
      </c>
      <c r="L112" s="781">
        <f t="shared" si="31"/>
        <v>84</v>
      </c>
      <c r="M112" s="782">
        <v>169</v>
      </c>
      <c r="N112" s="780">
        <v>5285</v>
      </c>
      <c r="O112" s="781">
        <v>579</v>
      </c>
      <c r="P112" s="781">
        <v>769</v>
      </c>
      <c r="Q112" s="783">
        <f t="shared" si="32"/>
        <v>706</v>
      </c>
      <c r="R112" s="784">
        <v>3231</v>
      </c>
      <c r="S112" s="785">
        <v>6556</v>
      </c>
      <c r="T112" s="786"/>
      <c r="U112" s="872">
        <f>ROUND(H112*'Hispanic Adjustment'!P111,0)</f>
        <v>23</v>
      </c>
      <c r="V112" s="756">
        <f>ROUND(H112*'Hispanic Adjustment'!Q111,0)</f>
        <v>2</v>
      </c>
      <c r="W112" s="873">
        <f>ROUND(H112*'Hispanic Adjustment'!R111,0)</f>
        <v>1</v>
      </c>
      <c r="X112" s="872">
        <f>ROUND(M112*'Hispanic Adjustment'!S111,0)</f>
        <v>153</v>
      </c>
      <c r="Y112" s="756">
        <f>ROUND(M112*'Hispanic Adjustment'!T111,0)</f>
        <v>9</v>
      </c>
      <c r="Z112" s="873">
        <f>ROUND(M112*'Hispanic Adjustment'!U111,0)</f>
        <v>7</v>
      </c>
      <c r="AA112" s="872">
        <f>ROUND(R112*'Hispanic Adjustment'!V111,0)</f>
        <v>2885</v>
      </c>
      <c r="AB112" s="756">
        <f>ROUND(R112*'Hispanic Adjustment'!W111,0)</f>
        <v>212</v>
      </c>
      <c r="AC112" s="873">
        <f>ROUND(R112*'Hispanic Adjustment'!X111,0)</f>
        <v>134</v>
      </c>
      <c r="AE112" s="907">
        <f t="shared" si="21"/>
        <v>139</v>
      </c>
      <c r="AF112" s="908">
        <f t="shared" si="22"/>
        <v>58</v>
      </c>
      <c r="AG112" s="909">
        <f t="shared" si="23"/>
        <v>41</v>
      </c>
      <c r="AH112" s="907">
        <f t="shared" si="24"/>
        <v>592</v>
      </c>
      <c r="AI112" s="908">
        <f t="shared" si="25"/>
        <v>351</v>
      </c>
      <c r="AJ112" s="909">
        <f t="shared" si="26"/>
        <v>91</v>
      </c>
      <c r="AK112" s="907">
        <f t="shared" si="27"/>
        <v>3464</v>
      </c>
      <c r="AL112" s="908">
        <f t="shared" si="28"/>
        <v>981</v>
      </c>
      <c r="AM112" s="910">
        <f t="shared" si="29"/>
        <v>840</v>
      </c>
    </row>
    <row r="113" spans="1:39">
      <c r="A113" s="775" t="s">
        <v>145</v>
      </c>
      <c r="B113" s="776" t="s">
        <v>146</v>
      </c>
      <c r="C113" s="776" t="s">
        <v>274</v>
      </c>
      <c r="D113" s="777">
        <v>111</v>
      </c>
      <c r="E113" s="778">
        <v>55</v>
      </c>
      <c r="F113" s="778">
        <v>30</v>
      </c>
      <c r="G113" s="778">
        <f t="shared" si="30"/>
        <v>16</v>
      </c>
      <c r="H113" s="779">
        <v>10</v>
      </c>
      <c r="I113" s="780">
        <v>339</v>
      </c>
      <c r="J113" s="781">
        <v>179</v>
      </c>
      <c r="K113" s="781">
        <v>69</v>
      </c>
      <c r="L113" s="781">
        <f t="shared" si="31"/>
        <v>25</v>
      </c>
      <c r="M113" s="782">
        <v>66</v>
      </c>
      <c r="N113" s="780">
        <v>1753</v>
      </c>
      <c r="O113" s="781">
        <v>282</v>
      </c>
      <c r="P113" s="781">
        <v>209</v>
      </c>
      <c r="Q113" s="783">
        <f t="shared" si="32"/>
        <v>267</v>
      </c>
      <c r="R113" s="784">
        <v>995</v>
      </c>
      <c r="S113" s="785">
        <v>2203</v>
      </c>
      <c r="T113" s="786"/>
      <c r="U113" s="872">
        <f>ROUND(H113*'Hispanic Adjustment'!P112,0)</f>
        <v>9</v>
      </c>
      <c r="V113" s="756">
        <f>ROUND(H113*'Hispanic Adjustment'!Q112,0)</f>
        <v>0</v>
      </c>
      <c r="W113" s="873">
        <f>ROUND(H113*'Hispanic Adjustment'!R112,0)</f>
        <v>0</v>
      </c>
      <c r="X113" s="872">
        <f>ROUND(M113*'Hispanic Adjustment'!S112,0)</f>
        <v>59</v>
      </c>
      <c r="Y113" s="756">
        <f>ROUND(M113*'Hispanic Adjustment'!T112,0)</f>
        <v>3</v>
      </c>
      <c r="Z113" s="873">
        <f>ROUND(M113*'Hispanic Adjustment'!U112,0)</f>
        <v>3</v>
      </c>
      <c r="AA113" s="872">
        <f>ROUND(R113*'Hispanic Adjustment'!V112,0)</f>
        <v>878</v>
      </c>
      <c r="AB113" s="756">
        <f>ROUND(R113*'Hispanic Adjustment'!W112,0)</f>
        <v>70</v>
      </c>
      <c r="AC113" s="873">
        <f>ROUND(R113*'Hispanic Adjustment'!X112,0)</f>
        <v>47</v>
      </c>
      <c r="AE113" s="907">
        <f t="shared" si="21"/>
        <v>64</v>
      </c>
      <c r="AF113" s="908">
        <f t="shared" si="22"/>
        <v>30</v>
      </c>
      <c r="AG113" s="909">
        <f t="shared" si="23"/>
        <v>16</v>
      </c>
      <c r="AH113" s="907">
        <f t="shared" si="24"/>
        <v>238</v>
      </c>
      <c r="AI113" s="908">
        <f t="shared" si="25"/>
        <v>72</v>
      </c>
      <c r="AJ113" s="909">
        <f t="shared" si="26"/>
        <v>28</v>
      </c>
      <c r="AK113" s="907">
        <f t="shared" si="27"/>
        <v>1160</v>
      </c>
      <c r="AL113" s="908">
        <f t="shared" si="28"/>
        <v>279</v>
      </c>
      <c r="AM113" s="910">
        <f t="shared" si="29"/>
        <v>314</v>
      </c>
    </row>
    <row r="114" spans="1:39">
      <c r="A114" s="775" t="s">
        <v>159</v>
      </c>
      <c r="B114" s="776" t="s">
        <v>160</v>
      </c>
      <c r="C114" s="776" t="s">
        <v>271</v>
      </c>
      <c r="D114" s="777">
        <v>2502</v>
      </c>
      <c r="E114" s="778">
        <v>792</v>
      </c>
      <c r="F114" s="778">
        <v>1453</v>
      </c>
      <c r="G114" s="778">
        <f t="shared" si="30"/>
        <v>189</v>
      </c>
      <c r="H114" s="779">
        <v>68</v>
      </c>
      <c r="I114" s="780">
        <v>12257</v>
      </c>
      <c r="J114" s="781">
        <v>2601</v>
      </c>
      <c r="K114" s="781">
        <v>8498</v>
      </c>
      <c r="L114" s="781">
        <f t="shared" si="31"/>
        <v>666</v>
      </c>
      <c r="M114" s="782">
        <v>492</v>
      </c>
      <c r="N114" s="780">
        <v>25701</v>
      </c>
      <c r="O114" s="781">
        <v>3516</v>
      </c>
      <c r="P114" s="781">
        <v>17130</v>
      </c>
      <c r="Q114" s="783">
        <f t="shared" si="32"/>
        <v>2817</v>
      </c>
      <c r="R114" s="784">
        <v>2238</v>
      </c>
      <c r="S114" s="785">
        <v>40460</v>
      </c>
      <c r="T114" s="786"/>
      <c r="U114" s="872">
        <f>ROUND(H114*'Hispanic Adjustment'!P113,0)</f>
        <v>52</v>
      </c>
      <c r="V114" s="756">
        <f>ROUND(H114*'Hispanic Adjustment'!Q113,0)</f>
        <v>16</v>
      </c>
      <c r="W114" s="873">
        <f>ROUND(H114*'Hispanic Adjustment'!R113,0)</f>
        <v>0</v>
      </c>
      <c r="X114" s="872">
        <f>ROUND(M114*'Hispanic Adjustment'!S113,0)</f>
        <v>413</v>
      </c>
      <c r="Y114" s="756">
        <f>ROUND(M114*'Hispanic Adjustment'!T113,0)</f>
        <v>51</v>
      </c>
      <c r="Z114" s="873">
        <f>ROUND(M114*'Hispanic Adjustment'!U113,0)</f>
        <v>27</v>
      </c>
      <c r="AA114" s="872">
        <f>ROUND(R114*'Hispanic Adjustment'!V113,0)</f>
        <v>1839</v>
      </c>
      <c r="AB114" s="756">
        <f>ROUND(R114*'Hispanic Adjustment'!W113,0)</f>
        <v>282</v>
      </c>
      <c r="AC114" s="873">
        <f>ROUND(R114*'Hispanic Adjustment'!X113,0)</f>
        <v>117</v>
      </c>
      <c r="AE114" s="907">
        <f t="shared" si="21"/>
        <v>844</v>
      </c>
      <c r="AF114" s="908">
        <f t="shared" si="22"/>
        <v>1469</v>
      </c>
      <c r="AG114" s="909">
        <f t="shared" si="23"/>
        <v>189</v>
      </c>
      <c r="AH114" s="907">
        <f t="shared" si="24"/>
        <v>3014</v>
      </c>
      <c r="AI114" s="908">
        <f t="shared" si="25"/>
        <v>8549</v>
      </c>
      <c r="AJ114" s="909">
        <f t="shared" si="26"/>
        <v>693</v>
      </c>
      <c r="AK114" s="907">
        <f t="shared" si="27"/>
        <v>5355</v>
      </c>
      <c r="AL114" s="908">
        <f t="shared" si="28"/>
        <v>17412</v>
      </c>
      <c r="AM114" s="910">
        <f t="shared" si="29"/>
        <v>2934</v>
      </c>
    </row>
    <row r="115" spans="1:39">
      <c r="A115" s="775" t="s">
        <v>161</v>
      </c>
      <c r="B115" s="776" t="s">
        <v>162</v>
      </c>
      <c r="C115" s="776" t="s">
        <v>271</v>
      </c>
      <c r="D115" s="777">
        <v>3871</v>
      </c>
      <c r="E115" s="778">
        <v>981</v>
      </c>
      <c r="F115" s="778">
        <v>2636</v>
      </c>
      <c r="G115" s="778">
        <f t="shared" si="30"/>
        <v>207</v>
      </c>
      <c r="H115" s="779">
        <v>47</v>
      </c>
      <c r="I115" s="780">
        <v>16532</v>
      </c>
      <c r="J115" s="781">
        <v>3221</v>
      </c>
      <c r="K115" s="781">
        <v>12259</v>
      </c>
      <c r="L115" s="781">
        <f t="shared" si="31"/>
        <v>633</v>
      </c>
      <c r="M115" s="782">
        <v>419</v>
      </c>
      <c r="N115" s="780">
        <v>31790</v>
      </c>
      <c r="O115" s="781">
        <v>3734</v>
      </c>
      <c r="P115" s="781">
        <v>23143</v>
      </c>
      <c r="Q115" s="783">
        <f t="shared" si="32"/>
        <v>3127</v>
      </c>
      <c r="R115" s="784">
        <v>1786</v>
      </c>
      <c r="S115" s="785">
        <v>52193</v>
      </c>
      <c r="T115" s="786"/>
      <c r="U115" s="872">
        <f>ROUND(H115*'Hispanic Adjustment'!P114,0)</f>
        <v>36</v>
      </c>
      <c r="V115" s="756">
        <f>ROUND(H115*'Hispanic Adjustment'!Q114,0)</f>
        <v>10</v>
      </c>
      <c r="W115" s="873">
        <f>ROUND(H115*'Hispanic Adjustment'!R114,0)</f>
        <v>1</v>
      </c>
      <c r="X115" s="872">
        <f>ROUND(M115*'Hispanic Adjustment'!S114,0)</f>
        <v>307</v>
      </c>
      <c r="Y115" s="756">
        <f>ROUND(M115*'Hispanic Adjustment'!T114,0)</f>
        <v>87</v>
      </c>
      <c r="Z115" s="873">
        <f>ROUND(M115*'Hispanic Adjustment'!U114,0)</f>
        <v>25</v>
      </c>
      <c r="AA115" s="872">
        <f>ROUND(R115*'Hispanic Adjustment'!V114,0)</f>
        <v>1170</v>
      </c>
      <c r="AB115" s="756">
        <f>ROUND(R115*'Hispanic Adjustment'!W114,0)</f>
        <v>496</v>
      </c>
      <c r="AC115" s="873">
        <f>ROUND(R115*'Hispanic Adjustment'!X114,0)</f>
        <v>120</v>
      </c>
      <c r="AE115" s="907">
        <f t="shared" si="21"/>
        <v>1017</v>
      </c>
      <c r="AF115" s="908">
        <f t="shared" si="22"/>
        <v>2646</v>
      </c>
      <c r="AG115" s="909">
        <f t="shared" si="23"/>
        <v>208</v>
      </c>
      <c r="AH115" s="907">
        <f t="shared" si="24"/>
        <v>3528</v>
      </c>
      <c r="AI115" s="908">
        <f t="shared" si="25"/>
        <v>12346</v>
      </c>
      <c r="AJ115" s="909">
        <f t="shared" si="26"/>
        <v>658</v>
      </c>
      <c r="AK115" s="907">
        <f t="shared" si="27"/>
        <v>4904</v>
      </c>
      <c r="AL115" s="908">
        <f t="shared" si="28"/>
        <v>23639</v>
      </c>
      <c r="AM115" s="910">
        <f t="shared" si="29"/>
        <v>3247</v>
      </c>
    </row>
    <row r="116" spans="1:39">
      <c r="A116" s="775" t="s">
        <v>167</v>
      </c>
      <c r="B116" s="776" t="s">
        <v>168</v>
      </c>
      <c r="C116" s="776" t="s">
        <v>275</v>
      </c>
      <c r="D116" s="777">
        <v>142</v>
      </c>
      <c r="E116" s="778">
        <v>133</v>
      </c>
      <c r="F116" s="778">
        <v>8</v>
      </c>
      <c r="G116" s="778">
        <f t="shared" si="30"/>
        <v>1</v>
      </c>
      <c r="H116" s="779">
        <v>0</v>
      </c>
      <c r="I116" s="780">
        <v>600</v>
      </c>
      <c r="J116" s="781">
        <v>518</v>
      </c>
      <c r="K116" s="781">
        <v>53</v>
      </c>
      <c r="L116" s="781">
        <f t="shared" si="31"/>
        <v>26</v>
      </c>
      <c r="M116" s="782">
        <v>3</v>
      </c>
      <c r="N116" s="780">
        <v>697</v>
      </c>
      <c r="O116" s="781">
        <v>517</v>
      </c>
      <c r="P116" s="781">
        <v>63</v>
      </c>
      <c r="Q116" s="783">
        <f t="shared" si="32"/>
        <v>85</v>
      </c>
      <c r="R116" s="784">
        <v>32</v>
      </c>
      <c r="S116" s="785">
        <v>1439</v>
      </c>
      <c r="T116" s="786"/>
      <c r="U116" s="872">
        <f>ROUND(H116*'Hispanic Adjustment'!P115,0)</f>
        <v>0</v>
      </c>
      <c r="V116" s="756">
        <f>ROUND(H116*'Hispanic Adjustment'!Q115,0)</f>
        <v>0</v>
      </c>
      <c r="W116" s="873">
        <f>ROUND(H116*'Hispanic Adjustment'!R115,0)</f>
        <v>0</v>
      </c>
      <c r="X116" s="872">
        <f>ROUND(M116*'Hispanic Adjustment'!S115,0)</f>
        <v>2</v>
      </c>
      <c r="Y116" s="756">
        <f>ROUND(M116*'Hispanic Adjustment'!T115,0)</f>
        <v>1</v>
      </c>
      <c r="Z116" s="873">
        <f>ROUND(M116*'Hispanic Adjustment'!U115,0)</f>
        <v>0</v>
      </c>
      <c r="AA116" s="872">
        <f>ROUND(R116*'Hispanic Adjustment'!V115,0)</f>
        <v>21</v>
      </c>
      <c r="AB116" s="756">
        <f>ROUND(R116*'Hispanic Adjustment'!W115,0)</f>
        <v>9</v>
      </c>
      <c r="AC116" s="873">
        <f>ROUND(R116*'Hispanic Adjustment'!X115,0)</f>
        <v>2</v>
      </c>
      <c r="AE116" s="907">
        <f t="shared" si="21"/>
        <v>133</v>
      </c>
      <c r="AF116" s="908">
        <f t="shared" si="22"/>
        <v>8</v>
      </c>
      <c r="AG116" s="909">
        <f t="shared" si="23"/>
        <v>1</v>
      </c>
      <c r="AH116" s="907">
        <f t="shared" si="24"/>
        <v>520</v>
      </c>
      <c r="AI116" s="908">
        <f t="shared" si="25"/>
        <v>54</v>
      </c>
      <c r="AJ116" s="909">
        <f t="shared" si="26"/>
        <v>26</v>
      </c>
      <c r="AK116" s="907">
        <f t="shared" si="27"/>
        <v>538</v>
      </c>
      <c r="AL116" s="908">
        <f t="shared" si="28"/>
        <v>72</v>
      </c>
      <c r="AM116" s="910">
        <f t="shared" si="29"/>
        <v>87</v>
      </c>
    </row>
    <row r="117" spans="1:39">
      <c r="A117" s="775" t="s">
        <v>177</v>
      </c>
      <c r="B117" s="776" t="s">
        <v>178</v>
      </c>
      <c r="C117" s="776" t="s">
        <v>273</v>
      </c>
      <c r="D117" s="777">
        <v>997</v>
      </c>
      <c r="E117" s="778">
        <v>115</v>
      </c>
      <c r="F117" s="778">
        <v>860</v>
      </c>
      <c r="G117" s="778">
        <f t="shared" si="30"/>
        <v>19</v>
      </c>
      <c r="H117" s="779">
        <v>3</v>
      </c>
      <c r="I117" s="780">
        <v>4102</v>
      </c>
      <c r="J117" s="781">
        <v>425</v>
      </c>
      <c r="K117" s="781">
        <v>3516</v>
      </c>
      <c r="L117" s="781">
        <f t="shared" si="31"/>
        <v>110</v>
      </c>
      <c r="M117" s="782">
        <v>51</v>
      </c>
      <c r="N117" s="780">
        <v>6553</v>
      </c>
      <c r="O117" s="781">
        <v>345</v>
      </c>
      <c r="P117" s="781">
        <v>5378</v>
      </c>
      <c r="Q117" s="783">
        <f t="shared" si="32"/>
        <v>531</v>
      </c>
      <c r="R117" s="784">
        <v>299</v>
      </c>
      <c r="S117" s="785">
        <v>11652</v>
      </c>
      <c r="T117" s="786"/>
      <c r="U117" s="872">
        <f>ROUND(H117*'Hispanic Adjustment'!P116,0)</f>
        <v>3</v>
      </c>
      <c r="V117" s="756">
        <f>ROUND(H117*'Hispanic Adjustment'!Q116,0)</f>
        <v>0</v>
      </c>
      <c r="W117" s="873">
        <f>ROUND(H117*'Hispanic Adjustment'!R116,0)</f>
        <v>0</v>
      </c>
      <c r="X117" s="872">
        <f>ROUND(M117*'Hispanic Adjustment'!S116,0)</f>
        <v>49</v>
      </c>
      <c r="Y117" s="756">
        <f>ROUND(M117*'Hispanic Adjustment'!T116,0)</f>
        <v>0</v>
      </c>
      <c r="Z117" s="873">
        <f>ROUND(M117*'Hispanic Adjustment'!U116,0)</f>
        <v>2</v>
      </c>
      <c r="AA117" s="872">
        <f>ROUND(R117*'Hispanic Adjustment'!V116,0)</f>
        <v>276</v>
      </c>
      <c r="AB117" s="756">
        <f>ROUND(R117*'Hispanic Adjustment'!W116,0)</f>
        <v>12</v>
      </c>
      <c r="AC117" s="873">
        <f>ROUND(R117*'Hispanic Adjustment'!X116,0)</f>
        <v>12</v>
      </c>
      <c r="AE117" s="907">
        <f t="shared" si="21"/>
        <v>118</v>
      </c>
      <c r="AF117" s="908">
        <f t="shared" si="22"/>
        <v>860</v>
      </c>
      <c r="AG117" s="909">
        <f t="shared" si="23"/>
        <v>19</v>
      </c>
      <c r="AH117" s="907">
        <f t="shared" si="24"/>
        <v>474</v>
      </c>
      <c r="AI117" s="908">
        <f t="shared" si="25"/>
        <v>3516</v>
      </c>
      <c r="AJ117" s="909">
        <f t="shared" si="26"/>
        <v>112</v>
      </c>
      <c r="AK117" s="907">
        <f t="shared" si="27"/>
        <v>621</v>
      </c>
      <c r="AL117" s="908">
        <f t="shared" si="28"/>
        <v>5390</v>
      </c>
      <c r="AM117" s="910">
        <f t="shared" si="29"/>
        <v>543</v>
      </c>
    </row>
    <row r="118" spans="1:39">
      <c r="A118" s="775" t="s">
        <v>181</v>
      </c>
      <c r="B118" s="776" t="s">
        <v>182</v>
      </c>
      <c r="C118" s="776" t="s">
        <v>271</v>
      </c>
      <c r="D118" s="777">
        <v>1831</v>
      </c>
      <c r="E118" s="778">
        <v>427</v>
      </c>
      <c r="F118" s="778">
        <v>1306</v>
      </c>
      <c r="G118" s="778">
        <f t="shared" si="30"/>
        <v>89</v>
      </c>
      <c r="H118" s="779">
        <v>9</v>
      </c>
      <c r="I118" s="780">
        <v>8277</v>
      </c>
      <c r="J118" s="781">
        <v>1581</v>
      </c>
      <c r="K118" s="781">
        <v>6254</v>
      </c>
      <c r="L118" s="781">
        <f t="shared" si="31"/>
        <v>329</v>
      </c>
      <c r="M118" s="782">
        <v>113</v>
      </c>
      <c r="N118" s="780">
        <v>15533</v>
      </c>
      <c r="O118" s="781">
        <v>1940</v>
      </c>
      <c r="P118" s="781">
        <v>11876</v>
      </c>
      <c r="Q118" s="783">
        <f t="shared" si="32"/>
        <v>1320</v>
      </c>
      <c r="R118" s="784">
        <v>397</v>
      </c>
      <c r="S118" s="785">
        <v>25641</v>
      </c>
      <c r="T118" s="786"/>
      <c r="U118" s="872">
        <f>ROUND(H118*'Hispanic Adjustment'!P117,0)</f>
        <v>5</v>
      </c>
      <c r="V118" s="756">
        <f>ROUND(H118*'Hispanic Adjustment'!Q117,0)</f>
        <v>5</v>
      </c>
      <c r="W118" s="873">
        <f>ROUND(H118*'Hispanic Adjustment'!R117,0)</f>
        <v>0</v>
      </c>
      <c r="X118" s="872">
        <f>ROUND(M118*'Hispanic Adjustment'!S117,0)</f>
        <v>74</v>
      </c>
      <c r="Y118" s="756">
        <f>ROUND(M118*'Hispanic Adjustment'!T117,0)</f>
        <v>34</v>
      </c>
      <c r="Z118" s="873">
        <f>ROUND(M118*'Hispanic Adjustment'!U117,0)</f>
        <v>5</v>
      </c>
      <c r="AA118" s="872">
        <f>ROUND(R118*'Hispanic Adjustment'!V117,0)</f>
        <v>247</v>
      </c>
      <c r="AB118" s="756">
        <f>ROUND(R118*'Hispanic Adjustment'!W117,0)</f>
        <v>127</v>
      </c>
      <c r="AC118" s="873">
        <f>ROUND(R118*'Hispanic Adjustment'!X117,0)</f>
        <v>23</v>
      </c>
      <c r="AE118" s="907">
        <f t="shared" si="21"/>
        <v>432</v>
      </c>
      <c r="AF118" s="908">
        <f t="shared" si="22"/>
        <v>1311</v>
      </c>
      <c r="AG118" s="909">
        <f t="shared" si="23"/>
        <v>89</v>
      </c>
      <c r="AH118" s="907">
        <f t="shared" si="24"/>
        <v>1655</v>
      </c>
      <c r="AI118" s="908">
        <f t="shared" si="25"/>
        <v>6288</v>
      </c>
      <c r="AJ118" s="909">
        <f t="shared" si="26"/>
        <v>334</v>
      </c>
      <c r="AK118" s="907">
        <f t="shared" si="27"/>
        <v>2187</v>
      </c>
      <c r="AL118" s="908">
        <f t="shared" si="28"/>
        <v>12003</v>
      </c>
      <c r="AM118" s="910">
        <f t="shared" si="29"/>
        <v>1343</v>
      </c>
    </row>
    <row r="119" spans="1:39">
      <c r="A119" s="775" t="s">
        <v>193</v>
      </c>
      <c r="B119" s="776" t="s">
        <v>194</v>
      </c>
      <c r="C119" s="776" t="s">
        <v>275</v>
      </c>
      <c r="D119" s="777">
        <v>143</v>
      </c>
      <c r="E119" s="778">
        <v>126</v>
      </c>
      <c r="F119" s="778">
        <v>16</v>
      </c>
      <c r="G119" s="778">
        <f t="shared" si="30"/>
        <v>1</v>
      </c>
      <c r="H119" s="779">
        <v>0</v>
      </c>
      <c r="I119" s="780">
        <v>832</v>
      </c>
      <c r="J119" s="781">
        <v>656</v>
      </c>
      <c r="K119" s="781">
        <v>144</v>
      </c>
      <c r="L119" s="781">
        <f t="shared" si="31"/>
        <v>17</v>
      </c>
      <c r="M119" s="782">
        <v>15</v>
      </c>
      <c r="N119" s="780">
        <v>1221</v>
      </c>
      <c r="O119" s="781">
        <v>762</v>
      </c>
      <c r="P119" s="781">
        <v>242</v>
      </c>
      <c r="Q119" s="783">
        <f t="shared" si="32"/>
        <v>155</v>
      </c>
      <c r="R119" s="784">
        <v>62</v>
      </c>
      <c r="S119" s="785">
        <v>2196</v>
      </c>
      <c r="T119" s="786"/>
      <c r="U119" s="872">
        <f>ROUND(H119*'Hispanic Adjustment'!P118,0)</f>
        <v>0</v>
      </c>
      <c r="V119" s="756">
        <f>ROUND(H119*'Hispanic Adjustment'!Q118,0)</f>
        <v>0</v>
      </c>
      <c r="W119" s="873">
        <f>ROUND(H119*'Hispanic Adjustment'!R118,0)</f>
        <v>0</v>
      </c>
      <c r="X119" s="872">
        <f>ROUND(M119*'Hispanic Adjustment'!S118,0)</f>
        <v>10</v>
      </c>
      <c r="Y119" s="756">
        <f>ROUND(M119*'Hispanic Adjustment'!T118,0)</f>
        <v>4</v>
      </c>
      <c r="Z119" s="873">
        <f>ROUND(M119*'Hispanic Adjustment'!U118,0)</f>
        <v>1</v>
      </c>
      <c r="AA119" s="872">
        <f>ROUND(R119*'Hispanic Adjustment'!V118,0)</f>
        <v>38</v>
      </c>
      <c r="AB119" s="756">
        <f>ROUND(R119*'Hispanic Adjustment'!W118,0)</f>
        <v>19</v>
      </c>
      <c r="AC119" s="873">
        <f>ROUND(R119*'Hispanic Adjustment'!X118,0)</f>
        <v>5</v>
      </c>
      <c r="AE119" s="907">
        <f t="shared" si="21"/>
        <v>126</v>
      </c>
      <c r="AF119" s="908">
        <f t="shared" si="22"/>
        <v>16</v>
      </c>
      <c r="AG119" s="909">
        <f t="shared" si="23"/>
        <v>1</v>
      </c>
      <c r="AH119" s="907">
        <f t="shared" si="24"/>
        <v>666</v>
      </c>
      <c r="AI119" s="908">
        <f t="shared" si="25"/>
        <v>148</v>
      </c>
      <c r="AJ119" s="909">
        <f t="shared" si="26"/>
        <v>18</v>
      </c>
      <c r="AK119" s="907">
        <f t="shared" si="27"/>
        <v>800</v>
      </c>
      <c r="AL119" s="908">
        <f t="shared" si="28"/>
        <v>261</v>
      </c>
      <c r="AM119" s="910">
        <f t="shared" si="29"/>
        <v>160</v>
      </c>
    </row>
    <row r="120" spans="1:39">
      <c r="A120" s="775" t="s">
        <v>197</v>
      </c>
      <c r="B120" s="776" t="s">
        <v>198</v>
      </c>
      <c r="C120" s="776" t="s">
        <v>273</v>
      </c>
      <c r="D120" s="777">
        <v>4696</v>
      </c>
      <c r="E120" s="778">
        <v>898</v>
      </c>
      <c r="F120" s="778">
        <v>3516</v>
      </c>
      <c r="G120" s="778">
        <f t="shared" si="30"/>
        <v>256</v>
      </c>
      <c r="H120" s="779">
        <v>26</v>
      </c>
      <c r="I120" s="780">
        <v>17663</v>
      </c>
      <c r="J120" s="781">
        <v>2192</v>
      </c>
      <c r="K120" s="781">
        <v>14517</v>
      </c>
      <c r="L120" s="781">
        <f t="shared" si="31"/>
        <v>705</v>
      </c>
      <c r="M120" s="782">
        <v>249</v>
      </c>
      <c r="N120" s="780">
        <v>32100</v>
      </c>
      <c r="O120" s="781">
        <v>1493</v>
      </c>
      <c r="P120" s="781">
        <v>24374</v>
      </c>
      <c r="Q120" s="783">
        <f t="shared" si="32"/>
        <v>3106</v>
      </c>
      <c r="R120" s="784">
        <v>3127</v>
      </c>
      <c r="S120" s="785">
        <v>54460</v>
      </c>
      <c r="T120" s="786"/>
      <c r="U120" s="872">
        <f>ROUND(H120*'Hispanic Adjustment'!P119,0)</f>
        <v>20</v>
      </c>
      <c r="V120" s="756">
        <f>ROUND(H120*'Hispanic Adjustment'!Q119,0)</f>
        <v>0</v>
      </c>
      <c r="W120" s="873">
        <f>ROUND(H120*'Hispanic Adjustment'!R119,0)</f>
        <v>7</v>
      </c>
      <c r="X120" s="872">
        <f>ROUND(M120*'Hispanic Adjustment'!S119,0)</f>
        <v>213</v>
      </c>
      <c r="Y120" s="756">
        <f>ROUND(M120*'Hispanic Adjustment'!T119,0)</f>
        <v>9</v>
      </c>
      <c r="Z120" s="873">
        <f>ROUND(M120*'Hispanic Adjustment'!U119,0)</f>
        <v>27</v>
      </c>
      <c r="AA120" s="872">
        <f>ROUND(R120*'Hispanic Adjustment'!V119,0)</f>
        <v>2189</v>
      </c>
      <c r="AB120" s="756">
        <f>ROUND(R120*'Hispanic Adjustment'!W119,0)</f>
        <v>678</v>
      </c>
      <c r="AC120" s="873">
        <f>ROUND(R120*'Hispanic Adjustment'!X119,0)</f>
        <v>261</v>
      </c>
      <c r="AE120" s="907">
        <f t="shared" si="21"/>
        <v>918</v>
      </c>
      <c r="AF120" s="908">
        <f t="shared" si="22"/>
        <v>3516</v>
      </c>
      <c r="AG120" s="909">
        <f t="shared" si="23"/>
        <v>263</v>
      </c>
      <c r="AH120" s="907">
        <f t="shared" si="24"/>
        <v>2405</v>
      </c>
      <c r="AI120" s="908">
        <f t="shared" si="25"/>
        <v>14526</v>
      </c>
      <c r="AJ120" s="909">
        <f t="shared" si="26"/>
        <v>732</v>
      </c>
      <c r="AK120" s="907">
        <f t="shared" si="27"/>
        <v>3682</v>
      </c>
      <c r="AL120" s="908">
        <f t="shared" si="28"/>
        <v>25052</v>
      </c>
      <c r="AM120" s="910">
        <f t="shared" si="29"/>
        <v>3367</v>
      </c>
    </row>
    <row r="121" spans="1:39">
      <c r="A121" s="775" t="s">
        <v>201</v>
      </c>
      <c r="B121" s="776" t="s">
        <v>202</v>
      </c>
      <c r="C121" s="776" t="s">
        <v>272</v>
      </c>
      <c r="D121" s="777">
        <v>2254</v>
      </c>
      <c r="E121" s="778">
        <v>1381</v>
      </c>
      <c r="F121" s="778">
        <v>733</v>
      </c>
      <c r="G121" s="778">
        <f t="shared" si="30"/>
        <v>116</v>
      </c>
      <c r="H121" s="779">
        <v>24</v>
      </c>
      <c r="I121" s="780">
        <v>10005</v>
      </c>
      <c r="J121" s="781">
        <v>5385</v>
      </c>
      <c r="K121" s="781">
        <v>4027</v>
      </c>
      <c r="L121" s="781">
        <f t="shared" si="31"/>
        <v>416</v>
      </c>
      <c r="M121" s="782">
        <v>177</v>
      </c>
      <c r="N121" s="780">
        <v>16081</v>
      </c>
      <c r="O121" s="781">
        <v>5688</v>
      </c>
      <c r="P121" s="781">
        <v>7364</v>
      </c>
      <c r="Q121" s="783">
        <f t="shared" si="32"/>
        <v>1478</v>
      </c>
      <c r="R121" s="784">
        <v>1551</v>
      </c>
      <c r="S121" s="785">
        <v>28340</v>
      </c>
      <c r="T121" s="786"/>
      <c r="U121" s="872">
        <f>ROUND(H121*'Hispanic Adjustment'!P120,0)</f>
        <v>17</v>
      </c>
      <c r="V121" s="756">
        <f>ROUND(H121*'Hispanic Adjustment'!Q120,0)</f>
        <v>6</v>
      </c>
      <c r="W121" s="873">
        <f>ROUND(H121*'Hispanic Adjustment'!R120,0)</f>
        <v>2</v>
      </c>
      <c r="X121" s="872">
        <f>ROUND(M121*'Hispanic Adjustment'!S120,0)</f>
        <v>128</v>
      </c>
      <c r="Y121" s="756">
        <f>ROUND(M121*'Hispanic Adjustment'!T120,0)</f>
        <v>30</v>
      </c>
      <c r="Z121" s="873">
        <f>ROUND(M121*'Hispanic Adjustment'!U120,0)</f>
        <v>19</v>
      </c>
      <c r="AA121" s="872">
        <f>ROUND(R121*'Hispanic Adjustment'!V120,0)</f>
        <v>1008</v>
      </c>
      <c r="AB121" s="756">
        <f>ROUND(R121*'Hispanic Adjustment'!W120,0)</f>
        <v>357</v>
      </c>
      <c r="AC121" s="873">
        <f>ROUND(R121*'Hispanic Adjustment'!X120,0)</f>
        <v>187</v>
      </c>
      <c r="AE121" s="907">
        <f t="shared" si="21"/>
        <v>1398</v>
      </c>
      <c r="AF121" s="908">
        <f t="shared" si="22"/>
        <v>739</v>
      </c>
      <c r="AG121" s="909">
        <f t="shared" si="23"/>
        <v>118</v>
      </c>
      <c r="AH121" s="907">
        <f t="shared" si="24"/>
        <v>5513</v>
      </c>
      <c r="AI121" s="908">
        <f t="shared" si="25"/>
        <v>4057</v>
      </c>
      <c r="AJ121" s="909">
        <f t="shared" si="26"/>
        <v>435</v>
      </c>
      <c r="AK121" s="907">
        <f t="shared" si="27"/>
        <v>6696</v>
      </c>
      <c r="AL121" s="908">
        <f t="shared" si="28"/>
        <v>7721</v>
      </c>
      <c r="AM121" s="910">
        <f t="shared" si="29"/>
        <v>1665</v>
      </c>
    </row>
    <row r="122" spans="1:39">
      <c r="A122" s="775" t="s">
        <v>223</v>
      </c>
      <c r="B122" s="776" t="s">
        <v>224</v>
      </c>
      <c r="C122" s="776" t="s">
        <v>271</v>
      </c>
      <c r="D122" s="777">
        <v>1474</v>
      </c>
      <c r="E122" s="778">
        <v>351</v>
      </c>
      <c r="F122" s="778">
        <v>1063</v>
      </c>
      <c r="G122" s="778">
        <f t="shared" si="30"/>
        <v>45</v>
      </c>
      <c r="H122" s="779">
        <v>15</v>
      </c>
      <c r="I122" s="780">
        <v>5055</v>
      </c>
      <c r="J122" s="781">
        <v>1084</v>
      </c>
      <c r="K122" s="781">
        <v>3721</v>
      </c>
      <c r="L122" s="781">
        <f t="shared" si="31"/>
        <v>178</v>
      </c>
      <c r="M122" s="782">
        <v>72</v>
      </c>
      <c r="N122" s="780">
        <v>8475</v>
      </c>
      <c r="O122" s="781">
        <v>1511</v>
      </c>
      <c r="P122" s="781">
        <v>5963</v>
      </c>
      <c r="Q122" s="783">
        <f t="shared" si="32"/>
        <v>710</v>
      </c>
      <c r="R122" s="784">
        <v>291</v>
      </c>
      <c r="S122" s="785">
        <v>15004</v>
      </c>
      <c r="T122" s="786"/>
      <c r="U122" s="872">
        <f>ROUND(H122*'Hispanic Adjustment'!P121,0)</f>
        <v>12</v>
      </c>
      <c r="V122" s="756">
        <f>ROUND(H122*'Hispanic Adjustment'!Q121,0)</f>
        <v>2</v>
      </c>
      <c r="W122" s="873">
        <f>ROUND(H122*'Hispanic Adjustment'!R121,0)</f>
        <v>1</v>
      </c>
      <c r="X122" s="872">
        <f>ROUND(M122*'Hispanic Adjustment'!S121,0)</f>
        <v>59</v>
      </c>
      <c r="Y122" s="756">
        <f>ROUND(M122*'Hispanic Adjustment'!T121,0)</f>
        <v>9</v>
      </c>
      <c r="Z122" s="873">
        <f>ROUND(M122*'Hispanic Adjustment'!U121,0)</f>
        <v>4</v>
      </c>
      <c r="AA122" s="872">
        <f>ROUND(R122*'Hispanic Adjustment'!V121,0)</f>
        <v>230</v>
      </c>
      <c r="AB122" s="756">
        <f>ROUND(R122*'Hispanic Adjustment'!W121,0)</f>
        <v>47</v>
      </c>
      <c r="AC122" s="873">
        <f>ROUND(R122*'Hispanic Adjustment'!X121,0)</f>
        <v>14</v>
      </c>
      <c r="AE122" s="907">
        <f t="shared" si="21"/>
        <v>363</v>
      </c>
      <c r="AF122" s="908">
        <f t="shared" si="22"/>
        <v>1065</v>
      </c>
      <c r="AG122" s="909">
        <f t="shared" si="23"/>
        <v>46</v>
      </c>
      <c r="AH122" s="907">
        <f t="shared" si="24"/>
        <v>1143</v>
      </c>
      <c r="AI122" s="908">
        <f t="shared" si="25"/>
        <v>3730</v>
      </c>
      <c r="AJ122" s="909">
        <f t="shared" si="26"/>
        <v>182</v>
      </c>
      <c r="AK122" s="907">
        <f t="shared" si="27"/>
        <v>1741</v>
      </c>
      <c r="AL122" s="908">
        <f t="shared" si="28"/>
        <v>6010</v>
      </c>
      <c r="AM122" s="910">
        <f t="shared" si="29"/>
        <v>724</v>
      </c>
    </row>
    <row r="123" spans="1:39">
      <c r="A123" s="775" t="s">
        <v>231</v>
      </c>
      <c r="B123" s="776" t="s">
        <v>232</v>
      </c>
      <c r="C123" s="776" t="s">
        <v>271</v>
      </c>
      <c r="D123" s="777">
        <v>3433</v>
      </c>
      <c r="E123" s="778">
        <v>1709</v>
      </c>
      <c r="F123" s="778">
        <v>920</v>
      </c>
      <c r="G123" s="778">
        <f t="shared" si="30"/>
        <v>660</v>
      </c>
      <c r="H123" s="779">
        <v>144</v>
      </c>
      <c r="I123" s="780">
        <v>12828</v>
      </c>
      <c r="J123" s="781">
        <v>5679</v>
      </c>
      <c r="K123" s="781">
        <v>5326</v>
      </c>
      <c r="L123" s="781">
        <f t="shared" si="31"/>
        <v>1190</v>
      </c>
      <c r="M123" s="782">
        <v>633</v>
      </c>
      <c r="N123" s="780">
        <v>28355</v>
      </c>
      <c r="O123" s="781">
        <v>8240</v>
      </c>
      <c r="P123" s="781">
        <v>12118</v>
      </c>
      <c r="Q123" s="783">
        <f t="shared" si="32"/>
        <v>5600</v>
      </c>
      <c r="R123" s="784">
        <v>2397</v>
      </c>
      <c r="S123" s="785">
        <v>44616</v>
      </c>
      <c r="T123" s="786"/>
      <c r="U123" s="872">
        <f>ROUND(H123*'Hispanic Adjustment'!P122,0)</f>
        <v>102</v>
      </c>
      <c r="V123" s="756">
        <f>ROUND(H123*'Hispanic Adjustment'!Q122,0)</f>
        <v>28</v>
      </c>
      <c r="W123" s="873">
        <f>ROUND(H123*'Hispanic Adjustment'!R122,0)</f>
        <v>13</v>
      </c>
      <c r="X123" s="872">
        <f>ROUND(M123*'Hispanic Adjustment'!S122,0)</f>
        <v>481</v>
      </c>
      <c r="Y123" s="756">
        <f>ROUND(M123*'Hispanic Adjustment'!T122,0)</f>
        <v>118</v>
      </c>
      <c r="Z123" s="873">
        <f>ROUND(M123*'Hispanic Adjustment'!U122,0)</f>
        <v>34</v>
      </c>
      <c r="AA123" s="872">
        <f>ROUND(R123*'Hispanic Adjustment'!V122,0)</f>
        <v>1563</v>
      </c>
      <c r="AB123" s="756">
        <f>ROUND(R123*'Hispanic Adjustment'!W122,0)</f>
        <v>694</v>
      </c>
      <c r="AC123" s="873">
        <f>ROUND(R123*'Hispanic Adjustment'!X122,0)</f>
        <v>140</v>
      </c>
      <c r="AE123" s="907">
        <f t="shared" si="21"/>
        <v>1811</v>
      </c>
      <c r="AF123" s="908">
        <f t="shared" si="22"/>
        <v>948</v>
      </c>
      <c r="AG123" s="909">
        <f t="shared" si="23"/>
        <v>673</v>
      </c>
      <c r="AH123" s="907">
        <f t="shared" si="24"/>
        <v>6160</v>
      </c>
      <c r="AI123" s="908">
        <f t="shared" si="25"/>
        <v>5444</v>
      </c>
      <c r="AJ123" s="909">
        <f t="shared" si="26"/>
        <v>1224</v>
      </c>
      <c r="AK123" s="907">
        <f t="shared" si="27"/>
        <v>9803</v>
      </c>
      <c r="AL123" s="908">
        <f t="shared" si="28"/>
        <v>12812</v>
      </c>
      <c r="AM123" s="910">
        <f t="shared" si="29"/>
        <v>5740</v>
      </c>
    </row>
    <row r="124" spans="1:39">
      <c r="A124" s="775" t="s">
        <v>239</v>
      </c>
      <c r="B124" s="776" t="s">
        <v>240</v>
      </c>
      <c r="C124" s="776" t="s">
        <v>271</v>
      </c>
      <c r="D124" s="777">
        <v>113</v>
      </c>
      <c r="E124" s="778">
        <v>50</v>
      </c>
      <c r="F124" s="778">
        <v>42</v>
      </c>
      <c r="G124" s="778">
        <f t="shared" si="30"/>
        <v>19</v>
      </c>
      <c r="H124" s="779">
        <v>2</v>
      </c>
      <c r="I124" s="780">
        <v>407</v>
      </c>
      <c r="J124" s="781">
        <v>172</v>
      </c>
      <c r="K124" s="781">
        <v>186</v>
      </c>
      <c r="L124" s="781">
        <f t="shared" si="31"/>
        <v>21</v>
      </c>
      <c r="M124" s="782">
        <v>28</v>
      </c>
      <c r="N124" s="780">
        <v>918</v>
      </c>
      <c r="O124" s="781">
        <v>246</v>
      </c>
      <c r="P124" s="781">
        <v>439</v>
      </c>
      <c r="Q124" s="783">
        <f t="shared" si="32"/>
        <v>104</v>
      </c>
      <c r="R124" s="784">
        <v>129</v>
      </c>
      <c r="S124" s="785">
        <v>1438</v>
      </c>
      <c r="T124" s="786"/>
      <c r="U124" s="872">
        <f>ROUND(H124*'Hispanic Adjustment'!P123,0)</f>
        <v>2</v>
      </c>
      <c r="V124" s="756">
        <f>ROUND(H124*'Hispanic Adjustment'!Q123,0)</f>
        <v>0</v>
      </c>
      <c r="W124" s="873">
        <f>ROUND(H124*'Hispanic Adjustment'!R123,0)</f>
        <v>0</v>
      </c>
      <c r="X124" s="872">
        <f>ROUND(M124*'Hispanic Adjustment'!S123,0)</f>
        <v>22</v>
      </c>
      <c r="Y124" s="756">
        <f>ROUND(M124*'Hispanic Adjustment'!T123,0)</f>
        <v>4</v>
      </c>
      <c r="Z124" s="873">
        <f>ROUND(M124*'Hispanic Adjustment'!U123,0)</f>
        <v>2</v>
      </c>
      <c r="AA124" s="872">
        <f>ROUND(R124*'Hispanic Adjustment'!V123,0)</f>
        <v>95</v>
      </c>
      <c r="AB124" s="756">
        <f>ROUND(R124*'Hispanic Adjustment'!W123,0)</f>
        <v>25</v>
      </c>
      <c r="AC124" s="873">
        <f>ROUND(R124*'Hispanic Adjustment'!X123,0)</f>
        <v>9</v>
      </c>
      <c r="AE124" s="907">
        <f t="shared" si="21"/>
        <v>52</v>
      </c>
      <c r="AF124" s="908">
        <f t="shared" si="22"/>
        <v>42</v>
      </c>
      <c r="AG124" s="909">
        <f t="shared" si="23"/>
        <v>19</v>
      </c>
      <c r="AH124" s="907">
        <f t="shared" si="24"/>
        <v>194</v>
      </c>
      <c r="AI124" s="908">
        <f t="shared" si="25"/>
        <v>190</v>
      </c>
      <c r="AJ124" s="909">
        <f t="shared" si="26"/>
        <v>23</v>
      </c>
      <c r="AK124" s="907">
        <f t="shared" si="27"/>
        <v>341</v>
      </c>
      <c r="AL124" s="908">
        <f t="shared" si="28"/>
        <v>464</v>
      </c>
      <c r="AM124" s="910">
        <f t="shared" si="29"/>
        <v>113</v>
      </c>
    </row>
    <row r="125" spans="1:39">
      <c r="A125" s="775" t="s">
        <v>241</v>
      </c>
      <c r="B125" s="776" t="s">
        <v>242</v>
      </c>
      <c r="C125" s="776" t="s">
        <v>274</v>
      </c>
      <c r="D125" s="777">
        <v>418</v>
      </c>
      <c r="E125" s="778">
        <v>327</v>
      </c>
      <c r="F125" s="778">
        <v>71</v>
      </c>
      <c r="G125" s="778">
        <f t="shared" si="30"/>
        <v>17</v>
      </c>
      <c r="H125" s="779">
        <v>3</v>
      </c>
      <c r="I125" s="780">
        <v>1488</v>
      </c>
      <c r="J125" s="781">
        <v>1048</v>
      </c>
      <c r="K125" s="781">
        <v>321</v>
      </c>
      <c r="L125" s="781">
        <f t="shared" si="31"/>
        <v>75</v>
      </c>
      <c r="M125" s="782">
        <v>44</v>
      </c>
      <c r="N125" s="780">
        <v>3694</v>
      </c>
      <c r="O125" s="781">
        <v>1251</v>
      </c>
      <c r="P125" s="781">
        <v>632</v>
      </c>
      <c r="Q125" s="783">
        <f t="shared" si="32"/>
        <v>429</v>
      </c>
      <c r="R125" s="784">
        <v>1382</v>
      </c>
      <c r="S125" s="785">
        <v>5600</v>
      </c>
      <c r="T125" s="786"/>
      <c r="U125" s="872">
        <f>ROUND(H125*'Hispanic Adjustment'!P124,0)</f>
        <v>3</v>
      </c>
      <c r="V125" s="756">
        <f>ROUND(H125*'Hispanic Adjustment'!Q124,0)</f>
        <v>0</v>
      </c>
      <c r="W125" s="873">
        <f>ROUND(H125*'Hispanic Adjustment'!R124,0)</f>
        <v>0</v>
      </c>
      <c r="X125" s="872">
        <f>ROUND(M125*'Hispanic Adjustment'!S124,0)</f>
        <v>39</v>
      </c>
      <c r="Y125" s="756">
        <f>ROUND(M125*'Hispanic Adjustment'!T124,0)</f>
        <v>3</v>
      </c>
      <c r="Z125" s="873">
        <f>ROUND(M125*'Hispanic Adjustment'!U124,0)</f>
        <v>2</v>
      </c>
      <c r="AA125" s="872">
        <f>ROUND(R125*'Hispanic Adjustment'!V124,0)</f>
        <v>1092</v>
      </c>
      <c r="AB125" s="756">
        <f>ROUND(R125*'Hispanic Adjustment'!W124,0)</f>
        <v>237</v>
      </c>
      <c r="AC125" s="873">
        <f>ROUND(R125*'Hispanic Adjustment'!X124,0)</f>
        <v>53</v>
      </c>
      <c r="AE125" s="907">
        <f t="shared" si="21"/>
        <v>330</v>
      </c>
      <c r="AF125" s="908">
        <f t="shared" si="22"/>
        <v>71</v>
      </c>
      <c r="AG125" s="909">
        <f t="shared" si="23"/>
        <v>17</v>
      </c>
      <c r="AH125" s="907">
        <f t="shared" si="24"/>
        <v>1087</v>
      </c>
      <c r="AI125" s="908">
        <f t="shared" si="25"/>
        <v>324</v>
      </c>
      <c r="AJ125" s="909">
        <f t="shared" si="26"/>
        <v>77</v>
      </c>
      <c r="AK125" s="907">
        <f t="shared" si="27"/>
        <v>2343</v>
      </c>
      <c r="AL125" s="908">
        <f t="shared" si="28"/>
        <v>869</v>
      </c>
      <c r="AM125" s="910">
        <f t="shared" si="29"/>
        <v>482</v>
      </c>
    </row>
    <row r="126" spans="1:39">
      <c r="A126" s="788"/>
      <c r="B126" s="776"/>
      <c r="C126" s="776"/>
      <c r="D126" s="778"/>
      <c r="E126" s="778"/>
      <c r="F126" s="778"/>
      <c r="G126" s="778"/>
      <c r="H126" s="778"/>
      <c r="I126" s="781"/>
      <c r="J126" s="781"/>
      <c r="K126" s="781"/>
      <c r="L126" s="781"/>
      <c r="M126" s="781"/>
      <c r="N126" s="781"/>
      <c r="O126" s="781"/>
      <c r="P126" s="781"/>
      <c r="Q126" s="783"/>
      <c r="R126" s="783"/>
      <c r="S126" s="789"/>
      <c r="T126" s="786"/>
    </row>
    <row r="127" spans="1:39" s="743" customFormat="1" ht="16.5" thickBot="1">
      <c r="A127" s="747" t="s">
        <v>970</v>
      </c>
      <c r="B127" s="745"/>
      <c r="C127" s="745"/>
      <c r="D127" s="746"/>
      <c r="E127" s="746"/>
      <c r="F127" s="746"/>
    </row>
    <row r="128" spans="1:39" s="743" customFormat="1">
      <c r="A128" s="965" t="s">
        <v>273</v>
      </c>
      <c r="B128" s="966"/>
      <c r="C128" s="966"/>
      <c r="D128" s="967">
        <f>SUM(E128:G128)</f>
        <v>18449</v>
      </c>
      <c r="E128" s="968">
        <f>E9+E20+E22+E24+E26+E30+E33+E37+E42+E47+E48+E53+E55+E56+E60+E64+E67+E69+E70+E75+E76+E81+E97+E110+E117+E120</f>
        <v>7041</v>
      </c>
      <c r="F128" s="968">
        <f>F9+F20+F22+F24+F26+F30+F33+F37+F42+F47+F48+F53+F55+F56+F60+F64+F67+F69+F70+F75+F76+F81+F97+F110+F117+F120</f>
        <v>10056</v>
      </c>
      <c r="G128" s="968">
        <f>G9+G20+G22+G24+G26+G30+G33+G37+G42+G47+G48+G53+G55+G56+G60+G64+G67+G69+G70+G75+G76+G81+G97+G110+G117+G120</f>
        <v>1352</v>
      </c>
      <c r="H128" s="969">
        <f>SUM(I128:K128)</f>
        <v>125486</v>
      </c>
      <c r="I128" s="970">
        <f>I9+I20+I22+I24+I26+I30+I33+I37+I42+I47+I48+I53+I55+I56+I60+I64+I67+I69+I70+I75+I76+I81+I97+I110+I117+I120</f>
        <v>65300</v>
      </c>
      <c r="J128" s="968">
        <f>J9+J20+J22+J24+J26+J30+J33+J37+J42+J47+J48+J53+J55+J56+J60+J64+J67+J69+J70+J75+J76+J81+J97+J110+J117+J120</f>
        <v>22532</v>
      </c>
      <c r="K128" s="968">
        <f>K9+K20+K22+K24+K26+K30+K33+K37+K42+K47+K48+K53+K55+K56+K60+K64+K67+K69+K70+K75+K76+K81+K97+K110+K117+K120</f>
        <v>37654</v>
      </c>
      <c r="L128" s="971">
        <f>SUM(M128:O128)</f>
        <v>164985</v>
      </c>
      <c r="M128" s="972">
        <f>M9+M20+M22+M24+M26+M30+M33+M37+M42+M47+M48+M53+M55+M56+M60+M64+M67+M69+M70+M75+M76+M81+M97+M110+M117+M120</f>
        <v>1318</v>
      </c>
      <c r="N128" s="970">
        <f>N9+N20+N22+N24+N26+N30+N33+N37+N42+N47+N48+N53+N55+N56+N60+N64+N67+N69+N70+N75+N76+N81+N97+N110+N117+N120</f>
        <v>131218</v>
      </c>
      <c r="O128" s="968">
        <f>O9+O20+O22+O24+O26+O30+O33+O37+O42+O47+O48+O53+O55+O56+O60+O64+O67+O69+O70+O75+O76+O81+O97+O110+O117+O120</f>
        <v>32449</v>
      </c>
      <c r="P128" s="971">
        <f>D128+H128+L128</f>
        <v>308920</v>
      </c>
      <c r="Q128" s="971">
        <f t="shared" ref="Q128:R132" si="33">E128+I128+M128</f>
        <v>73659</v>
      </c>
      <c r="R128" s="969">
        <f t="shared" si="33"/>
        <v>163806</v>
      </c>
      <c r="S128" s="973">
        <f>G128+K128+O128</f>
        <v>71455</v>
      </c>
      <c r="U128" s="976">
        <f t="shared" ref="U128:W132" si="34">I128+M128+Q128</f>
        <v>140277</v>
      </c>
      <c r="V128" s="976">
        <f t="shared" si="34"/>
        <v>317556</v>
      </c>
      <c r="W128" s="976">
        <f t="shared" si="34"/>
        <v>141558</v>
      </c>
      <c r="X128" s="976">
        <f t="shared" ref="X128:Z132" si="35">L128+P128+T128</f>
        <v>473905</v>
      </c>
      <c r="Y128" s="976">
        <f t="shared" si="35"/>
        <v>215254</v>
      </c>
      <c r="Z128" s="976">
        <f t="shared" si="35"/>
        <v>612580</v>
      </c>
      <c r="AA128" s="976">
        <f t="shared" ref="AA128:AC132" si="36">O128+S128+W128</f>
        <v>245462</v>
      </c>
      <c r="AB128" s="976">
        <f t="shared" si="36"/>
        <v>782825</v>
      </c>
      <c r="AC128" s="976">
        <f t="shared" si="36"/>
        <v>429190</v>
      </c>
      <c r="AE128" s="977">
        <f t="shared" ref="AE128:AG132" si="37">S128+W128+AA128</f>
        <v>458475</v>
      </c>
      <c r="AF128" s="978">
        <f t="shared" si="37"/>
        <v>1256730</v>
      </c>
      <c r="AG128" s="979">
        <f t="shared" si="37"/>
        <v>784721</v>
      </c>
      <c r="AH128" s="977">
        <f t="shared" ref="AH128:AJ132" si="38">V128+Z128+AD128</f>
        <v>930136</v>
      </c>
      <c r="AI128" s="978">
        <f t="shared" si="38"/>
        <v>845495</v>
      </c>
      <c r="AJ128" s="979">
        <f t="shared" si="38"/>
        <v>2513460</v>
      </c>
      <c r="AK128" s="978">
        <f t="shared" ref="AK128:AM132" si="39">Y128+AC128+AG128</f>
        <v>1429165</v>
      </c>
      <c r="AL128" s="978">
        <f t="shared" si="39"/>
        <v>1542716</v>
      </c>
      <c r="AM128" s="979">
        <f t="shared" si="39"/>
        <v>1549432</v>
      </c>
    </row>
    <row r="129" spans="1:39" s="743" customFormat="1">
      <c r="A129" s="974" t="s">
        <v>271</v>
      </c>
      <c r="B129" s="975"/>
      <c r="C129" s="975"/>
      <c r="D129" s="927">
        <f>SUM(E129:G129)</f>
        <v>23775</v>
      </c>
      <c r="E129" s="917">
        <f>E6+E18+E32+E41+E45+E51+E52+E62+E68+E77+E89+E92+E93+E100+E104+E106+E109+E114+E115+E118+E122+E123+E124</f>
        <v>8309</v>
      </c>
      <c r="F129" s="917">
        <f>F6+F18+F32+F41+F45+F51+F52+F62+F68+F77+F89+F92+F93+F100+F104+F106+F109+F114+F115+F118+F122+F123+F124</f>
        <v>13624</v>
      </c>
      <c r="G129" s="917">
        <f>G6+G18+G32+G41+G45+G51+G52+G62+G68+G77+G89+G92+G93+G100+G104+G106+G109+G114+G115+G118+G122+G123+G124</f>
        <v>1842</v>
      </c>
      <c r="H129" s="920">
        <f>SUM(I129:K129)</f>
        <v>175496</v>
      </c>
      <c r="I129" s="919">
        <f>I6+I18+I32+I41+I45+I51+I52+I62+I68+I77+I89+I92+I93+I100+I104+I106+I109+I114+I115+I118+I122+I123+I124</f>
        <v>91147</v>
      </c>
      <c r="J129" s="917">
        <f>J6+J18+J32+J41+J45+J51+J52+J62+J68+J77+J89+J92+J93+J100+J104+J106+J109+J114+J115+J118+J122+J123+J124</f>
        <v>27518</v>
      </c>
      <c r="K129" s="917">
        <f>K6+K18+K32+K41+K45+K51+K52+K62+K68+K77+K89+K92+K93+K100+K104+K106+K109+K114+K115+K118+K122+K123+K124</f>
        <v>56831</v>
      </c>
      <c r="L129" s="902">
        <f>SUM(M129:O129)</f>
        <v>223210</v>
      </c>
      <c r="M129" s="925">
        <f>M6+M18+M32+M41+M45+M51+M52+M62+M68+M77+M89+M92+M93+M100+M104+M106+M109+M114+M115+M118+M122+M123+M124</f>
        <v>2530</v>
      </c>
      <c r="N129" s="919">
        <f>N6+N18+N32+N41+N45+N51+N52+N62+N68+N77+N89+N92+N93+N100+N104+N106+N109+N114+N115+N118+N122+N123+N124</f>
        <v>181085</v>
      </c>
      <c r="O129" s="917">
        <f>O6+O18+O32+O41+O45+O51+O52+O62+O68+O77+O89+O92+O93+O100+O104+O106+O109+O114+O115+O118+O122+O123+O124</f>
        <v>39595</v>
      </c>
      <c r="P129" s="902">
        <f>D129+H129+L129</f>
        <v>422481</v>
      </c>
      <c r="Q129" s="902">
        <f t="shared" si="33"/>
        <v>101986</v>
      </c>
      <c r="R129" s="920">
        <f t="shared" si="33"/>
        <v>222227</v>
      </c>
      <c r="S129" s="923">
        <f>G129+K129+O129</f>
        <v>98268</v>
      </c>
      <c r="U129" s="755">
        <f t="shared" si="34"/>
        <v>195663</v>
      </c>
      <c r="V129" s="755">
        <f t="shared" si="34"/>
        <v>430830</v>
      </c>
      <c r="W129" s="755">
        <f t="shared" si="34"/>
        <v>194694</v>
      </c>
      <c r="X129" s="755">
        <f t="shared" si="35"/>
        <v>645691</v>
      </c>
      <c r="Y129" s="755">
        <f t="shared" si="35"/>
        <v>300179</v>
      </c>
      <c r="Z129" s="755">
        <f t="shared" si="35"/>
        <v>834142</v>
      </c>
      <c r="AA129" s="755">
        <f t="shared" si="36"/>
        <v>332557</v>
      </c>
      <c r="AB129" s="755">
        <f t="shared" si="36"/>
        <v>1068172</v>
      </c>
      <c r="AC129" s="755">
        <f t="shared" si="36"/>
        <v>597828</v>
      </c>
      <c r="AE129" s="980">
        <f t="shared" si="37"/>
        <v>625519</v>
      </c>
      <c r="AF129" s="912">
        <f t="shared" si="37"/>
        <v>1713863</v>
      </c>
      <c r="AG129" s="913">
        <f t="shared" si="37"/>
        <v>1093670</v>
      </c>
      <c r="AH129" s="980">
        <f t="shared" si="38"/>
        <v>1264972</v>
      </c>
      <c r="AI129" s="912">
        <f t="shared" si="38"/>
        <v>1152770</v>
      </c>
      <c r="AJ129" s="913">
        <f t="shared" si="38"/>
        <v>3427726</v>
      </c>
      <c r="AK129" s="912">
        <f t="shared" si="39"/>
        <v>1991677</v>
      </c>
      <c r="AL129" s="912">
        <f t="shared" si="39"/>
        <v>2099114</v>
      </c>
      <c r="AM129" s="913">
        <f t="shared" si="39"/>
        <v>2110846</v>
      </c>
    </row>
    <row r="130" spans="1:39" s="743" customFormat="1">
      <c r="A130" s="744" t="s">
        <v>274</v>
      </c>
      <c r="B130" s="745"/>
      <c r="C130" s="745"/>
      <c r="D130" s="927">
        <f>SUM(E130:G130)</f>
        <v>27689</v>
      </c>
      <c r="E130" s="917">
        <f>E12+E27+E29+E34+E35+E39+E44+E54+E58+E59+E61+E71+E72+E78+E80+E84+E87+E90+E91+E95+E101+E107+E112+E113+E125</f>
        <v>15199</v>
      </c>
      <c r="F130" s="917">
        <f>F12+F27+F29+F34+F35+F39+F44+F54+F58+F59+F61+F71+F72+F78+F80+F84+F87+F90+F91+F95+F101+F107+F112+F113+F125</f>
        <v>4795</v>
      </c>
      <c r="G130" s="917">
        <f>G12+G27+G29+G34+G35+G39+G44+G54+G58+G59+G61+G71+G72+G78+G80+G84+G87+G90+G91+G95+G101+G107+G112+G113+G125</f>
        <v>7695</v>
      </c>
      <c r="H130" s="920">
        <f>SUM(I130:K130)</f>
        <v>115264</v>
      </c>
      <c r="I130" s="919">
        <f>I12+I27+I29+I34+I35+I39+I44+I54+I58+I59+I61+I71+I72+I78+I80+I84+I87+I90+I91+I95+I101+I107+I112+I113+I125</f>
        <v>63472</v>
      </c>
      <c r="J130" s="917">
        <f>J12+J27+J29+J34+J35+J39+J44+J54+J58+J59+J61+J71+J72+J78+J80+J84+J87+J90+J91+J95+J101+J107+J112+J113+J125</f>
        <v>34427</v>
      </c>
      <c r="K130" s="917">
        <f>K12+K27+K29+K34+K35+K39+K44+K54+K58+K59+K61+K71+K72+K78+K80+K84+K87+K90+K91+K95+K101+K107+K112+K113+K125</f>
        <v>17365</v>
      </c>
      <c r="L130" s="902">
        <f>SUM(M130:O130)</f>
        <v>259792</v>
      </c>
      <c r="M130" s="925">
        <f>M12+M27+M29+M34+M35+M39+M44+M54+M58+M59+M61+M71+M72+M78+M80+M84+M87+M90+M91+M95+M101+M107+M112+M113+M125</f>
        <v>5102</v>
      </c>
      <c r="N130" s="919">
        <f>N12+N27+N29+N34+N35+N39+N44+N54+N58+N59+N61+N71+N72+N78+N80+N84+N87+N90+N91+N95+N101+N107+N112+N113+N125</f>
        <v>201721</v>
      </c>
      <c r="O130" s="917">
        <f>O12+O27+O29+O34+O35+O39+O44+O54+O58+O59+O61+O71+O72+O78+O80+O84+O87+O90+O91+O95+O101+O107+O112+O113+O125</f>
        <v>52969</v>
      </c>
      <c r="P130" s="902">
        <f>D130+H130+L130</f>
        <v>402745</v>
      </c>
      <c r="Q130" s="902">
        <f t="shared" si="33"/>
        <v>83773</v>
      </c>
      <c r="R130" s="920">
        <f t="shared" si="33"/>
        <v>240943</v>
      </c>
      <c r="S130" s="923">
        <f>G130+K130+O130</f>
        <v>78029</v>
      </c>
      <c r="U130" s="755">
        <f t="shared" si="34"/>
        <v>152347</v>
      </c>
      <c r="V130" s="755">
        <f t="shared" si="34"/>
        <v>477091</v>
      </c>
      <c r="W130" s="755">
        <f t="shared" si="34"/>
        <v>148363</v>
      </c>
      <c r="X130" s="755">
        <f t="shared" si="35"/>
        <v>662537</v>
      </c>
      <c r="Y130" s="755">
        <f t="shared" si="35"/>
        <v>241222</v>
      </c>
      <c r="Z130" s="755">
        <f t="shared" si="35"/>
        <v>919755</v>
      </c>
      <c r="AA130" s="755">
        <f t="shared" si="36"/>
        <v>279361</v>
      </c>
      <c r="AB130" s="755">
        <f t="shared" si="36"/>
        <v>1065282</v>
      </c>
      <c r="AC130" s="755">
        <f t="shared" si="36"/>
        <v>477342</v>
      </c>
      <c r="AE130" s="911">
        <f t="shared" si="37"/>
        <v>505753</v>
      </c>
      <c r="AF130" s="912">
        <f t="shared" si="37"/>
        <v>1727819</v>
      </c>
      <c r="AG130" s="913">
        <f t="shared" si="37"/>
        <v>870911</v>
      </c>
      <c r="AH130" s="911">
        <f t="shared" si="38"/>
        <v>1396846</v>
      </c>
      <c r="AI130" s="912">
        <f t="shared" si="38"/>
        <v>933477</v>
      </c>
      <c r="AJ130" s="913">
        <f t="shared" si="38"/>
        <v>3455638</v>
      </c>
      <c r="AK130" s="912">
        <f t="shared" si="39"/>
        <v>1589475</v>
      </c>
      <c r="AL130" s="912">
        <f t="shared" si="39"/>
        <v>2316601</v>
      </c>
      <c r="AM130" s="913">
        <f t="shared" si="39"/>
        <v>1718591</v>
      </c>
    </row>
    <row r="131" spans="1:39" s="743" customFormat="1">
      <c r="A131" s="744" t="s">
        <v>272</v>
      </c>
      <c r="B131" s="745"/>
      <c r="C131" s="745"/>
      <c r="D131" s="927">
        <f>SUM(E131:G131)</f>
        <v>24382</v>
      </c>
      <c r="E131" s="917">
        <f>E7+E8+E10+E11+E13+E14+E15+E17+E21+E25+E28+E38+E46+E49+E50+E63+E66+E74+E82+E83+E103+E105+E111+E121</f>
        <v>15597</v>
      </c>
      <c r="F131" s="917">
        <f>F7+F8+F10+F11+F13+F14+F15+F17+F21+F25+F28+F38+F46+F49+F50+F63+F66+F74+F82+F83+F103+F105+F111+F121</f>
        <v>7915</v>
      </c>
      <c r="G131" s="917">
        <f>G7+G8+G10+G11+G13+G14+G15+G17+G21+G25+G28+G38+G46+G49+G50+G63+G66+G74+G82+G83+G103+G105+G111+G121</f>
        <v>870</v>
      </c>
      <c r="H131" s="920">
        <f>SUM(I131:K131)</f>
        <v>140185</v>
      </c>
      <c r="I131" s="919">
        <f>I7+I8+I10+I11+I13+I14+I15+I17+I21+I25+I28+I38+I46+I49+I50+I63+I66+I74+I82+I83+I103+I105+I111+I121</f>
        <v>71846</v>
      </c>
      <c r="J131" s="917">
        <f>J7+J8+J10+J11+J13+J14+J15+J17+J21+J25+J28+J38+J46+J49+J50+J63+J66+J74+J82+J83+J103+J105+J111+J121</f>
        <v>43759</v>
      </c>
      <c r="K131" s="917">
        <f>K7+K8+K10+K11+K13+K14+K15+K17+K21+K25+K28+K38+K46+K49+K50+K63+K66+K74+K82+K83+K103+K105+K111+K121</f>
        <v>24580</v>
      </c>
      <c r="L131" s="902">
        <f>SUM(M131:O131)</f>
        <v>177163</v>
      </c>
      <c r="M131" s="925">
        <f>M7+M8+M10+M11+M13+M14+M15+M17+M21+M25+M28+M38+M46+M49+M50+M63+M66+M74+M82+M83+M103+M105+M111+M121</f>
        <v>909</v>
      </c>
      <c r="N131" s="919">
        <f>N7+N8+N10+N11+N13+N14+N15+N17+N21+N25+N28+N38+N46+N49+N50+N63+N66+N74+N82+N83+N103+N105+N111+N121</f>
        <v>118574</v>
      </c>
      <c r="O131" s="917">
        <f>O7+O8+O10+O11+O13+O14+O15+O17+O21+O25+O28+O38+O46+O49+O50+O63+O66+O74+O82+O83+O103+O105+O111+O121</f>
        <v>57680</v>
      </c>
      <c r="P131" s="902">
        <f>D131+H131+L131</f>
        <v>341730</v>
      </c>
      <c r="Q131" s="902">
        <f t="shared" si="33"/>
        <v>88352</v>
      </c>
      <c r="R131" s="920">
        <f t="shared" si="33"/>
        <v>170248</v>
      </c>
      <c r="S131" s="923">
        <f>G131+K131+O131</f>
        <v>83130</v>
      </c>
      <c r="U131" s="755">
        <f t="shared" si="34"/>
        <v>161107</v>
      </c>
      <c r="V131" s="755">
        <f t="shared" si="34"/>
        <v>332581</v>
      </c>
      <c r="W131" s="755">
        <f t="shared" si="34"/>
        <v>165390</v>
      </c>
      <c r="X131" s="755">
        <f t="shared" si="35"/>
        <v>518893</v>
      </c>
      <c r="Y131" s="755">
        <f t="shared" si="35"/>
        <v>250368</v>
      </c>
      <c r="Z131" s="755">
        <f t="shared" si="35"/>
        <v>621403</v>
      </c>
      <c r="AA131" s="755">
        <f t="shared" si="36"/>
        <v>306200</v>
      </c>
      <c r="AB131" s="755">
        <f t="shared" si="36"/>
        <v>860623</v>
      </c>
      <c r="AC131" s="755">
        <f t="shared" si="36"/>
        <v>499827</v>
      </c>
      <c r="AE131" s="911">
        <f t="shared" si="37"/>
        <v>554720</v>
      </c>
      <c r="AF131" s="912">
        <f t="shared" si="37"/>
        <v>1379516</v>
      </c>
      <c r="AG131" s="913">
        <f t="shared" si="37"/>
        <v>911302</v>
      </c>
      <c r="AH131" s="911">
        <f t="shared" si="38"/>
        <v>953984</v>
      </c>
      <c r="AI131" s="912">
        <f t="shared" si="38"/>
        <v>1026310</v>
      </c>
      <c r="AJ131" s="913">
        <f t="shared" si="38"/>
        <v>2759032</v>
      </c>
      <c r="AK131" s="912">
        <f t="shared" si="39"/>
        <v>1661497</v>
      </c>
      <c r="AL131" s="912">
        <f t="shared" si="39"/>
        <v>1575387</v>
      </c>
      <c r="AM131" s="913">
        <f t="shared" si="39"/>
        <v>1887230</v>
      </c>
    </row>
    <row r="132" spans="1:39" s="743" customFormat="1">
      <c r="A132" s="744" t="s">
        <v>275</v>
      </c>
      <c r="D132" s="928">
        <f>SUM(E132:G132)</f>
        <v>15934</v>
      </c>
      <c r="E132" s="918">
        <f>E16+E19+E23+E31+E36+E40+E43+E57+E65+E73+E79+E85+E86+E88+E94+E96+E98+E99+E102+E108+E116+E119</f>
        <v>15201</v>
      </c>
      <c r="F132" s="918">
        <f>F16+F19+F23+F31+F36+F40+F43+F57+F65+F73+F79+F85+F86+F88+F94+F96+F98+F99+F102+F108+F116+F119</f>
        <v>434</v>
      </c>
      <c r="G132" s="918">
        <f>G16+G19+G23+G31+G36+G40+G43+G57+G65+G73+G79+G85+G86+G88+G94+G96+G98+G99+G102+G108+G116+G119</f>
        <v>299</v>
      </c>
      <c r="H132" s="922">
        <f>SUM(I132:K132)</f>
        <v>95144</v>
      </c>
      <c r="I132" s="921">
        <f>I16+I19+I23+I31+I36+I40+I43+I57+I65+I73+I79+I85+I86+I88+I94+I96+I98+I99+I102+I108+I116+I119</f>
        <v>48177</v>
      </c>
      <c r="J132" s="918">
        <f>J16+J19+J23+J31+J36+J40+J43+J57+J65+J73+J79+J85+J86+J88+J94+J96+J98+J99+J102+J108+J116+J119</f>
        <v>45266</v>
      </c>
      <c r="K132" s="918">
        <f>K16+K19+K23+K31+K36+K40+K43+K57+K65+K73+K79+K85+K86+K88+K94+K96+K98+K99+K102+K108+K116+K119</f>
        <v>1701</v>
      </c>
      <c r="L132" s="903">
        <f>SUM(M132:O132)</f>
        <v>116589</v>
      </c>
      <c r="M132" s="926">
        <f>M16+M19+M23+M31+M36+M40+M43+M57+M65+M73+M79+M85+M86+M88+M94+M96+M98+M99+M102+M108+M116+M119</f>
        <v>325</v>
      </c>
      <c r="N132" s="921">
        <f>N16+N19+N23+N31+N36+N40+N43+N57+N65+N73+N79+N85+N86+N88+N94+N96+N98+N99+N102+N108+N116+N119</f>
        <v>63342</v>
      </c>
      <c r="O132" s="918">
        <f>O16+O19+O23+O31+O36+O40+O43+O57+O65+O73+O79+O85+O86+O88+O94+O96+O98+O99+O102+O108+O116+O119</f>
        <v>52922</v>
      </c>
      <c r="P132" s="903">
        <f>D132+H132+L132</f>
        <v>227667</v>
      </c>
      <c r="Q132" s="903">
        <f t="shared" si="33"/>
        <v>63703</v>
      </c>
      <c r="R132" s="922">
        <f t="shared" si="33"/>
        <v>109042</v>
      </c>
      <c r="S132" s="924">
        <f>G132+K132+O132</f>
        <v>54922</v>
      </c>
      <c r="U132" s="717">
        <f t="shared" si="34"/>
        <v>112205</v>
      </c>
      <c r="V132" s="717">
        <f t="shared" si="34"/>
        <v>217650</v>
      </c>
      <c r="W132" s="717">
        <f t="shared" si="34"/>
        <v>109545</v>
      </c>
      <c r="X132" s="717">
        <f t="shared" si="35"/>
        <v>344256</v>
      </c>
      <c r="Y132" s="717">
        <f t="shared" si="35"/>
        <v>176233</v>
      </c>
      <c r="Z132" s="717">
        <f t="shared" si="35"/>
        <v>390034</v>
      </c>
      <c r="AA132" s="717">
        <f t="shared" si="36"/>
        <v>217389</v>
      </c>
      <c r="AB132" s="717">
        <f t="shared" si="36"/>
        <v>571923</v>
      </c>
      <c r="AC132" s="717">
        <f t="shared" si="36"/>
        <v>352141</v>
      </c>
      <c r="AE132" s="914">
        <f t="shared" si="37"/>
        <v>381856</v>
      </c>
      <c r="AF132" s="915">
        <f t="shared" si="37"/>
        <v>916179</v>
      </c>
      <c r="AG132" s="916">
        <f t="shared" si="37"/>
        <v>640579</v>
      </c>
      <c r="AH132" s="914">
        <f t="shared" si="38"/>
        <v>607684</v>
      </c>
      <c r="AI132" s="915">
        <f t="shared" si="38"/>
        <v>708790</v>
      </c>
      <c r="AJ132" s="916">
        <f t="shared" si="38"/>
        <v>1832358</v>
      </c>
      <c r="AK132" s="915">
        <f t="shared" si="39"/>
        <v>1168953</v>
      </c>
      <c r="AL132" s="915">
        <f t="shared" si="39"/>
        <v>997718</v>
      </c>
      <c r="AM132" s="916">
        <f t="shared" si="39"/>
        <v>1308035</v>
      </c>
    </row>
    <row r="133" spans="1:39">
      <c r="I133" s="786"/>
    </row>
    <row r="134" spans="1:39" ht="34.5" customHeight="1">
      <c r="A134" s="1663" t="s">
        <v>1120</v>
      </c>
      <c r="B134" s="1663"/>
      <c r="C134" s="1663"/>
      <c r="D134" s="1663"/>
      <c r="E134" s="1663"/>
      <c r="F134" s="1663"/>
      <c r="G134" s="1663"/>
      <c r="H134" s="1663"/>
      <c r="I134" s="1663"/>
      <c r="J134" s="1663"/>
      <c r="K134" s="1663"/>
      <c r="L134" s="1663"/>
      <c r="M134" s="1663"/>
      <c r="N134" s="688"/>
      <c r="O134" s="688"/>
      <c r="P134" s="688"/>
      <c r="Q134" s="688"/>
      <c r="R134" s="688"/>
      <c r="S134" s="688"/>
    </row>
    <row r="135" spans="1:39" ht="18.75" customHeight="1">
      <c r="A135" s="1656" t="s">
        <v>1117</v>
      </c>
      <c r="B135" s="1656"/>
      <c r="C135" s="1656"/>
      <c r="D135" s="1656"/>
      <c r="E135" s="1656"/>
      <c r="F135" s="1656"/>
      <c r="G135" s="1656"/>
      <c r="H135" s="1656"/>
      <c r="I135" s="1656"/>
      <c r="J135" s="1656"/>
      <c r="K135" s="1656"/>
      <c r="L135" s="1656"/>
      <c r="M135" s="1656"/>
      <c r="N135" s="1656"/>
      <c r="O135" s="1656"/>
      <c r="P135" s="1656"/>
      <c r="Q135" s="1656"/>
      <c r="R135" s="790"/>
    </row>
    <row r="137" spans="1:39" s="542" customFormat="1">
      <c r="A137" s="542" t="s">
        <v>249</v>
      </c>
    </row>
    <row r="138" spans="1:39" s="542" customFormat="1">
      <c r="A138" s="543" t="s">
        <v>250</v>
      </c>
      <c r="B138" s="544" t="s">
        <v>251</v>
      </c>
      <c r="C138" s="544"/>
      <c r="D138" s="544"/>
      <c r="E138" s="544"/>
      <c r="F138" s="544"/>
      <c r="G138" s="544"/>
      <c r="H138" s="544"/>
    </row>
  </sheetData>
  <autoFilter ref="A4:C4"/>
  <mergeCells count="13">
    <mergeCell ref="X3:Z3"/>
    <mergeCell ref="AA3:AC3"/>
    <mergeCell ref="U2:AC2"/>
    <mergeCell ref="AE2:AM2"/>
    <mergeCell ref="AE3:AG3"/>
    <mergeCell ref="AH3:AJ3"/>
    <mergeCell ref="AK3:AM3"/>
    <mergeCell ref="U3:W3"/>
    <mergeCell ref="A135:Q135"/>
    <mergeCell ref="D3:H3"/>
    <mergeCell ref="I3:M3"/>
    <mergeCell ref="N3:R3"/>
    <mergeCell ref="A134:M134"/>
  </mergeCells>
  <hyperlinks>
    <hyperlink ref="B138" r:id="rId1"/>
  </hyperlinks>
  <pageMargins left="0.7" right="0.7" top="0.75" bottom="0.75" header="0.3" footer="0.3"/>
  <pageSetup orientation="portrait" r:id="rId2"/>
</worksheet>
</file>

<file path=xl/worksheets/sheet13.xml><?xml version="1.0" encoding="utf-8"?>
<worksheet xmlns="http://schemas.openxmlformats.org/spreadsheetml/2006/main" xmlns:r="http://schemas.openxmlformats.org/officeDocument/2006/relationships">
  <dimension ref="A1:X125"/>
  <sheetViews>
    <sheetView workbookViewId="0">
      <selection activeCell="B5" sqref="B5"/>
    </sheetView>
  </sheetViews>
  <sheetFormatPr defaultRowHeight="12.75"/>
  <cols>
    <col min="1" max="1" width="5" style="353" bestFit="1" customWidth="1"/>
    <col min="2" max="2" width="26.375" style="353" customWidth="1"/>
    <col min="3" max="3" width="8.75" style="93" customWidth="1"/>
    <col min="4" max="16384" width="9" style="93"/>
  </cols>
  <sheetData>
    <row r="1" spans="1:24">
      <c r="A1" s="93"/>
      <c r="B1" s="93"/>
    </row>
    <row r="2" spans="1:24">
      <c r="A2" s="93"/>
      <c r="B2" s="93"/>
      <c r="C2" s="1669" t="s">
        <v>1108</v>
      </c>
      <c r="D2" s="1669"/>
      <c r="E2" s="1669"/>
      <c r="F2" s="1669"/>
      <c r="G2" s="1669" t="s">
        <v>1109</v>
      </c>
      <c r="H2" s="1669"/>
      <c r="I2" s="1669"/>
      <c r="J2" s="1669"/>
      <c r="K2" s="1669" t="s">
        <v>1111</v>
      </c>
      <c r="L2" s="1669"/>
      <c r="M2" s="1669"/>
      <c r="N2" s="1669"/>
      <c r="P2" s="1668" t="s">
        <v>972</v>
      </c>
      <c r="Q2" s="1668"/>
      <c r="R2" s="1668"/>
      <c r="S2" s="1668" t="s">
        <v>1110</v>
      </c>
      <c r="T2" s="1668"/>
      <c r="U2" s="1668"/>
      <c r="V2" s="1668" t="s">
        <v>7</v>
      </c>
      <c r="W2" s="1668"/>
      <c r="X2" s="1668"/>
    </row>
    <row r="3" spans="1:24">
      <c r="A3" s="352" t="s">
        <v>4</v>
      </c>
      <c r="B3" s="352" t="s">
        <v>5</v>
      </c>
      <c r="C3" s="354" t="s">
        <v>289</v>
      </c>
      <c r="D3" s="354" t="s">
        <v>2</v>
      </c>
      <c r="E3" s="354" t="s">
        <v>608</v>
      </c>
      <c r="F3" s="354" t="s">
        <v>609</v>
      </c>
      <c r="G3" s="354" t="s">
        <v>289</v>
      </c>
      <c r="H3" s="354" t="s">
        <v>2</v>
      </c>
      <c r="I3" s="354" t="s">
        <v>608</v>
      </c>
      <c r="J3" s="354" t="s">
        <v>609</v>
      </c>
      <c r="K3" s="354" t="s">
        <v>289</v>
      </c>
      <c r="L3" s="354" t="s">
        <v>2</v>
      </c>
      <c r="M3" s="354" t="s">
        <v>608</v>
      </c>
      <c r="N3" s="354" t="s">
        <v>609</v>
      </c>
      <c r="P3" s="93" t="s">
        <v>2</v>
      </c>
      <c r="Q3" s="93" t="s">
        <v>608</v>
      </c>
      <c r="R3" s="93" t="s">
        <v>609</v>
      </c>
      <c r="S3" s="93" t="s">
        <v>2</v>
      </c>
      <c r="T3" s="93" t="s">
        <v>608</v>
      </c>
      <c r="U3" s="93" t="s">
        <v>609</v>
      </c>
      <c r="V3" s="93" t="s">
        <v>2</v>
      </c>
      <c r="W3" s="93" t="s">
        <v>608</v>
      </c>
      <c r="X3" s="93" t="s">
        <v>609</v>
      </c>
    </row>
    <row r="4" spans="1:24">
      <c r="A4" s="352"/>
      <c r="B4" s="352" t="s">
        <v>9</v>
      </c>
      <c r="C4" s="93">
        <f>SUM(C5:C125)</f>
        <v>22002</v>
      </c>
      <c r="D4" s="93">
        <f t="shared" ref="D4:N4" si="0">SUM(D5:D125)</f>
        <v>19535</v>
      </c>
      <c r="E4" s="93">
        <f t="shared" si="0"/>
        <v>1592</v>
      </c>
      <c r="F4" s="93">
        <f t="shared" si="0"/>
        <v>902</v>
      </c>
      <c r="G4" s="93">
        <f t="shared" si="0"/>
        <v>424404</v>
      </c>
      <c r="H4" s="93">
        <f t="shared" si="0"/>
        <v>366184</v>
      </c>
      <c r="I4" s="93">
        <f t="shared" si="0"/>
        <v>34432</v>
      </c>
      <c r="J4" s="93">
        <f t="shared" si="0"/>
        <v>24382</v>
      </c>
      <c r="K4" s="93">
        <f t="shared" si="0"/>
        <v>214324</v>
      </c>
      <c r="L4" s="93">
        <f t="shared" si="0"/>
        <v>178956</v>
      </c>
      <c r="M4" s="93">
        <f t="shared" si="0"/>
        <v>22489</v>
      </c>
      <c r="N4" s="93">
        <f t="shared" si="0"/>
        <v>13188</v>
      </c>
      <c r="P4" s="93">
        <f>D4/C4</f>
        <v>0.8878738296518498</v>
      </c>
      <c r="Q4" s="93">
        <f>E4/C4</f>
        <v>7.235705844923189E-2</v>
      </c>
      <c r="R4" s="93">
        <f>F4/C4</f>
        <v>4.0996273066084901E-2</v>
      </c>
      <c r="S4" s="93">
        <f>H4/G4</f>
        <v>0.86281938907267608</v>
      </c>
      <c r="T4" s="93">
        <f>I4/G4</f>
        <v>8.1130243824280635E-2</v>
      </c>
      <c r="U4" s="93">
        <f>J4/G4</f>
        <v>5.7449976908794449E-2</v>
      </c>
      <c r="V4" s="93">
        <f>L4/K4</f>
        <v>0.83497881711800825</v>
      </c>
      <c r="W4" s="93">
        <f>M4/K4</f>
        <v>0.10492991918777178</v>
      </c>
      <c r="X4" s="93">
        <f>N4/K4</f>
        <v>6.1533006102909613E-2</v>
      </c>
    </row>
    <row r="5" spans="1:24">
      <c r="A5" s="353">
        <v>1</v>
      </c>
      <c r="B5" s="93" t="s">
        <v>614</v>
      </c>
      <c r="C5" s="93">
        <v>57</v>
      </c>
      <c r="D5" s="93">
        <v>48</v>
      </c>
      <c r="E5" s="93">
        <v>6</v>
      </c>
      <c r="F5" s="93">
        <f>C5-D5-E5</f>
        <v>3</v>
      </c>
      <c r="G5" s="93">
        <v>1743</v>
      </c>
      <c r="H5" s="93">
        <v>1596</v>
      </c>
      <c r="I5" s="93">
        <v>71</v>
      </c>
      <c r="J5" s="93">
        <f>G5-H5-I5</f>
        <v>76</v>
      </c>
      <c r="K5" s="93">
        <v>1235</v>
      </c>
      <c r="L5" s="93">
        <v>1115</v>
      </c>
      <c r="M5" s="93">
        <v>57</v>
      </c>
      <c r="N5" s="93">
        <f>K5-L5-M5</f>
        <v>63</v>
      </c>
      <c r="P5" s="93">
        <f t="shared" ref="P5:P68" si="1">D5/C5</f>
        <v>0.84210526315789469</v>
      </c>
      <c r="Q5" s="93">
        <f t="shared" ref="Q5:Q68" si="2">E5/C5</f>
        <v>0.10526315789473684</v>
      </c>
      <c r="R5" s="93">
        <f t="shared" ref="R5:R68" si="3">F5/C5</f>
        <v>5.2631578947368418E-2</v>
      </c>
      <c r="S5" s="93">
        <f t="shared" ref="S5:S68" si="4">H5/G5</f>
        <v>0.91566265060240959</v>
      </c>
      <c r="T5" s="93">
        <f t="shared" ref="T5:T68" si="5">I5/G5</f>
        <v>4.0734366035570853E-2</v>
      </c>
      <c r="U5" s="93">
        <f t="shared" ref="U5:U68" si="6">J5/G5</f>
        <v>4.360298336201951E-2</v>
      </c>
      <c r="V5" s="93">
        <f t="shared" ref="V5:V68" si="7">L5/K5</f>
        <v>0.90283400809716596</v>
      </c>
      <c r="W5" s="93">
        <f t="shared" ref="W5:W68" si="8">M5/K5</f>
        <v>4.6153846153846156E-2</v>
      </c>
      <c r="X5" s="93">
        <f t="shared" ref="X5:X68" si="9">N5/K5</f>
        <v>5.1012145748987853E-2</v>
      </c>
    </row>
    <row r="6" spans="1:24">
      <c r="A6" s="353">
        <v>3</v>
      </c>
      <c r="B6" s="93" t="s">
        <v>615</v>
      </c>
      <c r="C6" s="93">
        <v>153</v>
      </c>
      <c r="D6" s="93">
        <v>146</v>
      </c>
      <c r="E6" s="93">
        <v>3</v>
      </c>
      <c r="F6" s="93">
        <f t="shared" ref="F6:F69" si="10">C6-D6-E6</f>
        <v>4</v>
      </c>
      <c r="G6" s="93">
        <v>3666</v>
      </c>
      <c r="H6" s="93">
        <v>3182</v>
      </c>
      <c r="I6" s="93">
        <v>233</v>
      </c>
      <c r="J6" s="93">
        <f t="shared" ref="J6:J69" si="11">G6-H6-I6</f>
        <v>251</v>
      </c>
      <c r="K6" s="93">
        <v>1832</v>
      </c>
      <c r="L6" s="93">
        <v>1586</v>
      </c>
      <c r="M6" s="93">
        <v>122</v>
      </c>
      <c r="N6" s="93">
        <f t="shared" ref="N6:N69" si="12">K6-L6-M6</f>
        <v>124</v>
      </c>
      <c r="P6" s="93">
        <f t="shared" si="1"/>
        <v>0.95424836601307195</v>
      </c>
      <c r="Q6" s="93">
        <f t="shared" si="2"/>
        <v>1.9607843137254902E-2</v>
      </c>
      <c r="R6" s="93">
        <f t="shared" si="3"/>
        <v>2.6143790849673203E-2</v>
      </c>
      <c r="S6" s="93">
        <f t="shared" si="4"/>
        <v>0.86797599563557015</v>
      </c>
      <c r="T6" s="93">
        <f t="shared" si="5"/>
        <v>6.3557010365520999E-2</v>
      </c>
      <c r="U6" s="93">
        <f t="shared" si="6"/>
        <v>6.846699399890889E-2</v>
      </c>
      <c r="V6" s="93">
        <f t="shared" si="7"/>
        <v>0.86572052401746724</v>
      </c>
      <c r="W6" s="93">
        <f t="shared" si="8"/>
        <v>6.6593886462882099E-2</v>
      </c>
      <c r="X6" s="93">
        <f t="shared" si="9"/>
        <v>6.768558951965066E-2</v>
      </c>
    </row>
    <row r="7" spans="1:24">
      <c r="A7" s="353">
        <v>5</v>
      </c>
      <c r="B7" s="93" t="s">
        <v>909</v>
      </c>
      <c r="C7" s="93">
        <v>32</v>
      </c>
      <c r="D7" s="93">
        <v>30</v>
      </c>
      <c r="E7" s="93">
        <v>1</v>
      </c>
      <c r="F7" s="93">
        <f>(C7-D7-E7)+0</f>
        <v>1</v>
      </c>
      <c r="G7" s="93">
        <v>158</v>
      </c>
      <c r="H7" s="93">
        <v>142</v>
      </c>
      <c r="I7" s="93">
        <v>10</v>
      </c>
      <c r="J7" s="93">
        <f>(G7-H7-I7)+1</f>
        <v>7</v>
      </c>
      <c r="K7" s="93">
        <v>103</v>
      </c>
      <c r="L7" s="93">
        <v>93</v>
      </c>
      <c r="M7" s="93">
        <v>10</v>
      </c>
      <c r="N7" s="93">
        <f>(K7-L7-M7)+0</f>
        <v>0</v>
      </c>
      <c r="P7" s="93">
        <f t="shared" si="1"/>
        <v>0.9375</v>
      </c>
      <c r="Q7" s="93">
        <f t="shared" si="2"/>
        <v>3.125E-2</v>
      </c>
      <c r="R7" s="93">
        <f t="shared" si="3"/>
        <v>3.125E-2</v>
      </c>
      <c r="S7" s="93">
        <f t="shared" si="4"/>
        <v>0.89873417721518989</v>
      </c>
      <c r="T7" s="93">
        <f t="shared" si="5"/>
        <v>6.3291139240506333E-2</v>
      </c>
      <c r="U7" s="93">
        <f t="shared" si="6"/>
        <v>4.4303797468354431E-2</v>
      </c>
      <c r="V7" s="93">
        <f t="shared" si="7"/>
        <v>0.90291262135922334</v>
      </c>
      <c r="W7" s="93">
        <f t="shared" si="8"/>
        <v>9.7087378640776698E-2</v>
      </c>
      <c r="X7" s="93">
        <f t="shared" si="9"/>
        <v>0</v>
      </c>
    </row>
    <row r="8" spans="1:24">
      <c r="A8" s="353">
        <v>7</v>
      </c>
      <c r="B8" s="93" t="s">
        <v>616</v>
      </c>
      <c r="C8" s="93">
        <v>15</v>
      </c>
      <c r="D8" s="93">
        <v>13</v>
      </c>
      <c r="E8" s="93">
        <v>2</v>
      </c>
      <c r="F8" s="93">
        <f t="shared" si="10"/>
        <v>0</v>
      </c>
      <c r="G8" s="93">
        <v>218</v>
      </c>
      <c r="H8" s="93">
        <v>178</v>
      </c>
      <c r="I8" s="93">
        <v>6</v>
      </c>
      <c r="J8" s="93">
        <f t="shared" si="11"/>
        <v>34</v>
      </c>
      <c r="K8" s="93">
        <v>90</v>
      </c>
      <c r="L8" s="93">
        <v>72</v>
      </c>
      <c r="M8" s="93">
        <v>3</v>
      </c>
      <c r="N8" s="93">
        <f t="shared" si="12"/>
        <v>15</v>
      </c>
      <c r="P8" s="93">
        <f t="shared" si="1"/>
        <v>0.8666666666666667</v>
      </c>
      <c r="Q8" s="93">
        <f t="shared" si="2"/>
        <v>0.13333333333333333</v>
      </c>
      <c r="R8" s="93">
        <f t="shared" si="3"/>
        <v>0</v>
      </c>
      <c r="S8" s="93">
        <f t="shared" si="4"/>
        <v>0.8165137614678899</v>
      </c>
      <c r="T8" s="93">
        <f t="shared" si="5"/>
        <v>2.7522935779816515E-2</v>
      </c>
      <c r="U8" s="93">
        <f t="shared" si="6"/>
        <v>0.15596330275229359</v>
      </c>
      <c r="V8" s="93">
        <f t="shared" si="7"/>
        <v>0.8</v>
      </c>
      <c r="W8" s="93">
        <f t="shared" si="8"/>
        <v>3.3333333333333333E-2</v>
      </c>
      <c r="X8" s="93">
        <f t="shared" si="9"/>
        <v>0.16666666666666666</v>
      </c>
    </row>
    <row r="9" spans="1:24">
      <c r="A9" s="353">
        <v>9</v>
      </c>
      <c r="B9" s="93" t="s">
        <v>617</v>
      </c>
      <c r="C9" s="93">
        <v>41</v>
      </c>
      <c r="D9" s="93">
        <v>33</v>
      </c>
      <c r="E9" s="93">
        <v>7</v>
      </c>
      <c r="F9" s="93">
        <f t="shared" si="10"/>
        <v>1</v>
      </c>
      <c r="G9" s="93">
        <v>397</v>
      </c>
      <c r="H9" s="93">
        <v>339</v>
      </c>
      <c r="I9" s="93">
        <v>45</v>
      </c>
      <c r="J9" s="93">
        <f t="shared" si="11"/>
        <v>13</v>
      </c>
      <c r="K9" s="93">
        <v>202</v>
      </c>
      <c r="L9" s="93">
        <v>185</v>
      </c>
      <c r="M9" s="93">
        <v>16</v>
      </c>
      <c r="N9" s="93">
        <f t="shared" si="12"/>
        <v>1</v>
      </c>
      <c r="P9" s="93">
        <f t="shared" si="1"/>
        <v>0.80487804878048785</v>
      </c>
      <c r="Q9" s="93">
        <f t="shared" si="2"/>
        <v>0.17073170731707318</v>
      </c>
      <c r="R9" s="93">
        <f t="shared" si="3"/>
        <v>2.4390243902439025E-2</v>
      </c>
      <c r="S9" s="93">
        <f t="shared" si="4"/>
        <v>0.853904282115869</v>
      </c>
      <c r="T9" s="93">
        <f t="shared" si="5"/>
        <v>0.11335012594458438</v>
      </c>
      <c r="U9" s="93">
        <f t="shared" si="6"/>
        <v>3.2745591939546598E-2</v>
      </c>
      <c r="V9" s="93">
        <f t="shared" si="7"/>
        <v>0.91584158415841588</v>
      </c>
      <c r="W9" s="93">
        <f t="shared" si="8"/>
        <v>7.9207920792079209E-2</v>
      </c>
      <c r="X9" s="93">
        <f t="shared" si="9"/>
        <v>4.9504950495049506E-3</v>
      </c>
    </row>
    <row r="10" spans="1:24">
      <c r="A10" s="353">
        <v>11</v>
      </c>
      <c r="B10" s="93" t="s">
        <v>618</v>
      </c>
      <c r="C10" s="93">
        <v>14</v>
      </c>
      <c r="D10" s="93">
        <v>14</v>
      </c>
      <c r="E10" s="93">
        <v>0</v>
      </c>
      <c r="F10" s="93">
        <f t="shared" si="10"/>
        <v>0</v>
      </c>
      <c r="G10" s="93">
        <v>115</v>
      </c>
      <c r="H10" s="93">
        <v>95</v>
      </c>
      <c r="I10" s="93">
        <v>11</v>
      </c>
      <c r="J10" s="93">
        <f t="shared" si="11"/>
        <v>9</v>
      </c>
      <c r="K10" s="93">
        <v>60</v>
      </c>
      <c r="L10" s="93">
        <v>51</v>
      </c>
      <c r="M10" s="93">
        <v>6</v>
      </c>
      <c r="N10" s="93">
        <f t="shared" si="12"/>
        <v>3</v>
      </c>
      <c r="P10" s="93">
        <f t="shared" si="1"/>
        <v>1</v>
      </c>
      <c r="Q10" s="93">
        <f t="shared" si="2"/>
        <v>0</v>
      </c>
      <c r="R10" s="93">
        <f t="shared" si="3"/>
        <v>0</v>
      </c>
      <c r="S10" s="93">
        <f t="shared" si="4"/>
        <v>0.82608695652173914</v>
      </c>
      <c r="T10" s="93">
        <f t="shared" si="5"/>
        <v>9.5652173913043481E-2</v>
      </c>
      <c r="U10" s="93">
        <f t="shared" si="6"/>
        <v>7.8260869565217397E-2</v>
      </c>
      <c r="V10" s="93">
        <f t="shared" si="7"/>
        <v>0.85</v>
      </c>
      <c r="W10" s="93">
        <f t="shared" si="8"/>
        <v>0.1</v>
      </c>
      <c r="X10" s="93">
        <f t="shared" si="9"/>
        <v>0.05</v>
      </c>
    </row>
    <row r="11" spans="1:24">
      <c r="A11" s="353">
        <v>13</v>
      </c>
      <c r="B11" s="93" t="s">
        <v>619</v>
      </c>
      <c r="C11" s="93">
        <v>1535</v>
      </c>
      <c r="D11" s="93">
        <v>1418</v>
      </c>
      <c r="E11" s="93">
        <v>55</v>
      </c>
      <c r="F11" s="93">
        <f t="shared" si="10"/>
        <v>62</v>
      </c>
      <c r="G11" s="93">
        <v>23449</v>
      </c>
      <c r="H11" s="93">
        <v>20976</v>
      </c>
      <c r="I11" s="93">
        <v>983</v>
      </c>
      <c r="J11" s="93">
        <f t="shared" si="11"/>
        <v>1490</v>
      </c>
      <c r="K11" s="93">
        <v>7809</v>
      </c>
      <c r="L11" s="93">
        <v>6853</v>
      </c>
      <c r="M11" s="93">
        <v>414</v>
      </c>
      <c r="N11" s="93">
        <f t="shared" si="12"/>
        <v>542</v>
      </c>
      <c r="P11" s="93">
        <f t="shared" si="1"/>
        <v>0.92377850162866448</v>
      </c>
      <c r="Q11" s="93">
        <f t="shared" si="2"/>
        <v>3.5830618892508145E-2</v>
      </c>
      <c r="R11" s="93">
        <f t="shared" si="3"/>
        <v>4.0390879478827364E-2</v>
      </c>
      <c r="S11" s="93">
        <f t="shared" si="4"/>
        <v>0.89453708047251479</v>
      </c>
      <c r="T11" s="93">
        <f t="shared" si="5"/>
        <v>4.1920764211693461E-2</v>
      </c>
      <c r="U11" s="93">
        <f t="shared" si="6"/>
        <v>6.3542155315791715E-2</v>
      </c>
      <c r="V11" s="93">
        <f t="shared" si="7"/>
        <v>0.87757715456524521</v>
      </c>
      <c r="W11" s="93">
        <f t="shared" si="8"/>
        <v>5.3015751056473298E-2</v>
      </c>
      <c r="X11" s="93">
        <f t="shared" si="9"/>
        <v>6.9407094378281464E-2</v>
      </c>
    </row>
    <row r="12" spans="1:24">
      <c r="A12" s="353">
        <v>15</v>
      </c>
      <c r="B12" s="93" t="s">
        <v>1112</v>
      </c>
      <c r="C12" s="93">
        <v>132</v>
      </c>
      <c r="D12" s="93">
        <v>115</v>
      </c>
      <c r="E12" s="93">
        <v>10</v>
      </c>
      <c r="F12" s="93">
        <f>((C12-D12-E12)+3)+1</f>
        <v>11</v>
      </c>
      <c r="G12" s="93">
        <v>2063</v>
      </c>
      <c r="H12" s="93">
        <v>1815</v>
      </c>
      <c r="I12" s="93">
        <v>162</v>
      </c>
      <c r="J12" s="93">
        <f>((G12-H12-I12)+21)+24</f>
        <v>131</v>
      </c>
      <c r="K12" s="93">
        <v>1405</v>
      </c>
      <c r="L12" s="93">
        <v>1224</v>
      </c>
      <c r="M12" s="93">
        <v>125</v>
      </c>
      <c r="N12" s="93">
        <f>((K12-L12-M12)+3)+22</f>
        <v>81</v>
      </c>
      <c r="P12" s="93">
        <f t="shared" si="1"/>
        <v>0.87121212121212122</v>
      </c>
      <c r="Q12" s="93">
        <f t="shared" si="2"/>
        <v>7.575757575757576E-2</v>
      </c>
      <c r="R12" s="93">
        <f t="shared" si="3"/>
        <v>8.3333333333333329E-2</v>
      </c>
      <c r="S12" s="93">
        <f t="shared" si="4"/>
        <v>0.87978671837130396</v>
      </c>
      <c r="T12" s="93">
        <f t="shared" si="5"/>
        <v>7.8526417838099855E-2</v>
      </c>
      <c r="U12" s="93">
        <f t="shared" si="6"/>
        <v>6.3499757634512849E-2</v>
      </c>
      <c r="V12" s="93">
        <f t="shared" si="7"/>
        <v>0.87117437722419933</v>
      </c>
      <c r="W12" s="93">
        <f t="shared" si="8"/>
        <v>8.8967971530249115E-2</v>
      </c>
      <c r="X12" s="93">
        <f t="shared" si="9"/>
        <v>5.7651245551601421E-2</v>
      </c>
    </row>
    <row r="13" spans="1:24">
      <c r="A13" s="353">
        <v>17</v>
      </c>
      <c r="B13" s="93" t="s">
        <v>620</v>
      </c>
      <c r="C13" s="93">
        <v>11</v>
      </c>
      <c r="D13" s="93">
        <v>10</v>
      </c>
      <c r="E13" s="93">
        <v>1</v>
      </c>
      <c r="F13" s="93">
        <f t="shared" si="10"/>
        <v>0</v>
      </c>
      <c r="G13" s="93">
        <v>54</v>
      </c>
      <c r="H13" s="93">
        <v>44</v>
      </c>
      <c r="I13" s="93">
        <v>8</v>
      </c>
      <c r="J13" s="93">
        <f t="shared" si="11"/>
        <v>2</v>
      </c>
      <c r="K13" s="93">
        <v>37</v>
      </c>
      <c r="L13" s="93">
        <v>26</v>
      </c>
      <c r="M13" s="93">
        <v>11</v>
      </c>
      <c r="N13" s="93">
        <f t="shared" si="12"/>
        <v>0</v>
      </c>
      <c r="P13" s="93">
        <f t="shared" si="1"/>
        <v>0.90909090909090906</v>
      </c>
      <c r="Q13" s="93">
        <f t="shared" si="2"/>
        <v>9.0909090909090912E-2</v>
      </c>
      <c r="R13" s="93">
        <f t="shared" si="3"/>
        <v>0</v>
      </c>
      <c r="S13" s="93">
        <f t="shared" si="4"/>
        <v>0.81481481481481477</v>
      </c>
      <c r="T13" s="93">
        <f t="shared" si="5"/>
        <v>0.14814814814814814</v>
      </c>
      <c r="U13" s="93">
        <f t="shared" si="6"/>
        <v>3.7037037037037035E-2</v>
      </c>
      <c r="V13" s="93">
        <f t="shared" si="7"/>
        <v>0.70270270270270274</v>
      </c>
      <c r="W13" s="93">
        <f t="shared" si="8"/>
        <v>0.29729729729729731</v>
      </c>
      <c r="X13" s="93">
        <f t="shared" si="9"/>
        <v>0</v>
      </c>
    </row>
    <row r="14" spans="1:24">
      <c r="A14" s="353">
        <v>19</v>
      </c>
      <c r="B14" s="93" t="s">
        <v>910</v>
      </c>
      <c r="C14" s="93">
        <v>87</v>
      </c>
      <c r="D14" s="93">
        <v>80</v>
      </c>
      <c r="E14" s="93">
        <v>6</v>
      </c>
      <c r="F14" s="93">
        <f>(C14-D14-E14)+0</f>
        <v>1</v>
      </c>
      <c r="G14" s="93">
        <v>760</v>
      </c>
      <c r="H14" s="93">
        <v>697</v>
      </c>
      <c r="I14" s="93">
        <v>35</v>
      </c>
      <c r="J14" s="93">
        <f>(G14-H14-I14)+4</f>
        <v>32</v>
      </c>
      <c r="K14" s="93">
        <v>515</v>
      </c>
      <c r="L14" s="93">
        <v>448</v>
      </c>
      <c r="M14" s="93">
        <v>46</v>
      </c>
      <c r="N14" s="93">
        <f>(K14-L14-M14)+2</f>
        <v>23</v>
      </c>
      <c r="P14" s="93">
        <f t="shared" si="1"/>
        <v>0.91954022988505746</v>
      </c>
      <c r="Q14" s="93">
        <f t="shared" si="2"/>
        <v>6.8965517241379309E-2</v>
      </c>
      <c r="R14" s="93">
        <f t="shared" si="3"/>
        <v>1.1494252873563218E-2</v>
      </c>
      <c r="S14" s="93">
        <f t="shared" si="4"/>
        <v>0.91710526315789476</v>
      </c>
      <c r="T14" s="93">
        <f t="shared" si="5"/>
        <v>4.6052631578947366E-2</v>
      </c>
      <c r="U14" s="93">
        <f t="shared" si="6"/>
        <v>4.2105263157894736E-2</v>
      </c>
      <c r="V14" s="93">
        <f t="shared" si="7"/>
        <v>0.86990291262135921</v>
      </c>
      <c r="W14" s="93">
        <f t="shared" si="8"/>
        <v>8.9320388349514557E-2</v>
      </c>
      <c r="X14" s="93">
        <f t="shared" si="9"/>
        <v>4.4660194174757278E-2</v>
      </c>
    </row>
    <row r="15" spans="1:24">
      <c r="A15" s="353">
        <v>21</v>
      </c>
      <c r="B15" s="93" t="s">
        <v>621</v>
      </c>
      <c r="C15" s="93">
        <v>1</v>
      </c>
      <c r="D15" s="93">
        <v>1</v>
      </c>
      <c r="E15" s="93">
        <v>0</v>
      </c>
      <c r="F15" s="93">
        <f t="shared" si="10"/>
        <v>0</v>
      </c>
      <c r="G15" s="93">
        <v>39</v>
      </c>
      <c r="H15" s="93">
        <v>37</v>
      </c>
      <c r="I15" s="93">
        <v>2</v>
      </c>
      <c r="J15" s="93">
        <f t="shared" si="11"/>
        <v>0</v>
      </c>
      <c r="K15" s="93">
        <v>10</v>
      </c>
      <c r="L15" s="93">
        <v>10</v>
      </c>
      <c r="M15" s="93">
        <v>0</v>
      </c>
      <c r="N15" s="93">
        <f t="shared" si="12"/>
        <v>0</v>
      </c>
      <c r="P15" s="93">
        <f t="shared" si="1"/>
        <v>1</v>
      </c>
      <c r="Q15" s="93">
        <f t="shared" si="2"/>
        <v>0</v>
      </c>
      <c r="R15" s="93">
        <f t="shared" si="3"/>
        <v>0</v>
      </c>
      <c r="S15" s="93">
        <f t="shared" si="4"/>
        <v>0.94871794871794868</v>
      </c>
      <c r="T15" s="93">
        <f t="shared" si="5"/>
        <v>5.128205128205128E-2</v>
      </c>
      <c r="U15" s="93">
        <f t="shared" si="6"/>
        <v>0</v>
      </c>
      <c r="V15" s="93">
        <f t="shared" si="7"/>
        <v>1</v>
      </c>
      <c r="W15" s="93">
        <f t="shared" si="8"/>
        <v>0</v>
      </c>
      <c r="X15" s="93">
        <f t="shared" si="9"/>
        <v>0</v>
      </c>
    </row>
    <row r="16" spans="1:24">
      <c r="A16" s="353">
        <v>23</v>
      </c>
      <c r="B16" s="93" t="s">
        <v>622</v>
      </c>
      <c r="C16" s="93">
        <v>16</v>
      </c>
      <c r="D16" s="93">
        <v>16</v>
      </c>
      <c r="E16" s="93">
        <v>0</v>
      </c>
      <c r="F16" s="93">
        <f t="shared" si="10"/>
        <v>0</v>
      </c>
      <c r="G16" s="93">
        <v>212</v>
      </c>
      <c r="H16" s="93">
        <v>184</v>
      </c>
      <c r="I16" s="93">
        <v>13</v>
      </c>
      <c r="J16" s="93">
        <f t="shared" si="11"/>
        <v>15</v>
      </c>
      <c r="K16" s="93">
        <v>167</v>
      </c>
      <c r="L16" s="93">
        <v>141</v>
      </c>
      <c r="M16" s="93">
        <v>18</v>
      </c>
      <c r="N16" s="93">
        <f t="shared" si="12"/>
        <v>8</v>
      </c>
      <c r="P16" s="93">
        <f t="shared" si="1"/>
        <v>1</v>
      </c>
      <c r="Q16" s="93">
        <f t="shared" si="2"/>
        <v>0</v>
      </c>
      <c r="R16" s="93">
        <f t="shared" si="3"/>
        <v>0</v>
      </c>
      <c r="S16" s="93">
        <f t="shared" si="4"/>
        <v>0.86792452830188682</v>
      </c>
      <c r="T16" s="93">
        <f t="shared" si="5"/>
        <v>6.1320754716981132E-2</v>
      </c>
      <c r="U16" s="93">
        <f t="shared" si="6"/>
        <v>7.0754716981132074E-2</v>
      </c>
      <c r="V16" s="93">
        <f t="shared" si="7"/>
        <v>0.84431137724550898</v>
      </c>
      <c r="W16" s="93">
        <f t="shared" si="8"/>
        <v>0.10778443113772455</v>
      </c>
      <c r="X16" s="93">
        <f t="shared" si="9"/>
        <v>4.790419161676647E-2</v>
      </c>
    </row>
    <row r="17" spans="1:24">
      <c r="A17" s="353">
        <v>25</v>
      </c>
      <c r="B17" s="93" t="s">
        <v>623</v>
      </c>
      <c r="C17" s="93">
        <v>13</v>
      </c>
      <c r="D17" s="93">
        <v>8</v>
      </c>
      <c r="E17" s="93">
        <v>4</v>
      </c>
      <c r="F17" s="93">
        <f t="shared" si="10"/>
        <v>1</v>
      </c>
      <c r="G17" s="93">
        <v>199</v>
      </c>
      <c r="H17" s="93">
        <v>145</v>
      </c>
      <c r="I17" s="93">
        <v>46</v>
      </c>
      <c r="J17" s="93">
        <f t="shared" si="11"/>
        <v>8</v>
      </c>
      <c r="K17" s="93">
        <v>104</v>
      </c>
      <c r="L17" s="93">
        <v>73</v>
      </c>
      <c r="M17" s="93">
        <v>23</v>
      </c>
      <c r="N17" s="93">
        <f t="shared" si="12"/>
        <v>8</v>
      </c>
      <c r="P17" s="93">
        <f t="shared" si="1"/>
        <v>0.61538461538461542</v>
      </c>
      <c r="Q17" s="93">
        <f t="shared" si="2"/>
        <v>0.30769230769230771</v>
      </c>
      <c r="R17" s="93">
        <f t="shared" si="3"/>
        <v>7.6923076923076927E-2</v>
      </c>
      <c r="S17" s="93">
        <f t="shared" si="4"/>
        <v>0.72864321608040206</v>
      </c>
      <c r="T17" s="93">
        <f t="shared" si="5"/>
        <v>0.23115577889447236</v>
      </c>
      <c r="U17" s="93">
        <f t="shared" si="6"/>
        <v>4.0201005025125629E-2</v>
      </c>
      <c r="V17" s="93">
        <f t="shared" si="7"/>
        <v>0.70192307692307687</v>
      </c>
      <c r="W17" s="93">
        <f t="shared" si="8"/>
        <v>0.22115384615384615</v>
      </c>
      <c r="X17" s="93">
        <f t="shared" si="9"/>
        <v>7.6923076923076927E-2</v>
      </c>
    </row>
    <row r="18" spans="1:24">
      <c r="A18" s="353">
        <v>27</v>
      </c>
      <c r="B18" s="93" t="s">
        <v>624</v>
      </c>
      <c r="C18" s="93">
        <v>8</v>
      </c>
      <c r="D18" s="93">
        <v>8</v>
      </c>
      <c r="E18" s="93">
        <v>0</v>
      </c>
      <c r="F18" s="93">
        <f t="shared" si="10"/>
        <v>0</v>
      </c>
      <c r="G18" s="93">
        <v>50</v>
      </c>
      <c r="H18" s="93">
        <v>44</v>
      </c>
      <c r="I18" s="93">
        <v>3</v>
      </c>
      <c r="J18" s="93">
        <f t="shared" si="11"/>
        <v>3</v>
      </c>
      <c r="K18" s="93">
        <v>42</v>
      </c>
      <c r="L18" s="93">
        <v>36</v>
      </c>
      <c r="M18" s="93">
        <v>2</v>
      </c>
      <c r="N18" s="93">
        <f t="shared" si="12"/>
        <v>4</v>
      </c>
      <c r="P18" s="93">
        <f t="shared" si="1"/>
        <v>1</v>
      </c>
      <c r="Q18" s="93">
        <f t="shared" si="2"/>
        <v>0</v>
      </c>
      <c r="R18" s="93">
        <f t="shared" si="3"/>
        <v>0</v>
      </c>
      <c r="S18" s="93">
        <f t="shared" si="4"/>
        <v>0.88</v>
      </c>
      <c r="T18" s="93">
        <f t="shared" si="5"/>
        <v>0.06</v>
      </c>
      <c r="U18" s="93">
        <f t="shared" si="6"/>
        <v>0.06</v>
      </c>
      <c r="V18" s="93">
        <f t="shared" si="7"/>
        <v>0.8571428571428571</v>
      </c>
      <c r="W18" s="93">
        <f t="shared" si="8"/>
        <v>4.7619047619047616E-2</v>
      </c>
      <c r="X18" s="93">
        <f t="shared" si="9"/>
        <v>9.5238095238095233E-2</v>
      </c>
    </row>
    <row r="19" spans="1:24">
      <c r="A19" s="353">
        <v>29</v>
      </c>
      <c r="B19" s="93" t="s">
        <v>625</v>
      </c>
      <c r="C19" s="93">
        <v>13</v>
      </c>
      <c r="D19" s="93">
        <v>8</v>
      </c>
      <c r="E19" s="93">
        <v>5</v>
      </c>
      <c r="F19" s="93">
        <f t="shared" si="10"/>
        <v>0</v>
      </c>
      <c r="G19" s="93">
        <v>197</v>
      </c>
      <c r="H19" s="93">
        <v>163</v>
      </c>
      <c r="I19" s="93">
        <v>27</v>
      </c>
      <c r="J19" s="93">
        <f t="shared" si="11"/>
        <v>7</v>
      </c>
      <c r="K19" s="93">
        <v>88</v>
      </c>
      <c r="L19" s="93">
        <v>72</v>
      </c>
      <c r="M19" s="93">
        <v>16</v>
      </c>
      <c r="N19" s="93">
        <f t="shared" si="12"/>
        <v>0</v>
      </c>
      <c r="P19" s="93">
        <f t="shared" si="1"/>
        <v>0.61538461538461542</v>
      </c>
      <c r="Q19" s="93">
        <f t="shared" si="2"/>
        <v>0.38461538461538464</v>
      </c>
      <c r="R19" s="93">
        <f t="shared" si="3"/>
        <v>0</v>
      </c>
      <c r="S19" s="93">
        <f t="shared" si="4"/>
        <v>0.82741116751269039</v>
      </c>
      <c r="T19" s="93">
        <f t="shared" si="5"/>
        <v>0.13705583756345177</v>
      </c>
      <c r="U19" s="93">
        <f t="shared" si="6"/>
        <v>3.553299492385787E-2</v>
      </c>
      <c r="V19" s="93">
        <f t="shared" si="7"/>
        <v>0.81818181818181823</v>
      </c>
      <c r="W19" s="93">
        <f t="shared" si="8"/>
        <v>0.18181818181818182</v>
      </c>
      <c r="X19" s="93">
        <f t="shared" si="9"/>
        <v>0</v>
      </c>
    </row>
    <row r="20" spans="1:24">
      <c r="A20" s="353">
        <v>31</v>
      </c>
      <c r="B20" s="93" t="s">
        <v>626</v>
      </c>
      <c r="C20" s="93">
        <v>37</v>
      </c>
      <c r="D20" s="93">
        <v>34</v>
      </c>
      <c r="E20" s="93">
        <v>2</v>
      </c>
      <c r="F20" s="93">
        <f t="shared" si="10"/>
        <v>1</v>
      </c>
      <c r="G20" s="93">
        <v>672</v>
      </c>
      <c r="H20" s="93">
        <v>604</v>
      </c>
      <c r="I20" s="93">
        <v>40</v>
      </c>
      <c r="J20" s="93">
        <f t="shared" si="11"/>
        <v>28</v>
      </c>
      <c r="K20" s="93">
        <v>310</v>
      </c>
      <c r="L20" s="93">
        <v>277</v>
      </c>
      <c r="M20" s="93">
        <v>26</v>
      </c>
      <c r="N20" s="93">
        <f t="shared" si="12"/>
        <v>7</v>
      </c>
      <c r="P20" s="93">
        <f t="shared" si="1"/>
        <v>0.91891891891891897</v>
      </c>
      <c r="Q20" s="93">
        <f t="shared" si="2"/>
        <v>5.4054054054054057E-2</v>
      </c>
      <c r="R20" s="93">
        <f t="shared" si="3"/>
        <v>2.7027027027027029E-2</v>
      </c>
      <c r="S20" s="93">
        <f t="shared" si="4"/>
        <v>0.89880952380952384</v>
      </c>
      <c r="T20" s="93">
        <f t="shared" si="5"/>
        <v>5.9523809523809521E-2</v>
      </c>
      <c r="U20" s="93">
        <f t="shared" si="6"/>
        <v>4.1666666666666664E-2</v>
      </c>
      <c r="V20" s="93">
        <f t="shared" si="7"/>
        <v>0.8935483870967742</v>
      </c>
      <c r="W20" s="93">
        <f t="shared" si="8"/>
        <v>8.387096774193549E-2</v>
      </c>
      <c r="X20" s="93">
        <f t="shared" si="9"/>
        <v>2.2580645161290321E-2</v>
      </c>
    </row>
    <row r="21" spans="1:24">
      <c r="A21" s="353">
        <v>33</v>
      </c>
      <c r="B21" s="93" t="s">
        <v>627</v>
      </c>
      <c r="C21" s="93">
        <v>46</v>
      </c>
      <c r="D21" s="93">
        <v>39</v>
      </c>
      <c r="E21" s="93">
        <v>6</v>
      </c>
      <c r="F21" s="93">
        <f t="shared" si="10"/>
        <v>1</v>
      </c>
      <c r="G21" s="93">
        <v>606</v>
      </c>
      <c r="H21" s="93">
        <v>501</v>
      </c>
      <c r="I21" s="93">
        <v>63</v>
      </c>
      <c r="J21" s="93">
        <f t="shared" si="11"/>
        <v>42</v>
      </c>
      <c r="K21" s="93">
        <v>364</v>
      </c>
      <c r="L21" s="93">
        <v>284</v>
      </c>
      <c r="M21" s="93">
        <v>62</v>
      </c>
      <c r="N21" s="93">
        <f t="shared" si="12"/>
        <v>18</v>
      </c>
      <c r="P21" s="93">
        <f t="shared" si="1"/>
        <v>0.84782608695652173</v>
      </c>
      <c r="Q21" s="93">
        <f t="shared" si="2"/>
        <v>0.13043478260869565</v>
      </c>
      <c r="R21" s="93">
        <f t="shared" si="3"/>
        <v>2.1739130434782608E-2</v>
      </c>
      <c r="S21" s="93">
        <f t="shared" si="4"/>
        <v>0.82673267326732669</v>
      </c>
      <c r="T21" s="93">
        <f t="shared" si="5"/>
        <v>0.10396039603960396</v>
      </c>
      <c r="U21" s="93">
        <f t="shared" si="6"/>
        <v>6.9306930693069313E-2</v>
      </c>
      <c r="V21" s="93">
        <f t="shared" si="7"/>
        <v>0.78021978021978022</v>
      </c>
      <c r="W21" s="93">
        <f t="shared" si="8"/>
        <v>0.17032967032967034</v>
      </c>
      <c r="X21" s="93">
        <f t="shared" si="9"/>
        <v>4.9450549450549448E-2</v>
      </c>
    </row>
    <row r="22" spans="1:24">
      <c r="A22" s="353">
        <v>35</v>
      </c>
      <c r="B22" s="93" t="s">
        <v>628</v>
      </c>
      <c r="C22" s="93">
        <v>34</v>
      </c>
      <c r="D22" s="93">
        <v>33</v>
      </c>
      <c r="E22" s="93">
        <v>0</v>
      </c>
      <c r="F22" s="93">
        <f t="shared" si="10"/>
        <v>1</v>
      </c>
      <c r="G22" s="93">
        <v>457</v>
      </c>
      <c r="H22" s="93">
        <v>425</v>
      </c>
      <c r="I22" s="93">
        <v>5</v>
      </c>
      <c r="J22" s="93">
        <f t="shared" si="11"/>
        <v>27</v>
      </c>
      <c r="K22" s="93">
        <v>344</v>
      </c>
      <c r="L22" s="93">
        <v>314</v>
      </c>
      <c r="M22" s="93">
        <v>6</v>
      </c>
      <c r="N22" s="93">
        <f t="shared" si="12"/>
        <v>24</v>
      </c>
      <c r="P22" s="93">
        <f t="shared" si="1"/>
        <v>0.97058823529411764</v>
      </c>
      <c r="Q22" s="93">
        <f t="shared" si="2"/>
        <v>0</v>
      </c>
      <c r="R22" s="93">
        <f t="shared" si="3"/>
        <v>2.9411764705882353E-2</v>
      </c>
      <c r="S22" s="93">
        <f t="shared" si="4"/>
        <v>0.92997811816192555</v>
      </c>
      <c r="T22" s="93">
        <f t="shared" si="5"/>
        <v>1.0940919037199124E-2</v>
      </c>
      <c r="U22" s="93">
        <f t="shared" si="6"/>
        <v>5.9080962800875277E-2</v>
      </c>
      <c r="V22" s="93">
        <f t="shared" si="7"/>
        <v>0.91279069767441856</v>
      </c>
      <c r="W22" s="93">
        <f t="shared" si="8"/>
        <v>1.7441860465116279E-2</v>
      </c>
      <c r="X22" s="93">
        <f t="shared" si="9"/>
        <v>6.9767441860465115E-2</v>
      </c>
    </row>
    <row r="23" spans="1:24">
      <c r="A23" s="353">
        <v>36</v>
      </c>
      <c r="B23" s="93" t="s">
        <v>629</v>
      </c>
      <c r="C23" s="93">
        <v>3</v>
      </c>
      <c r="D23" s="93">
        <v>3</v>
      </c>
      <c r="E23" s="93">
        <v>0</v>
      </c>
      <c r="F23" s="93">
        <f t="shared" si="10"/>
        <v>0</v>
      </c>
      <c r="G23" s="93">
        <v>78</v>
      </c>
      <c r="H23" s="93">
        <v>47</v>
      </c>
      <c r="I23" s="93">
        <v>4</v>
      </c>
      <c r="J23" s="93">
        <f t="shared" si="11"/>
        <v>27</v>
      </c>
      <c r="K23" s="93">
        <v>26</v>
      </c>
      <c r="L23" s="93">
        <v>18</v>
      </c>
      <c r="M23" s="93">
        <v>4</v>
      </c>
      <c r="N23" s="93">
        <f t="shared" si="12"/>
        <v>4</v>
      </c>
      <c r="P23" s="93">
        <f t="shared" si="1"/>
        <v>1</v>
      </c>
      <c r="Q23" s="93">
        <f t="shared" si="2"/>
        <v>0</v>
      </c>
      <c r="R23" s="93">
        <f t="shared" si="3"/>
        <v>0</v>
      </c>
      <c r="S23" s="93">
        <f t="shared" si="4"/>
        <v>0.60256410256410253</v>
      </c>
      <c r="T23" s="93">
        <f t="shared" si="5"/>
        <v>5.128205128205128E-2</v>
      </c>
      <c r="U23" s="93">
        <f t="shared" si="6"/>
        <v>0.34615384615384615</v>
      </c>
      <c r="V23" s="93">
        <f t="shared" si="7"/>
        <v>0.69230769230769229</v>
      </c>
      <c r="W23" s="93">
        <f t="shared" si="8"/>
        <v>0.15384615384615385</v>
      </c>
      <c r="X23" s="93">
        <f t="shared" si="9"/>
        <v>0.15384615384615385</v>
      </c>
    </row>
    <row r="24" spans="1:24">
      <c r="A24" s="353">
        <v>37</v>
      </c>
      <c r="B24" s="93" t="s">
        <v>630</v>
      </c>
      <c r="C24" s="93">
        <v>10</v>
      </c>
      <c r="D24" s="93">
        <v>9</v>
      </c>
      <c r="E24" s="93">
        <v>1</v>
      </c>
      <c r="F24" s="93">
        <f t="shared" si="10"/>
        <v>0</v>
      </c>
      <c r="G24" s="93">
        <v>164</v>
      </c>
      <c r="H24" s="93">
        <v>133</v>
      </c>
      <c r="I24" s="93">
        <v>22</v>
      </c>
      <c r="J24" s="93">
        <f t="shared" si="11"/>
        <v>9</v>
      </c>
      <c r="K24" s="93">
        <v>100</v>
      </c>
      <c r="L24" s="93">
        <v>75</v>
      </c>
      <c r="M24" s="93">
        <v>21</v>
      </c>
      <c r="N24" s="93">
        <f t="shared" si="12"/>
        <v>4</v>
      </c>
      <c r="P24" s="93">
        <f t="shared" si="1"/>
        <v>0.9</v>
      </c>
      <c r="Q24" s="93">
        <f t="shared" si="2"/>
        <v>0.1</v>
      </c>
      <c r="R24" s="93">
        <f t="shared" si="3"/>
        <v>0</v>
      </c>
      <c r="S24" s="93">
        <f t="shared" si="4"/>
        <v>0.81097560975609762</v>
      </c>
      <c r="T24" s="93">
        <f t="shared" si="5"/>
        <v>0.13414634146341464</v>
      </c>
      <c r="U24" s="93">
        <f t="shared" si="6"/>
        <v>5.4878048780487805E-2</v>
      </c>
      <c r="V24" s="93">
        <f t="shared" si="7"/>
        <v>0.75</v>
      </c>
      <c r="W24" s="93">
        <f t="shared" si="8"/>
        <v>0.21</v>
      </c>
      <c r="X24" s="93">
        <f t="shared" si="9"/>
        <v>0.04</v>
      </c>
    </row>
    <row r="25" spans="1:24">
      <c r="A25" s="353">
        <v>41</v>
      </c>
      <c r="B25" s="93" t="s">
        <v>911</v>
      </c>
      <c r="C25" s="93">
        <v>650</v>
      </c>
      <c r="D25" s="93">
        <v>564</v>
      </c>
      <c r="E25" s="93">
        <v>57</v>
      </c>
      <c r="F25" s="93">
        <f>(C25-D25-E25)+3</f>
        <v>32</v>
      </c>
      <c r="G25" s="93">
        <v>14927</v>
      </c>
      <c r="H25" s="93">
        <v>12410</v>
      </c>
      <c r="I25" s="93">
        <v>1545</v>
      </c>
      <c r="J25" s="93">
        <f>(G25-H25-I25)+20</f>
        <v>992</v>
      </c>
      <c r="K25" s="93">
        <v>8746</v>
      </c>
      <c r="L25" s="93">
        <v>7085</v>
      </c>
      <c r="M25" s="93">
        <v>1130</v>
      </c>
      <c r="N25" s="93">
        <f>(K25-L25-M25)+13</f>
        <v>544</v>
      </c>
      <c r="P25" s="93">
        <f t="shared" si="1"/>
        <v>0.86769230769230765</v>
      </c>
      <c r="Q25" s="93">
        <f t="shared" si="2"/>
        <v>8.7692307692307694E-2</v>
      </c>
      <c r="R25" s="93">
        <f t="shared" si="3"/>
        <v>4.9230769230769231E-2</v>
      </c>
      <c r="S25" s="93">
        <f t="shared" si="4"/>
        <v>0.83137937964761843</v>
      </c>
      <c r="T25" s="93">
        <f t="shared" si="5"/>
        <v>0.10350371809472768</v>
      </c>
      <c r="U25" s="93">
        <f t="shared" si="6"/>
        <v>6.6456756213572721E-2</v>
      </c>
      <c r="V25" s="93">
        <f t="shared" si="7"/>
        <v>0.81008461010747768</v>
      </c>
      <c r="W25" s="93">
        <f t="shared" si="8"/>
        <v>0.12920192087811572</v>
      </c>
      <c r="X25" s="93">
        <f t="shared" si="9"/>
        <v>6.2199862794420309E-2</v>
      </c>
    </row>
    <row r="26" spans="1:24">
      <c r="A26" s="353">
        <v>43</v>
      </c>
      <c r="B26" s="93" t="s">
        <v>631</v>
      </c>
      <c r="C26" s="93">
        <v>19</v>
      </c>
      <c r="D26" s="93">
        <v>17</v>
      </c>
      <c r="E26" s="93">
        <v>1</v>
      </c>
      <c r="F26" s="93">
        <f t="shared" si="10"/>
        <v>1</v>
      </c>
      <c r="G26" s="93">
        <v>304</v>
      </c>
      <c r="H26" s="93">
        <v>276</v>
      </c>
      <c r="I26" s="93">
        <v>5</v>
      </c>
      <c r="J26" s="93">
        <f t="shared" si="11"/>
        <v>23</v>
      </c>
      <c r="K26" s="93">
        <v>186</v>
      </c>
      <c r="L26" s="93">
        <v>167</v>
      </c>
      <c r="M26" s="93">
        <v>8</v>
      </c>
      <c r="N26" s="93">
        <f t="shared" si="12"/>
        <v>11</v>
      </c>
      <c r="P26" s="93">
        <f t="shared" si="1"/>
        <v>0.89473684210526316</v>
      </c>
      <c r="Q26" s="93">
        <f t="shared" si="2"/>
        <v>5.2631578947368418E-2</v>
      </c>
      <c r="R26" s="93">
        <f t="shared" si="3"/>
        <v>5.2631578947368418E-2</v>
      </c>
      <c r="S26" s="93">
        <f t="shared" si="4"/>
        <v>0.90789473684210531</v>
      </c>
      <c r="T26" s="93">
        <f t="shared" si="5"/>
        <v>1.6447368421052631E-2</v>
      </c>
      <c r="U26" s="93">
        <f t="shared" si="6"/>
        <v>7.5657894736842105E-2</v>
      </c>
      <c r="V26" s="93">
        <f t="shared" si="7"/>
        <v>0.89784946236559138</v>
      </c>
      <c r="W26" s="93">
        <f t="shared" si="8"/>
        <v>4.3010752688172046E-2</v>
      </c>
      <c r="X26" s="93">
        <f t="shared" si="9"/>
        <v>5.9139784946236562E-2</v>
      </c>
    </row>
    <row r="27" spans="1:24">
      <c r="A27" s="353">
        <v>45</v>
      </c>
      <c r="B27" s="93" t="s">
        <v>632</v>
      </c>
      <c r="C27" s="93">
        <v>5</v>
      </c>
      <c r="D27" s="93">
        <v>5</v>
      </c>
      <c r="E27" s="93">
        <v>0</v>
      </c>
      <c r="F27" s="93">
        <f t="shared" si="10"/>
        <v>0</v>
      </c>
      <c r="G27" s="93">
        <v>24</v>
      </c>
      <c r="H27" s="93">
        <v>18</v>
      </c>
      <c r="I27" s="93">
        <v>1</v>
      </c>
      <c r="J27" s="93">
        <f t="shared" si="11"/>
        <v>5</v>
      </c>
      <c r="K27" s="93">
        <v>18</v>
      </c>
      <c r="L27" s="93">
        <v>17</v>
      </c>
      <c r="M27" s="93">
        <v>0</v>
      </c>
      <c r="N27" s="93">
        <f t="shared" si="12"/>
        <v>1</v>
      </c>
      <c r="P27" s="93">
        <f t="shared" si="1"/>
        <v>1</v>
      </c>
      <c r="Q27" s="93">
        <f t="shared" si="2"/>
        <v>0</v>
      </c>
      <c r="R27" s="93">
        <f t="shared" si="3"/>
        <v>0</v>
      </c>
      <c r="S27" s="93">
        <f t="shared" si="4"/>
        <v>0.75</v>
      </c>
      <c r="T27" s="93">
        <f t="shared" si="5"/>
        <v>4.1666666666666664E-2</v>
      </c>
      <c r="U27" s="93">
        <f t="shared" si="6"/>
        <v>0.20833333333333334</v>
      </c>
      <c r="V27" s="93">
        <f t="shared" si="7"/>
        <v>0.94444444444444442</v>
      </c>
      <c r="W27" s="93">
        <f t="shared" si="8"/>
        <v>0</v>
      </c>
      <c r="X27" s="93">
        <f t="shared" si="9"/>
        <v>5.5555555555555552E-2</v>
      </c>
    </row>
    <row r="28" spans="1:24">
      <c r="A28" s="353">
        <v>47</v>
      </c>
      <c r="B28" s="93" t="s">
        <v>633</v>
      </c>
      <c r="C28" s="93">
        <v>95</v>
      </c>
      <c r="D28" s="93">
        <v>83</v>
      </c>
      <c r="E28" s="93">
        <v>7</v>
      </c>
      <c r="F28" s="93">
        <f t="shared" si="10"/>
        <v>5</v>
      </c>
      <c r="G28" s="93">
        <v>2527</v>
      </c>
      <c r="H28" s="93">
        <v>2116</v>
      </c>
      <c r="I28" s="93">
        <v>193</v>
      </c>
      <c r="J28" s="93">
        <f t="shared" si="11"/>
        <v>218</v>
      </c>
      <c r="K28" s="93">
        <v>1584</v>
      </c>
      <c r="L28" s="93">
        <v>1282</v>
      </c>
      <c r="M28" s="93">
        <v>176</v>
      </c>
      <c r="N28" s="93">
        <f t="shared" si="12"/>
        <v>126</v>
      </c>
      <c r="P28" s="93">
        <f t="shared" si="1"/>
        <v>0.87368421052631584</v>
      </c>
      <c r="Q28" s="93">
        <f t="shared" si="2"/>
        <v>7.3684210526315783E-2</v>
      </c>
      <c r="R28" s="93">
        <f t="shared" si="3"/>
        <v>5.2631578947368418E-2</v>
      </c>
      <c r="S28" s="93">
        <f t="shared" si="4"/>
        <v>0.83735654926790659</v>
      </c>
      <c r="T28" s="93">
        <f t="shared" si="5"/>
        <v>7.6375148397309064E-2</v>
      </c>
      <c r="U28" s="93">
        <f t="shared" si="6"/>
        <v>8.626830233478433E-2</v>
      </c>
      <c r="V28" s="93">
        <f t="shared" si="7"/>
        <v>0.80934343434343436</v>
      </c>
      <c r="W28" s="93">
        <f t="shared" si="8"/>
        <v>0.1111111111111111</v>
      </c>
      <c r="X28" s="93">
        <f t="shared" si="9"/>
        <v>7.9545454545454544E-2</v>
      </c>
    </row>
    <row r="29" spans="1:24">
      <c r="A29" s="353">
        <v>49</v>
      </c>
      <c r="B29" s="93" t="s">
        <v>634</v>
      </c>
      <c r="C29" s="93">
        <v>3</v>
      </c>
      <c r="D29" s="93">
        <v>1</v>
      </c>
      <c r="E29" s="93">
        <v>2</v>
      </c>
      <c r="F29" s="93">
        <f t="shared" si="10"/>
        <v>0</v>
      </c>
      <c r="G29" s="93">
        <v>111</v>
      </c>
      <c r="H29" s="93">
        <v>92</v>
      </c>
      <c r="I29" s="93">
        <v>15</v>
      </c>
      <c r="J29" s="93">
        <f t="shared" si="11"/>
        <v>4</v>
      </c>
      <c r="K29" s="93">
        <v>95</v>
      </c>
      <c r="L29" s="93">
        <v>67</v>
      </c>
      <c r="M29" s="93">
        <v>27</v>
      </c>
      <c r="N29" s="93">
        <f t="shared" si="12"/>
        <v>1</v>
      </c>
      <c r="P29" s="93">
        <f t="shared" si="1"/>
        <v>0.33333333333333331</v>
      </c>
      <c r="Q29" s="93">
        <f t="shared" si="2"/>
        <v>0.66666666666666663</v>
      </c>
      <c r="R29" s="93">
        <f t="shared" si="3"/>
        <v>0</v>
      </c>
      <c r="S29" s="93">
        <f t="shared" si="4"/>
        <v>0.8288288288288288</v>
      </c>
      <c r="T29" s="93">
        <f t="shared" si="5"/>
        <v>0.13513513513513514</v>
      </c>
      <c r="U29" s="93">
        <f t="shared" si="6"/>
        <v>3.6036036036036036E-2</v>
      </c>
      <c r="V29" s="93">
        <f t="shared" si="7"/>
        <v>0.70526315789473681</v>
      </c>
      <c r="W29" s="93">
        <f t="shared" si="8"/>
        <v>0.28421052631578947</v>
      </c>
      <c r="X29" s="93">
        <f t="shared" si="9"/>
        <v>1.0526315789473684E-2</v>
      </c>
    </row>
    <row r="30" spans="1:24">
      <c r="A30" s="353">
        <v>51</v>
      </c>
      <c r="B30" s="93" t="s">
        <v>635</v>
      </c>
      <c r="C30" s="93">
        <v>7</v>
      </c>
      <c r="D30" s="93">
        <v>7</v>
      </c>
      <c r="E30" s="93">
        <v>0</v>
      </c>
      <c r="F30" s="93">
        <f t="shared" si="10"/>
        <v>0</v>
      </c>
      <c r="G30" s="93">
        <v>53</v>
      </c>
      <c r="H30" s="93">
        <v>45</v>
      </c>
      <c r="I30" s="93">
        <v>4</v>
      </c>
      <c r="J30" s="93">
        <f t="shared" si="11"/>
        <v>4</v>
      </c>
      <c r="K30" s="93">
        <v>34</v>
      </c>
      <c r="L30" s="93">
        <v>30</v>
      </c>
      <c r="M30" s="93">
        <v>1</v>
      </c>
      <c r="N30" s="93">
        <f t="shared" si="12"/>
        <v>3</v>
      </c>
      <c r="P30" s="93">
        <f t="shared" si="1"/>
        <v>1</v>
      </c>
      <c r="Q30" s="93">
        <f t="shared" si="2"/>
        <v>0</v>
      </c>
      <c r="R30" s="93">
        <f t="shared" si="3"/>
        <v>0</v>
      </c>
      <c r="S30" s="93">
        <f t="shared" si="4"/>
        <v>0.84905660377358494</v>
      </c>
      <c r="T30" s="93">
        <f t="shared" si="5"/>
        <v>7.5471698113207544E-2</v>
      </c>
      <c r="U30" s="93">
        <f t="shared" si="6"/>
        <v>7.5471698113207544E-2</v>
      </c>
      <c r="V30" s="93">
        <f t="shared" si="7"/>
        <v>0.88235294117647056</v>
      </c>
      <c r="W30" s="93">
        <f t="shared" si="8"/>
        <v>2.9411764705882353E-2</v>
      </c>
      <c r="X30" s="93">
        <f t="shared" si="9"/>
        <v>8.8235294117647065E-2</v>
      </c>
    </row>
    <row r="31" spans="1:24">
      <c r="A31" s="353">
        <v>53</v>
      </c>
      <c r="B31" s="93" t="s">
        <v>636</v>
      </c>
      <c r="C31" s="93">
        <v>16</v>
      </c>
      <c r="D31" s="93">
        <v>7</v>
      </c>
      <c r="E31" s="93">
        <v>8</v>
      </c>
      <c r="F31" s="93">
        <f t="shared" si="10"/>
        <v>1</v>
      </c>
      <c r="G31" s="93">
        <v>425</v>
      </c>
      <c r="H31" s="93">
        <v>317</v>
      </c>
      <c r="I31" s="93">
        <v>84</v>
      </c>
      <c r="J31" s="93">
        <f t="shared" si="11"/>
        <v>24</v>
      </c>
      <c r="K31" s="93">
        <v>299</v>
      </c>
      <c r="L31" s="93">
        <v>221</v>
      </c>
      <c r="M31" s="93">
        <v>65</v>
      </c>
      <c r="N31" s="93">
        <f t="shared" si="12"/>
        <v>13</v>
      </c>
      <c r="P31" s="93">
        <f t="shared" si="1"/>
        <v>0.4375</v>
      </c>
      <c r="Q31" s="93">
        <f t="shared" si="2"/>
        <v>0.5</v>
      </c>
      <c r="R31" s="93">
        <f t="shared" si="3"/>
        <v>6.25E-2</v>
      </c>
      <c r="S31" s="93">
        <f t="shared" si="4"/>
        <v>0.74588235294117644</v>
      </c>
      <c r="T31" s="93">
        <f t="shared" si="5"/>
        <v>0.1976470588235294</v>
      </c>
      <c r="U31" s="93">
        <f t="shared" si="6"/>
        <v>5.647058823529412E-2</v>
      </c>
      <c r="V31" s="93">
        <f t="shared" si="7"/>
        <v>0.73913043478260865</v>
      </c>
      <c r="W31" s="93">
        <f t="shared" si="8"/>
        <v>0.21739130434782608</v>
      </c>
      <c r="X31" s="93">
        <f t="shared" si="9"/>
        <v>4.3478260869565216E-2</v>
      </c>
    </row>
    <row r="32" spans="1:24">
      <c r="A32" s="353">
        <v>57</v>
      </c>
      <c r="B32" s="93" t="s">
        <v>637</v>
      </c>
      <c r="C32" s="93">
        <v>19</v>
      </c>
      <c r="D32" s="93">
        <v>16</v>
      </c>
      <c r="E32" s="93">
        <v>2</v>
      </c>
      <c r="F32" s="93">
        <f t="shared" si="10"/>
        <v>1</v>
      </c>
      <c r="G32" s="93">
        <v>222</v>
      </c>
      <c r="H32" s="93">
        <v>151</v>
      </c>
      <c r="I32" s="93">
        <v>18</v>
      </c>
      <c r="J32" s="93">
        <f t="shared" si="11"/>
        <v>53</v>
      </c>
      <c r="K32" s="93">
        <v>116</v>
      </c>
      <c r="L32" s="93">
        <v>80</v>
      </c>
      <c r="M32" s="93">
        <v>22</v>
      </c>
      <c r="N32" s="93">
        <f t="shared" si="12"/>
        <v>14</v>
      </c>
      <c r="P32" s="93">
        <f t="shared" si="1"/>
        <v>0.84210526315789469</v>
      </c>
      <c r="Q32" s="93">
        <f t="shared" si="2"/>
        <v>0.10526315789473684</v>
      </c>
      <c r="R32" s="93">
        <f t="shared" si="3"/>
        <v>5.2631578947368418E-2</v>
      </c>
      <c r="S32" s="93">
        <f t="shared" si="4"/>
        <v>0.68018018018018023</v>
      </c>
      <c r="T32" s="93">
        <f t="shared" si="5"/>
        <v>8.1081081081081086E-2</v>
      </c>
      <c r="U32" s="93">
        <f t="shared" si="6"/>
        <v>0.23873873873873874</v>
      </c>
      <c r="V32" s="93">
        <f t="shared" si="7"/>
        <v>0.68965517241379315</v>
      </c>
      <c r="W32" s="93">
        <f t="shared" si="8"/>
        <v>0.18965517241379309</v>
      </c>
      <c r="X32" s="93">
        <f t="shared" si="9"/>
        <v>0.1206896551724138</v>
      </c>
    </row>
    <row r="33" spans="1:24">
      <c r="A33" s="353">
        <v>59</v>
      </c>
      <c r="B33" s="93" t="s">
        <v>306</v>
      </c>
      <c r="C33" s="93">
        <v>7248</v>
      </c>
      <c r="D33" s="93">
        <v>6757</v>
      </c>
      <c r="E33" s="93">
        <v>238</v>
      </c>
      <c r="F33" s="93">
        <f>((C33-D33-E33)+10)+2</f>
        <v>265</v>
      </c>
      <c r="G33" s="93">
        <v>118237</v>
      </c>
      <c r="H33" s="93">
        <v>107418</v>
      </c>
      <c r="I33" s="93">
        <v>4936</v>
      </c>
      <c r="J33" s="93">
        <f>((G33-H33-I33)+179)+20</f>
        <v>6082</v>
      </c>
      <c r="K33" s="93">
        <v>53198</v>
      </c>
      <c r="L33" s="93">
        <v>47298</v>
      </c>
      <c r="M33" s="93">
        <v>2831</v>
      </c>
      <c r="N33" s="93">
        <f>((K33-L33-M33)+103)+32</f>
        <v>3204</v>
      </c>
      <c r="P33" s="93">
        <f t="shared" si="1"/>
        <v>0.93225717439293598</v>
      </c>
      <c r="Q33" s="93">
        <f t="shared" si="2"/>
        <v>3.283664459161148E-2</v>
      </c>
      <c r="R33" s="93">
        <f t="shared" si="3"/>
        <v>3.6561810154525386E-2</v>
      </c>
      <c r="S33" s="93">
        <f t="shared" si="4"/>
        <v>0.9084973400881281</v>
      </c>
      <c r="T33" s="93">
        <f t="shared" si="5"/>
        <v>4.1746661366577301E-2</v>
      </c>
      <c r="U33" s="93">
        <f t="shared" si="6"/>
        <v>5.1439058839449582E-2</v>
      </c>
      <c r="V33" s="93">
        <f t="shared" si="7"/>
        <v>0.8890935749464266</v>
      </c>
      <c r="W33" s="93">
        <f t="shared" si="8"/>
        <v>5.3216286326553633E-2</v>
      </c>
      <c r="X33" s="93">
        <f t="shared" si="9"/>
        <v>6.0227828113838866E-2</v>
      </c>
    </row>
    <row r="34" spans="1:24">
      <c r="A34" s="353">
        <v>61</v>
      </c>
      <c r="B34" s="93" t="s">
        <v>638</v>
      </c>
      <c r="C34" s="93">
        <v>120</v>
      </c>
      <c r="D34" s="93">
        <v>109</v>
      </c>
      <c r="E34" s="93">
        <v>8</v>
      </c>
      <c r="F34" s="93">
        <f t="shared" si="10"/>
        <v>3</v>
      </c>
      <c r="G34" s="93">
        <v>2532</v>
      </c>
      <c r="H34" s="93">
        <v>2301</v>
      </c>
      <c r="I34" s="93">
        <v>110</v>
      </c>
      <c r="J34" s="93">
        <f t="shared" si="11"/>
        <v>121</v>
      </c>
      <c r="K34" s="93">
        <v>1632</v>
      </c>
      <c r="L34" s="93">
        <v>1440</v>
      </c>
      <c r="M34" s="93">
        <v>111</v>
      </c>
      <c r="N34" s="93">
        <f t="shared" si="12"/>
        <v>81</v>
      </c>
      <c r="P34" s="93">
        <f t="shared" si="1"/>
        <v>0.90833333333333333</v>
      </c>
      <c r="Q34" s="93">
        <f t="shared" si="2"/>
        <v>6.6666666666666666E-2</v>
      </c>
      <c r="R34" s="93">
        <f t="shared" si="3"/>
        <v>2.5000000000000001E-2</v>
      </c>
      <c r="S34" s="93">
        <f t="shared" si="4"/>
        <v>0.90876777251184837</v>
      </c>
      <c r="T34" s="93">
        <f t="shared" si="5"/>
        <v>4.3443917851500792E-2</v>
      </c>
      <c r="U34" s="93">
        <f t="shared" si="6"/>
        <v>4.7788309636650872E-2</v>
      </c>
      <c r="V34" s="93">
        <f t="shared" si="7"/>
        <v>0.88235294117647056</v>
      </c>
      <c r="W34" s="93">
        <f t="shared" si="8"/>
        <v>6.8014705882352935E-2</v>
      </c>
      <c r="X34" s="93">
        <f t="shared" si="9"/>
        <v>4.9632352941176468E-2</v>
      </c>
    </row>
    <row r="35" spans="1:24">
      <c r="A35" s="353">
        <v>63</v>
      </c>
      <c r="B35" s="93" t="s">
        <v>639</v>
      </c>
      <c r="C35" s="93">
        <v>20</v>
      </c>
      <c r="D35" s="93">
        <v>18</v>
      </c>
      <c r="E35" s="93">
        <v>2</v>
      </c>
      <c r="F35" s="93">
        <f t="shared" si="10"/>
        <v>0</v>
      </c>
      <c r="G35" s="93">
        <v>251</v>
      </c>
      <c r="H35" s="93">
        <v>230</v>
      </c>
      <c r="I35" s="93">
        <v>17</v>
      </c>
      <c r="J35" s="93">
        <f t="shared" si="11"/>
        <v>4</v>
      </c>
      <c r="K35" s="93">
        <v>142</v>
      </c>
      <c r="L35" s="93">
        <v>136</v>
      </c>
      <c r="M35" s="93">
        <v>5</v>
      </c>
      <c r="N35" s="93">
        <f t="shared" si="12"/>
        <v>1</v>
      </c>
      <c r="P35" s="93">
        <f t="shared" si="1"/>
        <v>0.9</v>
      </c>
      <c r="Q35" s="93">
        <f t="shared" si="2"/>
        <v>0.1</v>
      </c>
      <c r="R35" s="93">
        <f t="shared" si="3"/>
        <v>0</v>
      </c>
      <c r="S35" s="93">
        <f t="shared" si="4"/>
        <v>0.91633466135458164</v>
      </c>
      <c r="T35" s="93">
        <f t="shared" si="5"/>
        <v>6.7729083665338641E-2</v>
      </c>
      <c r="U35" s="93">
        <f t="shared" si="6"/>
        <v>1.5936254980079681E-2</v>
      </c>
      <c r="V35" s="93">
        <f t="shared" si="7"/>
        <v>0.95774647887323938</v>
      </c>
      <c r="W35" s="93">
        <f t="shared" si="8"/>
        <v>3.5211267605633804E-2</v>
      </c>
      <c r="X35" s="93">
        <f t="shared" si="9"/>
        <v>7.0422535211267607E-3</v>
      </c>
    </row>
    <row r="36" spans="1:24">
      <c r="A36" s="353">
        <v>65</v>
      </c>
      <c r="B36" s="93" t="s">
        <v>640</v>
      </c>
      <c r="C36" s="93">
        <v>44</v>
      </c>
      <c r="D36" s="93">
        <v>40</v>
      </c>
      <c r="E36" s="93">
        <v>2</v>
      </c>
      <c r="F36" s="93">
        <f t="shared" si="10"/>
        <v>2</v>
      </c>
      <c r="G36" s="93">
        <v>453</v>
      </c>
      <c r="H36" s="93">
        <v>414</v>
      </c>
      <c r="I36" s="93">
        <v>26</v>
      </c>
      <c r="J36" s="93">
        <f t="shared" si="11"/>
        <v>13</v>
      </c>
      <c r="K36" s="93">
        <v>296</v>
      </c>
      <c r="L36" s="93">
        <v>258</v>
      </c>
      <c r="M36" s="93">
        <v>27</v>
      </c>
      <c r="N36" s="93">
        <f t="shared" si="12"/>
        <v>11</v>
      </c>
      <c r="P36" s="93">
        <f t="shared" si="1"/>
        <v>0.90909090909090906</v>
      </c>
      <c r="Q36" s="93">
        <f t="shared" si="2"/>
        <v>4.5454545454545456E-2</v>
      </c>
      <c r="R36" s="93">
        <f t="shared" si="3"/>
        <v>4.5454545454545456E-2</v>
      </c>
      <c r="S36" s="93">
        <f t="shared" si="4"/>
        <v>0.91390728476821192</v>
      </c>
      <c r="T36" s="93">
        <f t="shared" si="5"/>
        <v>5.7395143487858721E-2</v>
      </c>
      <c r="U36" s="93">
        <f t="shared" si="6"/>
        <v>2.8697571743929361E-2</v>
      </c>
      <c r="V36" s="93">
        <f t="shared" si="7"/>
        <v>0.8716216216216216</v>
      </c>
      <c r="W36" s="93">
        <f t="shared" si="8"/>
        <v>9.1216216216216214E-2</v>
      </c>
      <c r="X36" s="93">
        <f t="shared" si="9"/>
        <v>3.7162162162162164E-2</v>
      </c>
    </row>
    <row r="37" spans="1:24">
      <c r="A37" s="353">
        <v>67</v>
      </c>
      <c r="B37" s="93" t="s">
        <v>86</v>
      </c>
      <c r="C37" s="93">
        <v>55</v>
      </c>
      <c r="D37" s="93">
        <v>50</v>
      </c>
      <c r="E37" s="93">
        <v>5</v>
      </c>
      <c r="F37" s="93">
        <f t="shared" si="10"/>
        <v>0</v>
      </c>
      <c r="G37" s="93">
        <v>850</v>
      </c>
      <c r="H37" s="93">
        <v>694</v>
      </c>
      <c r="I37" s="93">
        <v>50</v>
      </c>
      <c r="J37" s="93">
        <f t="shared" si="11"/>
        <v>106</v>
      </c>
      <c r="K37" s="93">
        <v>592</v>
      </c>
      <c r="L37" s="93">
        <v>506</v>
      </c>
      <c r="M37" s="93">
        <v>21</v>
      </c>
      <c r="N37" s="93">
        <f t="shared" si="12"/>
        <v>65</v>
      </c>
      <c r="P37" s="93">
        <f t="shared" si="1"/>
        <v>0.90909090909090906</v>
      </c>
      <c r="Q37" s="93">
        <f t="shared" si="2"/>
        <v>9.0909090909090912E-2</v>
      </c>
      <c r="R37" s="93">
        <f t="shared" si="3"/>
        <v>0</v>
      </c>
      <c r="S37" s="93">
        <f t="shared" si="4"/>
        <v>0.81647058823529417</v>
      </c>
      <c r="T37" s="93">
        <f t="shared" si="5"/>
        <v>5.8823529411764705E-2</v>
      </c>
      <c r="U37" s="93">
        <f t="shared" si="6"/>
        <v>0.12470588235294118</v>
      </c>
      <c r="V37" s="93">
        <f t="shared" si="7"/>
        <v>0.85472972972972971</v>
      </c>
      <c r="W37" s="93">
        <f t="shared" si="8"/>
        <v>3.5472972972972971E-2</v>
      </c>
      <c r="X37" s="93">
        <f t="shared" si="9"/>
        <v>0.1097972972972973</v>
      </c>
    </row>
    <row r="38" spans="1:24">
      <c r="A38" s="353">
        <v>69</v>
      </c>
      <c r="B38" s="93" t="s">
        <v>641</v>
      </c>
      <c r="C38" s="93">
        <v>129</v>
      </c>
      <c r="D38" s="93">
        <v>121</v>
      </c>
      <c r="E38" s="93">
        <v>3</v>
      </c>
      <c r="F38" s="93">
        <f t="shared" si="10"/>
        <v>5</v>
      </c>
      <c r="G38" s="93">
        <v>3136</v>
      </c>
      <c r="H38" s="93">
        <v>2869</v>
      </c>
      <c r="I38" s="93">
        <v>140</v>
      </c>
      <c r="J38" s="93">
        <f t="shared" si="11"/>
        <v>127</v>
      </c>
      <c r="K38" s="93">
        <v>2215</v>
      </c>
      <c r="L38" s="93">
        <v>1968</v>
      </c>
      <c r="M38" s="93">
        <v>152</v>
      </c>
      <c r="N38" s="93">
        <f t="shared" si="12"/>
        <v>95</v>
      </c>
      <c r="P38" s="93">
        <f t="shared" si="1"/>
        <v>0.93798449612403101</v>
      </c>
      <c r="Q38" s="93">
        <f t="shared" si="2"/>
        <v>2.3255813953488372E-2</v>
      </c>
      <c r="R38" s="93">
        <f t="shared" si="3"/>
        <v>3.875968992248062E-2</v>
      </c>
      <c r="S38" s="93">
        <f t="shared" si="4"/>
        <v>0.91485969387755106</v>
      </c>
      <c r="T38" s="93">
        <f t="shared" si="5"/>
        <v>4.4642857142857144E-2</v>
      </c>
      <c r="U38" s="93">
        <f t="shared" si="6"/>
        <v>4.0497448979591837E-2</v>
      </c>
      <c r="V38" s="93">
        <f t="shared" si="7"/>
        <v>0.8884875846501129</v>
      </c>
      <c r="W38" s="93">
        <f t="shared" si="8"/>
        <v>6.8623024830699778E-2</v>
      </c>
      <c r="X38" s="93">
        <f t="shared" si="9"/>
        <v>4.2889390519187359E-2</v>
      </c>
    </row>
    <row r="39" spans="1:24">
      <c r="A39" s="353">
        <v>71</v>
      </c>
      <c r="B39" s="93" t="s">
        <v>642</v>
      </c>
      <c r="C39" s="93">
        <v>19</v>
      </c>
      <c r="D39" s="93">
        <v>19</v>
      </c>
      <c r="E39" s="93">
        <v>0</v>
      </c>
      <c r="F39" s="93">
        <f t="shared" si="10"/>
        <v>0</v>
      </c>
      <c r="G39" s="93">
        <v>107</v>
      </c>
      <c r="H39" s="93">
        <v>100</v>
      </c>
      <c r="I39" s="93">
        <v>2</v>
      </c>
      <c r="J39" s="93">
        <f t="shared" si="11"/>
        <v>5</v>
      </c>
      <c r="K39" s="93">
        <v>87</v>
      </c>
      <c r="L39" s="93">
        <v>83</v>
      </c>
      <c r="M39" s="93">
        <v>0</v>
      </c>
      <c r="N39" s="93">
        <f t="shared" si="12"/>
        <v>4</v>
      </c>
      <c r="P39" s="93">
        <f t="shared" si="1"/>
        <v>1</v>
      </c>
      <c r="Q39" s="93">
        <f t="shared" si="2"/>
        <v>0</v>
      </c>
      <c r="R39" s="93">
        <f t="shared" si="3"/>
        <v>0</v>
      </c>
      <c r="S39" s="93">
        <f t="shared" si="4"/>
        <v>0.93457943925233644</v>
      </c>
      <c r="T39" s="93">
        <f t="shared" si="5"/>
        <v>1.8691588785046728E-2</v>
      </c>
      <c r="U39" s="93">
        <f t="shared" si="6"/>
        <v>4.6728971962616821E-2</v>
      </c>
      <c r="V39" s="93">
        <f t="shared" si="7"/>
        <v>0.95402298850574707</v>
      </c>
      <c r="W39" s="93">
        <f t="shared" si="8"/>
        <v>0</v>
      </c>
      <c r="X39" s="93">
        <f t="shared" si="9"/>
        <v>4.5977011494252873E-2</v>
      </c>
    </row>
    <row r="40" spans="1:24">
      <c r="A40" s="353">
        <v>73</v>
      </c>
      <c r="B40" s="93" t="s">
        <v>643</v>
      </c>
      <c r="C40" s="93">
        <v>55</v>
      </c>
      <c r="D40" s="93">
        <v>50</v>
      </c>
      <c r="E40" s="93">
        <v>3</v>
      </c>
      <c r="F40" s="93">
        <f t="shared" si="10"/>
        <v>2</v>
      </c>
      <c r="G40" s="93">
        <v>588</v>
      </c>
      <c r="H40" s="93">
        <v>513</v>
      </c>
      <c r="I40" s="93">
        <v>47</v>
      </c>
      <c r="J40" s="93">
        <f t="shared" si="11"/>
        <v>28</v>
      </c>
      <c r="K40" s="93">
        <v>335</v>
      </c>
      <c r="L40" s="93">
        <v>297</v>
      </c>
      <c r="M40" s="93">
        <v>26</v>
      </c>
      <c r="N40" s="93">
        <f t="shared" si="12"/>
        <v>12</v>
      </c>
      <c r="P40" s="93">
        <f t="shared" si="1"/>
        <v>0.90909090909090906</v>
      </c>
      <c r="Q40" s="93">
        <f t="shared" si="2"/>
        <v>5.4545454545454543E-2</v>
      </c>
      <c r="R40" s="93">
        <f t="shared" si="3"/>
        <v>3.6363636363636362E-2</v>
      </c>
      <c r="S40" s="93">
        <f t="shared" si="4"/>
        <v>0.87244897959183676</v>
      </c>
      <c r="T40" s="93">
        <f t="shared" si="5"/>
        <v>7.9931972789115652E-2</v>
      </c>
      <c r="U40" s="93">
        <f t="shared" si="6"/>
        <v>4.7619047619047616E-2</v>
      </c>
      <c r="V40" s="93">
        <f t="shared" si="7"/>
        <v>0.88656716417910453</v>
      </c>
      <c r="W40" s="93">
        <f t="shared" si="8"/>
        <v>7.7611940298507459E-2</v>
      </c>
      <c r="X40" s="93">
        <f t="shared" si="9"/>
        <v>3.5820895522388062E-2</v>
      </c>
    </row>
    <row r="41" spans="1:24">
      <c r="A41" s="353">
        <v>75</v>
      </c>
      <c r="B41" s="93" t="s">
        <v>644</v>
      </c>
      <c r="C41" s="93">
        <v>17</v>
      </c>
      <c r="D41" s="93">
        <v>14</v>
      </c>
      <c r="E41" s="93">
        <v>3</v>
      </c>
      <c r="F41" s="93">
        <f t="shared" si="10"/>
        <v>0</v>
      </c>
      <c r="G41" s="93">
        <v>281</v>
      </c>
      <c r="H41" s="93">
        <v>251</v>
      </c>
      <c r="I41" s="93">
        <v>20</v>
      </c>
      <c r="J41" s="93">
        <f t="shared" si="11"/>
        <v>10</v>
      </c>
      <c r="K41" s="93">
        <v>160</v>
      </c>
      <c r="L41" s="93">
        <v>135</v>
      </c>
      <c r="M41" s="93">
        <v>16</v>
      </c>
      <c r="N41" s="93">
        <f t="shared" si="12"/>
        <v>9</v>
      </c>
      <c r="P41" s="93">
        <f t="shared" si="1"/>
        <v>0.82352941176470584</v>
      </c>
      <c r="Q41" s="93">
        <f t="shared" si="2"/>
        <v>0.17647058823529413</v>
      </c>
      <c r="R41" s="93">
        <f t="shared" si="3"/>
        <v>0</v>
      </c>
      <c r="S41" s="93">
        <f t="shared" si="4"/>
        <v>0.89323843416370108</v>
      </c>
      <c r="T41" s="93">
        <f t="shared" si="5"/>
        <v>7.1174377224199295E-2</v>
      </c>
      <c r="U41" s="93">
        <f t="shared" si="6"/>
        <v>3.5587188612099648E-2</v>
      </c>
      <c r="V41" s="93">
        <f t="shared" si="7"/>
        <v>0.84375</v>
      </c>
      <c r="W41" s="93">
        <f t="shared" si="8"/>
        <v>0.1</v>
      </c>
      <c r="X41" s="93">
        <f t="shared" si="9"/>
        <v>5.6250000000000001E-2</v>
      </c>
    </row>
    <row r="42" spans="1:24">
      <c r="A42" s="353">
        <v>77</v>
      </c>
      <c r="B42" s="93" t="s">
        <v>645</v>
      </c>
      <c r="C42" s="93">
        <v>10</v>
      </c>
      <c r="D42" s="93">
        <v>9</v>
      </c>
      <c r="E42" s="93">
        <v>1</v>
      </c>
      <c r="F42" s="93">
        <f t="shared" si="10"/>
        <v>0</v>
      </c>
      <c r="G42" s="93">
        <v>252</v>
      </c>
      <c r="H42" s="93">
        <v>236</v>
      </c>
      <c r="I42" s="93">
        <v>6</v>
      </c>
      <c r="J42" s="93">
        <f t="shared" si="11"/>
        <v>10</v>
      </c>
      <c r="K42" s="93">
        <v>162</v>
      </c>
      <c r="L42" s="93">
        <v>155</v>
      </c>
      <c r="M42" s="93">
        <v>6</v>
      </c>
      <c r="N42" s="93">
        <f t="shared" si="12"/>
        <v>1</v>
      </c>
      <c r="P42" s="93">
        <f t="shared" si="1"/>
        <v>0.9</v>
      </c>
      <c r="Q42" s="93">
        <f t="shared" si="2"/>
        <v>0.1</v>
      </c>
      <c r="R42" s="93">
        <f t="shared" si="3"/>
        <v>0</v>
      </c>
      <c r="S42" s="93">
        <f t="shared" si="4"/>
        <v>0.93650793650793651</v>
      </c>
      <c r="T42" s="93">
        <f t="shared" si="5"/>
        <v>2.3809523809523808E-2</v>
      </c>
      <c r="U42" s="93">
        <f t="shared" si="6"/>
        <v>3.968253968253968E-2</v>
      </c>
      <c r="V42" s="93">
        <f t="shared" si="7"/>
        <v>0.95679012345679015</v>
      </c>
      <c r="W42" s="93">
        <f t="shared" si="8"/>
        <v>3.7037037037037035E-2</v>
      </c>
      <c r="X42" s="93">
        <f t="shared" si="9"/>
        <v>6.1728395061728392E-3</v>
      </c>
    </row>
    <row r="43" spans="1:24">
      <c r="A43" s="353">
        <v>79</v>
      </c>
      <c r="B43" s="93" t="s">
        <v>646</v>
      </c>
      <c r="C43" s="93">
        <v>21</v>
      </c>
      <c r="D43" s="93">
        <v>21</v>
      </c>
      <c r="E43" s="93">
        <v>0</v>
      </c>
      <c r="F43" s="93">
        <f t="shared" si="10"/>
        <v>0</v>
      </c>
      <c r="G43" s="93">
        <v>482</v>
      </c>
      <c r="H43" s="93">
        <v>443</v>
      </c>
      <c r="I43" s="93">
        <v>14</v>
      </c>
      <c r="J43" s="93">
        <f t="shared" si="11"/>
        <v>25</v>
      </c>
      <c r="K43" s="93">
        <v>344</v>
      </c>
      <c r="L43" s="93">
        <v>307</v>
      </c>
      <c r="M43" s="93">
        <v>22</v>
      </c>
      <c r="N43" s="93">
        <f t="shared" si="12"/>
        <v>15</v>
      </c>
      <c r="P43" s="93">
        <f t="shared" si="1"/>
        <v>1</v>
      </c>
      <c r="Q43" s="93">
        <f t="shared" si="2"/>
        <v>0</v>
      </c>
      <c r="R43" s="93">
        <f t="shared" si="3"/>
        <v>0</v>
      </c>
      <c r="S43" s="93">
        <f t="shared" si="4"/>
        <v>0.91908713692946054</v>
      </c>
      <c r="T43" s="93">
        <f t="shared" si="5"/>
        <v>2.9045643153526972E-2</v>
      </c>
      <c r="U43" s="93">
        <f t="shared" si="6"/>
        <v>5.1867219917012451E-2</v>
      </c>
      <c r="V43" s="93">
        <f t="shared" si="7"/>
        <v>0.89244186046511631</v>
      </c>
      <c r="W43" s="93">
        <f t="shared" si="8"/>
        <v>6.3953488372093026E-2</v>
      </c>
      <c r="X43" s="93">
        <f t="shared" si="9"/>
        <v>4.3604651162790699E-2</v>
      </c>
    </row>
    <row r="44" spans="1:24">
      <c r="A44" s="353">
        <v>81</v>
      </c>
      <c r="B44" s="93" t="s">
        <v>915</v>
      </c>
      <c r="C44" s="93">
        <v>12</v>
      </c>
      <c r="D44" s="93">
        <v>6</v>
      </c>
      <c r="E44" s="93">
        <v>5</v>
      </c>
      <c r="F44" s="93">
        <f>(C44-D44-E44)+1</f>
        <v>2</v>
      </c>
      <c r="G44" s="93">
        <v>328</v>
      </c>
      <c r="H44" s="93">
        <v>250</v>
      </c>
      <c r="I44" s="93">
        <v>64</v>
      </c>
      <c r="J44" s="93">
        <f>(G44-H44-I44)+12</f>
        <v>26</v>
      </c>
      <c r="K44" s="93">
        <v>143</v>
      </c>
      <c r="L44" s="93">
        <v>94</v>
      </c>
      <c r="M44" s="93">
        <v>44</v>
      </c>
      <c r="N44" s="93">
        <f>(K44-L44-M44)+4</f>
        <v>9</v>
      </c>
      <c r="P44" s="93">
        <f t="shared" si="1"/>
        <v>0.5</v>
      </c>
      <c r="Q44" s="93">
        <f t="shared" si="2"/>
        <v>0.41666666666666669</v>
      </c>
      <c r="R44" s="93">
        <f t="shared" si="3"/>
        <v>0.16666666666666666</v>
      </c>
      <c r="S44" s="93">
        <f t="shared" si="4"/>
        <v>0.76219512195121952</v>
      </c>
      <c r="T44" s="93">
        <f t="shared" si="5"/>
        <v>0.1951219512195122</v>
      </c>
      <c r="U44" s="93">
        <f t="shared" si="6"/>
        <v>7.926829268292683E-2</v>
      </c>
      <c r="V44" s="93">
        <f t="shared" si="7"/>
        <v>0.65734265734265729</v>
      </c>
      <c r="W44" s="93">
        <f t="shared" si="8"/>
        <v>0.30769230769230771</v>
      </c>
      <c r="X44" s="93">
        <f t="shared" si="9"/>
        <v>6.2937062937062943E-2</v>
      </c>
    </row>
    <row r="45" spans="1:24">
      <c r="A45" s="353">
        <v>83</v>
      </c>
      <c r="B45" s="93" t="s">
        <v>1105</v>
      </c>
      <c r="C45" s="93">
        <v>41</v>
      </c>
      <c r="D45" s="93">
        <v>32</v>
      </c>
      <c r="E45" s="93">
        <v>9</v>
      </c>
      <c r="F45" s="93">
        <f t="shared" si="10"/>
        <v>0</v>
      </c>
      <c r="G45" s="93">
        <v>344</v>
      </c>
      <c r="H45" s="93">
        <v>260</v>
      </c>
      <c r="I45" s="93">
        <v>68</v>
      </c>
      <c r="J45" s="93">
        <f t="shared" si="11"/>
        <v>16</v>
      </c>
      <c r="K45" s="93">
        <v>235</v>
      </c>
      <c r="L45" s="93">
        <v>181</v>
      </c>
      <c r="M45" s="93">
        <v>48</v>
      </c>
      <c r="N45" s="93">
        <f t="shared" si="12"/>
        <v>6</v>
      </c>
      <c r="P45" s="93">
        <f t="shared" si="1"/>
        <v>0.78048780487804881</v>
      </c>
      <c r="Q45" s="93">
        <f t="shared" si="2"/>
        <v>0.21951219512195122</v>
      </c>
      <c r="R45" s="93">
        <f t="shared" si="3"/>
        <v>0</v>
      </c>
      <c r="S45" s="93">
        <f t="shared" si="4"/>
        <v>0.7558139534883721</v>
      </c>
      <c r="T45" s="93">
        <f t="shared" si="5"/>
        <v>0.19767441860465115</v>
      </c>
      <c r="U45" s="93">
        <f t="shared" si="6"/>
        <v>4.6511627906976744E-2</v>
      </c>
      <c r="V45" s="93">
        <f t="shared" si="7"/>
        <v>0.77021276595744681</v>
      </c>
      <c r="W45" s="93">
        <f t="shared" si="8"/>
        <v>0.20425531914893616</v>
      </c>
      <c r="X45" s="93">
        <f t="shared" si="9"/>
        <v>2.553191489361702E-2</v>
      </c>
    </row>
    <row r="46" spans="1:24">
      <c r="A46" s="353">
        <v>85</v>
      </c>
      <c r="B46" s="93" t="s">
        <v>647</v>
      </c>
      <c r="C46" s="93">
        <v>92</v>
      </c>
      <c r="D46" s="93">
        <v>84</v>
      </c>
      <c r="E46" s="93">
        <v>6</v>
      </c>
      <c r="F46" s="93">
        <f t="shared" si="10"/>
        <v>2</v>
      </c>
      <c r="G46" s="93">
        <v>1392</v>
      </c>
      <c r="H46" s="93">
        <v>1198</v>
      </c>
      <c r="I46" s="93">
        <v>103</v>
      </c>
      <c r="J46" s="93">
        <f t="shared" si="11"/>
        <v>91</v>
      </c>
      <c r="K46" s="93">
        <v>821</v>
      </c>
      <c r="L46" s="93">
        <v>695</v>
      </c>
      <c r="M46" s="93">
        <v>69</v>
      </c>
      <c r="N46" s="93">
        <f t="shared" si="12"/>
        <v>57</v>
      </c>
      <c r="P46" s="93">
        <f t="shared" si="1"/>
        <v>0.91304347826086951</v>
      </c>
      <c r="Q46" s="93">
        <f t="shared" si="2"/>
        <v>6.5217391304347824E-2</v>
      </c>
      <c r="R46" s="93">
        <f t="shared" si="3"/>
        <v>2.1739130434782608E-2</v>
      </c>
      <c r="S46" s="93">
        <f t="shared" si="4"/>
        <v>0.86063218390804597</v>
      </c>
      <c r="T46" s="93">
        <f t="shared" si="5"/>
        <v>7.3994252873563218E-2</v>
      </c>
      <c r="U46" s="93">
        <f t="shared" si="6"/>
        <v>6.5373563218390801E-2</v>
      </c>
      <c r="V46" s="93">
        <f t="shared" si="7"/>
        <v>0.84652862362971981</v>
      </c>
      <c r="W46" s="93">
        <f t="shared" si="8"/>
        <v>8.4043848964677217E-2</v>
      </c>
      <c r="X46" s="93">
        <f t="shared" si="9"/>
        <v>6.9427527405602929E-2</v>
      </c>
    </row>
    <row r="47" spans="1:24">
      <c r="A47" s="353">
        <v>87</v>
      </c>
      <c r="B47" s="93" t="s">
        <v>648</v>
      </c>
      <c r="C47" s="93">
        <v>547</v>
      </c>
      <c r="D47" s="93">
        <v>462</v>
      </c>
      <c r="E47" s="93">
        <v>68</v>
      </c>
      <c r="F47" s="93">
        <f t="shared" si="10"/>
        <v>17</v>
      </c>
      <c r="G47" s="93">
        <v>9871</v>
      </c>
      <c r="H47" s="93">
        <v>8145</v>
      </c>
      <c r="I47" s="93">
        <v>1289</v>
      </c>
      <c r="J47" s="93">
        <f t="shared" si="11"/>
        <v>437</v>
      </c>
      <c r="K47" s="93">
        <v>5298</v>
      </c>
      <c r="L47" s="93">
        <v>4149</v>
      </c>
      <c r="M47" s="93">
        <v>905</v>
      </c>
      <c r="N47" s="93">
        <f t="shared" si="12"/>
        <v>244</v>
      </c>
      <c r="P47" s="93">
        <f t="shared" si="1"/>
        <v>0.84460694698354666</v>
      </c>
      <c r="Q47" s="93">
        <f t="shared" si="2"/>
        <v>0.12431444241316271</v>
      </c>
      <c r="R47" s="93">
        <f t="shared" si="3"/>
        <v>3.1078610603290677E-2</v>
      </c>
      <c r="S47" s="93">
        <f t="shared" si="4"/>
        <v>0.82514436227332588</v>
      </c>
      <c r="T47" s="93">
        <f t="shared" si="5"/>
        <v>0.13058454057339683</v>
      </c>
      <c r="U47" s="93">
        <f t="shared" si="6"/>
        <v>4.4271097153277275E-2</v>
      </c>
      <c r="V47" s="93">
        <f t="shared" si="7"/>
        <v>0.78312570781426949</v>
      </c>
      <c r="W47" s="93">
        <f t="shared" si="8"/>
        <v>0.17081917704794261</v>
      </c>
      <c r="X47" s="93">
        <f t="shared" si="9"/>
        <v>4.6055115137787844E-2</v>
      </c>
    </row>
    <row r="48" spans="1:24">
      <c r="A48" s="353">
        <v>89</v>
      </c>
      <c r="B48" s="93" t="s">
        <v>1106</v>
      </c>
      <c r="C48" s="93">
        <v>48</v>
      </c>
      <c r="D48" s="93">
        <v>38</v>
      </c>
      <c r="E48" s="93">
        <v>4</v>
      </c>
      <c r="F48" s="93">
        <f t="shared" si="10"/>
        <v>6</v>
      </c>
      <c r="G48" s="93">
        <v>1511</v>
      </c>
      <c r="H48" s="93">
        <v>1324</v>
      </c>
      <c r="I48" s="93">
        <v>116</v>
      </c>
      <c r="J48" s="93">
        <f t="shared" si="11"/>
        <v>71</v>
      </c>
      <c r="K48" s="93">
        <v>1126</v>
      </c>
      <c r="L48" s="93">
        <v>996</v>
      </c>
      <c r="M48" s="93">
        <v>88</v>
      </c>
      <c r="N48" s="93">
        <f t="shared" si="12"/>
        <v>42</v>
      </c>
      <c r="P48" s="93">
        <f t="shared" si="1"/>
        <v>0.79166666666666663</v>
      </c>
      <c r="Q48" s="93">
        <f t="shared" si="2"/>
        <v>8.3333333333333329E-2</v>
      </c>
      <c r="R48" s="93">
        <f t="shared" si="3"/>
        <v>0.125</v>
      </c>
      <c r="S48" s="93">
        <f t="shared" si="4"/>
        <v>0.87624090006618138</v>
      </c>
      <c r="T48" s="93">
        <f t="shared" si="5"/>
        <v>7.6770350761085376E-2</v>
      </c>
      <c r="U48" s="93">
        <f t="shared" si="6"/>
        <v>4.6988749172733289E-2</v>
      </c>
      <c r="V48" s="93">
        <f t="shared" si="7"/>
        <v>0.88454706927175841</v>
      </c>
      <c r="W48" s="93">
        <f t="shared" si="8"/>
        <v>7.8152753108348141E-2</v>
      </c>
      <c r="X48" s="93">
        <f t="shared" si="9"/>
        <v>3.7300177619893425E-2</v>
      </c>
    </row>
    <row r="49" spans="1:24">
      <c r="A49" s="353">
        <v>91</v>
      </c>
      <c r="B49" s="93" t="s">
        <v>649</v>
      </c>
      <c r="C49" s="93">
        <v>4</v>
      </c>
      <c r="D49" s="93">
        <v>3</v>
      </c>
      <c r="E49" s="93">
        <v>0</v>
      </c>
      <c r="F49" s="93">
        <f t="shared" si="10"/>
        <v>1</v>
      </c>
      <c r="G49" s="93">
        <v>12</v>
      </c>
      <c r="H49" s="93">
        <v>12</v>
      </c>
      <c r="I49" s="93">
        <v>0</v>
      </c>
      <c r="J49" s="93">
        <f t="shared" si="11"/>
        <v>0</v>
      </c>
      <c r="K49" s="93">
        <v>5</v>
      </c>
      <c r="L49" s="93">
        <v>4</v>
      </c>
      <c r="M49" s="93">
        <v>1</v>
      </c>
      <c r="N49" s="93">
        <f t="shared" si="12"/>
        <v>0</v>
      </c>
      <c r="P49" s="93">
        <f t="shared" si="1"/>
        <v>0.75</v>
      </c>
      <c r="Q49" s="93">
        <f t="shared" si="2"/>
        <v>0</v>
      </c>
      <c r="R49" s="93">
        <f t="shared" si="3"/>
        <v>0.25</v>
      </c>
      <c r="S49" s="93">
        <f t="shared" si="4"/>
        <v>1</v>
      </c>
      <c r="T49" s="93">
        <f t="shared" si="5"/>
        <v>0</v>
      </c>
      <c r="U49" s="93">
        <f t="shared" si="6"/>
        <v>0</v>
      </c>
      <c r="V49" s="93">
        <f t="shared" si="7"/>
        <v>0.8</v>
      </c>
      <c r="W49" s="93">
        <f t="shared" si="8"/>
        <v>0.2</v>
      </c>
      <c r="X49" s="93">
        <f t="shared" si="9"/>
        <v>0</v>
      </c>
    </row>
    <row r="50" spans="1:24">
      <c r="A50" s="353">
        <v>93</v>
      </c>
      <c r="B50" s="93" t="s">
        <v>650</v>
      </c>
      <c r="C50" s="93">
        <v>33</v>
      </c>
      <c r="D50" s="93">
        <v>26</v>
      </c>
      <c r="E50" s="93">
        <v>6</v>
      </c>
      <c r="F50" s="93">
        <f t="shared" si="10"/>
        <v>1</v>
      </c>
      <c r="G50" s="93">
        <v>396</v>
      </c>
      <c r="H50" s="93">
        <v>317</v>
      </c>
      <c r="I50" s="93">
        <v>45</v>
      </c>
      <c r="J50" s="93">
        <f t="shared" si="11"/>
        <v>34</v>
      </c>
      <c r="K50" s="93">
        <v>293</v>
      </c>
      <c r="L50" s="93">
        <v>226</v>
      </c>
      <c r="M50" s="93">
        <v>51</v>
      </c>
      <c r="N50" s="93">
        <f t="shared" si="12"/>
        <v>16</v>
      </c>
      <c r="P50" s="93">
        <f t="shared" si="1"/>
        <v>0.78787878787878785</v>
      </c>
      <c r="Q50" s="93">
        <f t="shared" si="2"/>
        <v>0.18181818181818182</v>
      </c>
      <c r="R50" s="93">
        <f t="shared" si="3"/>
        <v>3.0303030303030304E-2</v>
      </c>
      <c r="S50" s="93">
        <f t="shared" si="4"/>
        <v>0.8005050505050505</v>
      </c>
      <c r="T50" s="93">
        <f t="shared" si="5"/>
        <v>0.11363636363636363</v>
      </c>
      <c r="U50" s="93">
        <f t="shared" si="6"/>
        <v>8.5858585858585856E-2</v>
      </c>
      <c r="V50" s="93">
        <f t="shared" si="7"/>
        <v>0.77133105802047786</v>
      </c>
      <c r="W50" s="93">
        <f t="shared" si="8"/>
        <v>0.17406143344709898</v>
      </c>
      <c r="X50" s="93">
        <f t="shared" si="9"/>
        <v>5.4607508532423209E-2</v>
      </c>
    </row>
    <row r="51" spans="1:24">
      <c r="A51" s="353">
        <v>95</v>
      </c>
      <c r="B51" s="93" t="s">
        <v>294</v>
      </c>
      <c r="C51" s="93">
        <v>159</v>
      </c>
      <c r="D51" s="93">
        <v>143</v>
      </c>
      <c r="E51" s="93">
        <v>13</v>
      </c>
      <c r="F51" s="93">
        <f t="shared" si="10"/>
        <v>3</v>
      </c>
      <c r="G51" s="93">
        <v>1980</v>
      </c>
      <c r="H51" s="93">
        <v>1747</v>
      </c>
      <c r="I51" s="93">
        <v>167</v>
      </c>
      <c r="J51" s="93">
        <f t="shared" si="11"/>
        <v>66</v>
      </c>
      <c r="K51" s="93">
        <v>1122</v>
      </c>
      <c r="L51" s="93">
        <v>978</v>
      </c>
      <c r="M51" s="93">
        <v>103</v>
      </c>
      <c r="N51" s="93">
        <f t="shared" si="12"/>
        <v>41</v>
      </c>
      <c r="P51" s="93">
        <f t="shared" si="1"/>
        <v>0.89937106918238996</v>
      </c>
      <c r="Q51" s="93">
        <f t="shared" si="2"/>
        <v>8.1761006289308172E-2</v>
      </c>
      <c r="R51" s="93">
        <f t="shared" si="3"/>
        <v>1.8867924528301886E-2</v>
      </c>
      <c r="S51" s="93">
        <f t="shared" si="4"/>
        <v>0.88232323232323229</v>
      </c>
      <c r="T51" s="93">
        <f t="shared" si="5"/>
        <v>8.4343434343434345E-2</v>
      </c>
      <c r="U51" s="93">
        <f t="shared" si="6"/>
        <v>3.3333333333333333E-2</v>
      </c>
      <c r="V51" s="93">
        <f t="shared" si="7"/>
        <v>0.87165775401069523</v>
      </c>
      <c r="W51" s="93">
        <f t="shared" si="8"/>
        <v>9.1800356506238856E-2</v>
      </c>
      <c r="X51" s="93">
        <f t="shared" si="9"/>
        <v>3.6541889483065956E-2</v>
      </c>
    </row>
    <row r="52" spans="1:24">
      <c r="A52" s="353">
        <v>97</v>
      </c>
      <c r="B52" s="93" t="s">
        <v>651</v>
      </c>
      <c r="C52" s="93">
        <v>3</v>
      </c>
      <c r="D52" s="93">
        <v>3</v>
      </c>
      <c r="E52" s="93">
        <v>0</v>
      </c>
      <c r="F52" s="93">
        <f t="shared" si="10"/>
        <v>0</v>
      </c>
      <c r="G52" s="93">
        <v>121</v>
      </c>
      <c r="H52" s="93">
        <v>107</v>
      </c>
      <c r="I52" s="93">
        <v>8</v>
      </c>
      <c r="J52" s="93">
        <f t="shared" si="11"/>
        <v>6</v>
      </c>
      <c r="K52" s="93">
        <v>78</v>
      </c>
      <c r="L52" s="93">
        <v>63</v>
      </c>
      <c r="M52" s="93">
        <v>8</v>
      </c>
      <c r="N52" s="93">
        <f t="shared" si="12"/>
        <v>7</v>
      </c>
      <c r="P52" s="93">
        <f t="shared" si="1"/>
        <v>1</v>
      </c>
      <c r="Q52" s="93">
        <f t="shared" si="2"/>
        <v>0</v>
      </c>
      <c r="R52" s="93">
        <f t="shared" si="3"/>
        <v>0</v>
      </c>
      <c r="S52" s="93">
        <f t="shared" si="4"/>
        <v>0.88429752066115708</v>
      </c>
      <c r="T52" s="93">
        <f t="shared" si="5"/>
        <v>6.6115702479338845E-2</v>
      </c>
      <c r="U52" s="93">
        <f t="shared" si="6"/>
        <v>4.9586776859504134E-2</v>
      </c>
      <c r="V52" s="93">
        <f t="shared" si="7"/>
        <v>0.80769230769230771</v>
      </c>
      <c r="W52" s="93">
        <f t="shared" si="8"/>
        <v>0.10256410256410256</v>
      </c>
      <c r="X52" s="93">
        <f t="shared" si="9"/>
        <v>8.9743589743589744E-2</v>
      </c>
    </row>
    <row r="53" spans="1:24">
      <c r="A53" s="353">
        <v>99</v>
      </c>
      <c r="B53" s="93" t="s">
        <v>652</v>
      </c>
      <c r="C53" s="93">
        <v>25</v>
      </c>
      <c r="D53" s="93">
        <v>22</v>
      </c>
      <c r="E53" s="93">
        <v>3</v>
      </c>
      <c r="F53" s="93">
        <f t="shared" si="10"/>
        <v>0</v>
      </c>
      <c r="G53" s="93">
        <v>530</v>
      </c>
      <c r="H53" s="93">
        <v>450</v>
      </c>
      <c r="I53" s="93">
        <v>40</v>
      </c>
      <c r="J53" s="93">
        <f t="shared" si="11"/>
        <v>40</v>
      </c>
      <c r="K53" s="93">
        <v>308</v>
      </c>
      <c r="L53" s="93">
        <v>255</v>
      </c>
      <c r="M53" s="93">
        <v>40</v>
      </c>
      <c r="N53" s="93">
        <f t="shared" si="12"/>
        <v>13</v>
      </c>
      <c r="P53" s="93">
        <f t="shared" si="1"/>
        <v>0.88</v>
      </c>
      <c r="Q53" s="93">
        <f t="shared" si="2"/>
        <v>0.12</v>
      </c>
      <c r="R53" s="93">
        <f t="shared" si="3"/>
        <v>0</v>
      </c>
      <c r="S53" s="93">
        <f t="shared" si="4"/>
        <v>0.84905660377358494</v>
      </c>
      <c r="T53" s="93">
        <f t="shared" si="5"/>
        <v>7.5471698113207544E-2</v>
      </c>
      <c r="U53" s="93">
        <f t="shared" si="6"/>
        <v>7.5471698113207544E-2</v>
      </c>
      <c r="V53" s="93">
        <f t="shared" si="7"/>
        <v>0.82792207792207795</v>
      </c>
      <c r="W53" s="93">
        <f t="shared" si="8"/>
        <v>0.12987012987012986</v>
      </c>
      <c r="X53" s="93">
        <f t="shared" si="9"/>
        <v>4.2207792207792208E-2</v>
      </c>
    </row>
    <row r="54" spans="1:24">
      <c r="A54" s="353">
        <v>101</v>
      </c>
      <c r="B54" s="93" t="s">
        <v>653</v>
      </c>
      <c r="C54" s="93">
        <v>12</v>
      </c>
      <c r="D54" s="93">
        <v>10</v>
      </c>
      <c r="E54" s="93">
        <v>0</v>
      </c>
      <c r="F54" s="93">
        <f t="shared" si="10"/>
        <v>2</v>
      </c>
      <c r="G54" s="93">
        <v>204</v>
      </c>
      <c r="H54" s="93">
        <v>162</v>
      </c>
      <c r="I54" s="93">
        <v>27</v>
      </c>
      <c r="J54" s="93">
        <f t="shared" si="11"/>
        <v>15</v>
      </c>
      <c r="K54" s="93">
        <v>140</v>
      </c>
      <c r="L54" s="93">
        <v>122</v>
      </c>
      <c r="M54" s="93">
        <v>13</v>
      </c>
      <c r="N54" s="93">
        <f t="shared" si="12"/>
        <v>5</v>
      </c>
      <c r="P54" s="93">
        <f t="shared" si="1"/>
        <v>0.83333333333333337</v>
      </c>
      <c r="Q54" s="93">
        <f t="shared" si="2"/>
        <v>0</v>
      </c>
      <c r="R54" s="93">
        <f t="shared" si="3"/>
        <v>0.16666666666666666</v>
      </c>
      <c r="S54" s="93">
        <f t="shared" si="4"/>
        <v>0.79411764705882348</v>
      </c>
      <c r="T54" s="93">
        <f t="shared" si="5"/>
        <v>0.13235294117647059</v>
      </c>
      <c r="U54" s="93">
        <f t="shared" si="6"/>
        <v>7.3529411764705885E-2</v>
      </c>
      <c r="V54" s="93">
        <f t="shared" si="7"/>
        <v>0.87142857142857144</v>
      </c>
      <c r="W54" s="93">
        <f t="shared" si="8"/>
        <v>9.285714285714286E-2</v>
      </c>
      <c r="X54" s="93">
        <f t="shared" si="9"/>
        <v>3.5714285714285712E-2</v>
      </c>
    </row>
    <row r="55" spans="1:24">
      <c r="A55" s="353">
        <v>103</v>
      </c>
      <c r="B55" s="93" t="s">
        <v>654</v>
      </c>
      <c r="C55" s="93">
        <v>22</v>
      </c>
      <c r="D55" s="93">
        <v>15</v>
      </c>
      <c r="E55" s="93">
        <v>7</v>
      </c>
      <c r="F55" s="93">
        <f t="shared" si="10"/>
        <v>0</v>
      </c>
      <c r="G55" s="93">
        <v>70</v>
      </c>
      <c r="H55" s="93">
        <v>54</v>
      </c>
      <c r="I55" s="93">
        <v>7</v>
      </c>
      <c r="J55" s="93">
        <f t="shared" si="11"/>
        <v>9</v>
      </c>
      <c r="K55" s="93">
        <v>49</v>
      </c>
      <c r="L55" s="93">
        <v>34</v>
      </c>
      <c r="M55" s="93">
        <v>13</v>
      </c>
      <c r="N55" s="93">
        <f t="shared" si="12"/>
        <v>2</v>
      </c>
      <c r="P55" s="93">
        <f t="shared" si="1"/>
        <v>0.68181818181818177</v>
      </c>
      <c r="Q55" s="93">
        <f t="shared" si="2"/>
        <v>0.31818181818181818</v>
      </c>
      <c r="R55" s="93">
        <f t="shared" si="3"/>
        <v>0</v>
      </c>
      <c r="S55" s="93">
        <f t="shared" si="4"/>
        <v>0.77142857142857146</v>
      </c>
      <c r="T55" s="93">
        <f t="shared" si="5"/>
        <v>0.1</v>
      </c>
      <c r="U55" s="93">
        <f t="shared" si="6"/>
        <v>0.12857142857142856</v>
      </c>
      <c r="V55" s="93">
        <f t="shared" si="7"/>
        <v>0.69387755102040816</v>
      </c>
      <c r="W55" s="93">
        <f t="shared" si="8"/>
        <v>0.26530612244897961</v>
      </c>
      <c r="X55" s="93">
        <f t="shared" si="9"/>
        <v>4.0816326530612242E-2</v>
      </c>
    </row>
    <row r="56" spans="1:24">
      <c r="A56" s="353">
        <v>105</v>
      </c>
      <c r="B56" s="93" t="s">
        <v>655</v>
      </c>
      <c r="C56" s="93">
        <v>11</v>
      </c>
      <c r="D56" s="93">
        <v>9</v>
      </c>
      <c r="E56" s="93">
        <v>1</v>
      </c>
      <c r="F56" s="93">
        <f t="shared" si="10"/>
        <v>1</v>
      </c>
      <c r="G56" s="93">
        <v>345</v>
      </c>
      <c r="H56" s="93">
        <v>277</v>
      </c>
      <c r="I56" s="93">
        <v>55</v>
      </c>
      <c r="J56" s="93">
        <f t="shared" si="11"/>
        <v>13</v>
      </c>
      <c r="K56" s="93">
        <v>70</v>
      </c>
      <c r="L56" s="93">
        <v>67</v>
      </c>
      <c r="M56" s="93">
        <v>0</v>
      </c>
      <c r="N56" s="93">
        <f t="shared" si="12"/>
        <v>3</v>
      </c>
      <c r="P56" s="93">
        <f t="shared" si="1"/>
        <v>0.81818181818181823</v>
      </c>
      <c r="Q56" s="93">
        <f t="shared" si="2"/>
        <v>9.0909090909090912E-2</v>
      </c>
      <c r="R56" s="93">
        <f t="shared" si="3"/>
        <v>9.0909090909090912E-2</v>
      </c>
      <c r="S56" s="93">
        <f t="shared" si="4"/>
        <v>0.80289855072463767</v>
      </c>
      <c r="T56" s="93">
        <f t="shared" si="5"/>
        <v>0.15942028985507245</v>
      </c>
      <c r="U56" s="93">
        <f t="shared" si="6"/>
        <v>3.7681159420289857E-2</v>
      </c>
      <c r="V56" s="93">
        <f t="shared" si="7"/>
        <v>0.95714285714285718</v>
      </c>
      <c r="W56" s="93">
        <f t="shared" si="8"/>
        <v>0</v>
      </c>
      <c r="X56" s="93">
        <f t="shared" si="9"/>
        <v>4.2857142857142858E-2</v>
      </c>
    </row>
    <row r="57" spans="1:24">
      <c r="A57" s="353">
        <v>107</v>
      </c>
      <c r="B57" s="93" t="s">
        <v>656</v>
      </c>
      <c r="C57" s="93">
        <v>1182</v>
      </c>
      <c r="D57" s="93">
        <v>1094</v>
      </c>
      <c r="E57" s="93">
        <v>42</v>
      </c>
      <c r="F57" s="93">
        <f t="shared" si="10"/>
        <v>46</v>
      </c>
      <c r="G57" s="93">
        <v>25826</v>
      </c>
      <c r="H57" s="93">
        <v>23649</v>
      </c>
      <c r="I57" s="93">
        <v>1045</v>
      </c>
      <c r="J57" s="93">
        <f t="shared" si="11"/>
        <v>1132</v>
      </c>
      <c r="K57" s="93">
        <v>13833</v>
      </c>
      <c r="L57" s="93">
        <v>12233</v>
      </c>
      <c r="M57" s="93">
        <v>812</v>
      </c>
      <c r="N57" s="93">
        <f t="shared" si="12"/>
        <v>788</v>
      </c>
      <c r="P57" s="93">
        <f t="shared" si="1"/>
        <v>0.9255499153976311</v>
      </c>
      <c r="Q57" s="93">
        <f t="shared" si="2"/>
        <v>3.553299492385787E-2</v>
      </c>
      <c r="R57" s="93">
        <f t="shared" si="3"/>
        <v>3.8917089678510999E-2</v>
      </c>
      <c r="S57" s="93">
        <f t="shared" si="4"/>
        <v>0.91570510338418643</v>
      </c>
      <c r="T57" s="93">
        <f t="shared" si="5"/>
        <v>4.0463099202354219E-2</v>
      </c>
      <c r="U57" s="93">
        <f t="shared" si="6"/>
        <v>4.3831797413459307E-2</v>
      </c>
      <c r="V57" s="93">
        <f t="shared" si="7"/>
        <v>0.88433456227860907</v>
      </c>
      <c r="W57" s="93">
        <f t="shared" si="8"/>
        <v>5.8700209643605873E-2</v>
      </c>
      <c r="X57" s="93">
        <f t="shared" si="9"/>
        <v>5.6965228077785007E-2</v>
      </c>
    </row>
    <row r="58" spans="1:24">
      <c r="A58" s="353">
        <v>109</v>
      </c>
      <c r="B58" s="93" t="s">
        <v>657</v>
      </c>
      <c r="C58" s="93">
        <v>39</v>
      </c>
      <c r="D58" s="93">
        <v>33</v>
      </c>
      <c r="E58" s="93">
        <v>6</v>
      </c>
      <c r="F58" s="93">
        <f t="shared" si="10"/>
        <v>0</v>
      </c>
      <c r="G58" s="93">
        <v>465</v>
      </c>
      <c r="H58" s="93">
        <v>392</v>
      </c>
      <c r="I58" s="93">
        <v>48</v>
      </c>
      <c r="J58" s="93">
        <f t="shared" si="11"/>
        <v>25</v>
      </c>
      <c r="K58" s="93">
        <v>283</v>
      </c>
      <c r="L58" s="93">
        <v>251</v>
      </c>
      <c r="M58" s="93">
        <v>26</v>
      </c>
      <c r="N58" s="93">
        <f t="shared" si="12"/>
        <v>6</v>
      </c>
      <c r="P58" s="93">
        <f t="shared" si="1"/>
        <v>0.84615384615384615</v>
      </c>
      <c r="Q58" s="93">
        <f t="shared" si="2"/>
        <v>0.15384615384615385</v>
      </c>
      <c r="R58" s="93">
        <f t="shared" si="3"/>
        <v>0</v>
      </c>
      <c r="S58" s="93">
        <f t="shared" si="4"/>
        <v>0.84301075268817205</v>
      </c>
      <c r="T58" s="93">
        <f t="shared" si="5"/>
        <v>0.1032258064516129</v>
      </c>
      <c r="U58" s="93">
        <f t="shared" si="6"/>
        <v>5.3763440860215055E-2</v>
      </c>
      <c r="V58" s="93">
        <f t="shared" si="7"/>
        <v>0.88692579505300351</v>
      </c>
      <c r="W58" s="93">
        <f t="shared" si="8"/>
        <v>9.187279151943463E-2</v>
      </c>
      <c r="X58" s="93">
        <f t="shared" si="9"/>
        <v>2.1201413427561839E-2</v>
      </c>
    </row>
    <row r="59" spans="1:24">
      <c r="A59" s="353">
        <v>111</v>
      </c>
      <c r="B59" s="93" t="s">
        <v>658</v>
      </c>
      <c r="C59" s="93">
        <v>15</v>
      </c>
      <c r="D59" s="93">
        <v>10</v>
      </c>
      <c r="E59" s="93">
        <v>4</v>
      </c>
      <c r="F59" s="93">
        <f t="shared" si="10"/>
        <v>1</v>
      </c>
      <c r="G59" s="93">
        <v>316</v>
      </c>
      <c r="H59" s="93">
        <v>252</v>
      </c>
      <c r="I59" s="93">
        <v>47</v>
      </c>
      <c r="J59" s="93">
        <f t="shared" si="11"/>
        <v>17</v>
      </c>
      <c r="K59" s="93">
        <v>173</v>
      </c>
      <c r="L59" s="93">
        <v>135</v>
      </c>
      <c r="M59" s="93">
        <v>31</v>
      </c>
      <c r="N59" s="93">
        <f t="shared" si="12"/>
        <v>7</v>
      </c>
      <c r="P59" s="93">
        <f t="shared" si="1"/>
        <v>0.66666666666666663</v>
      </c>
      <c r="Q59" s="93">
        <f t="shared" si="2"/>
        <v>0.26666666666666666</v>
      </c>
      <c r="R59" s="93">
        <f t="shared" si="3"/>
        <v>6.6666666666666666E-2</v>
      </c>
      <c r="S59" s="93">
        <f t="shared" si="4"/>
        <v>0.79746835443037978</v>
      </c>
      <c r="T59" s="93">
        <f t="shared" si="5"/>
        <v>0.14873417721518986</v>
      </c>
      <c r="U59" s="93">
        <f t="shared" si="6"/>
        <v>5.3797468354430382E-2</v>
      </c>
      <c r="V59" s="93">
        <f t="shared" si="7"/>
        <v>0.78034682080924855</v>
      </c>
      <c r="W59" s="93">
        <f t="shared" si="8"/>
        <v>0.1791907514450867</v>
      </c>
      <c r="X59" s="93">
        <f t="shared" si="9"/>
        <v>4.046242774566474E-2</v>
      </c>
    </row>
    <row r="60" spans="1:24">
      <c r="A60" s="353">
        <v>113</v>
      </c>
      <c r="B60" s="93" t="s">
        <v>659</v>
      </c>
      <c r="C60" s="93">
        <v>12</v>
      </c>
      <c r="D60" s="93">
        <v>12</v>
      </c>
      <c r="E60" s="93">
        <v>0</v>
      </c>
      <c r="F60" s="93">
        <f t="shared" si="10"/>
        <v>0</v>
      </c>
      <c r="G60" s="93">
        <v>133</v>
      </c>
      <c r="H60" s="93">
        <v>122</v>
      </c>
      <c r="I60" s="93">
        <v>3</v>
      </c>
      <c r="J60" s="93">
        <f t="shared" si="11"/>
        <v>8</v>
      </c>
      <c r="K60" s="93">
        <v>97</v>
      </c>
      <c r="L60" s="93">
        <v>87</v>
      </c>
      <c r="M60" s="93">
        <v>10</v>
      </c>
      <c r="N60" s="93">
        <f t="shared" si="12"/>
        <v>0</v>
      </c>
      <c r="P60" s="93">
        <f t="shared" si="1"/>
        <v>1</v>
      </c>
      <c r="Q60" s="93">
        <f t="shared" si="2"/>
        <v>0</v>
      </c>
      <c r="R60" s="93">
        <f t="shared" si="3"/>
        <v>0</v>
      </c>
      <c r="S60" s="93">
        <f t="shared" si="4"/>
        <v>0.91729323308270672</v>
      </c>
      <c r="T60" s="93">
        <f t="shared" si="5"/>
        <v>2.2556390977443608E-2</v>
      </c>
      <c r="U60" s="93">
        <f t="shared" si="6"/>
        <v>6.0150375939849621E-2</v>
      </c>
      <c r="V60" s="93">
        <f t="shared" si="7"/>
        <v>0.89690721649484539</v>
      </c>
      <c r="W60" s="93">
        <f t="shared" si="8"/>
        <v>0.10309278350515463</v>
      </c>
      <c r="X60" s="93">
        <f t="shared" si="9"/>
        <v>0</v>
      </c>
    </row>
    <row r="61" spans="1:24">
      <c r="A61" s="353">
        <v>115</v>
      </c>
      <c r="B61" s="93" t="s">
        <v>660</v>
      </c>
      <c r="C61" s="93">
        <v>8</v>
      </c>
      <c r="D61" s="93">
        <v>8</v>
      </c>
      <c r="E61" s="93">
        <v>0</v>
      </c>
      <c r="F61" s="93">
        <f t="shared" si="10"/>
        <v>0</v>
      </c>
      <c r="G61" s="93">
        <v>84</v>
      </c>
      <c r="H61" s="93">
        <v>77</v>
      </c>
      <c r="I61" s="93">
        <v>2</v>
      </c>
      <c r="J61" s="93">
        <f t="shared" si="11"/>
        <v>5</v>
      </c>
      <c r="K61" s="93">
        <v>46</v>
      </c>
      <c r="L61" s="93">
        <v>46</v>
      </c>
      <c r="M61" s="93">
        <v>0</v>
      </c>
      <c r="N61" s="93">
        <f t="shared" si="12"/>
        <v>0</v>
      </c>
      <c r="P61" s="93">
        <f t="shared" si="1"/>
        <v>1</v>
      </c>
      <c r="Q61" s="93">
        <f t="shared" si="2"/>
        <v>0</v>
      </c>
      <c r="R61" s="93">
        <f t="shared" si="3"/>
        <v>0</v>
      </c>
      <c r="S61" s="93">
        <f t="shared" si="4"/>
        <v>0.91666666666666663</v>
      </c>
      <c r="T61" s="93">
        <f t="shared" si="5"/>
        <v>2.3809523809523808E-2</v>
      </c>
      <c r="U61" s="93">
        <f t="shared" si="6"/>
        <v>5.9523809523809521E-2</v>
      </c>
      <c r="V61" s="93">
        <f t="shared" si="7"/>
        <v>1</v>
      </c>
      <c r="W61" s="93">
        <f t="shared" si="8"/>
        <v>0</v>
      </c>
      <c r="X61" s="93">
        <f t="shared" si="9"/>
        <v>0</v>
      </c>
    </row>
    <row r="62" spans="1:24">
      <c r="A62" s="353">
        <v>117</v>
      </c>
      <c r="B62" s="93" t="s">
        <v>661</v>
      </c>
      <c r="C62" s="93">
        <v>65</v>
      </c>
      <c r="D62" s="93">
        <v>42</v>
      </c>
      <c r="E62" s="93">
        <v>16</v>
      </c>
      <c r="F62" s="93">
        <f t="shared" si="10"/>
        <v>7</v>
      </c>
      <c r="G62" s="93">
        <v>550</v>
      </c>
      <c r="H62" s="93">
        <v>453</v>
      </c>
      <c r="I62" s="93">
        <v>88</v>
      </c>
      <c r="J62" s="93">
        <f t="shared" si="11"/>
        <v>9</v>
      </c>
      <c r="K62" s="93">
        <v>256</v>
      </c>
      <c r="L62" s="93">
        <v>195</v>
      </c>
      <c r="M62" s="93">
        <v>59</v>
      </c>
      <c r="N62" s="93">
        <f t="shared" si="12"/>
        <v>2</v>
      </c>
      <c r="P62" s="93">
        <f t="shared" si="1"/>
        <v>0.64615384615384619</v>
      </c>
      <c r="Q62" s="93">
        <f t="shared" si="2"/>
        <v>0.24615384615384617</v>
      </c>
      <c r="R62" s="93">
        <f t="shared" si="3"/>
        <v>0.1076923076923077</v>
      </c>
      <c r="S62" s="93">
        <f t="shared" si="4"/>
        <v>0.82363636363636361</v>
      </c>
      <c r="T62" s="93">
        <f t="shared" si="5"/>
        <v>0.16</v>
      </c>
      <c r="U62" s="93">
        <f t="shared" si="6"/>
        <v>1.6363636363636365E-2</v>
      </c>
      <c r="V62" s="93">
        <f t="shared" si="7"/>
        <v>0.76171875</v>
      </c>
      <c r="W62" s="93">
        <f t="shared" si="8"/>
        <v>0.23046875</v>
      </c>
      <c r="X62" s="93">
        <f t="shared" si="9"/>
        <v>7.8125E-3</v>
      </c>
    </row>
    <row r="63" spans="1:24">
      <c r="A63" s="353">
        <v>119</v>
      </c>
      <c r="B63" s="93" t="s">
        <v>662</v>
      </c>
      <c r="C63" s="93">
        <v>8</v>
      </c>
      <c r="D63" s="93">
        <v>4</v>
      </c>
      <c r="E63" s="93">
        <v>2</v>
      </c>
      <c r="F63" s="93">
        <f t="shared" si="10"/>
        <v>2</v>
      </c>
      <c r="G63" s="93">
        <v>113</v>
      </c>
      <c r="H63" s="93">
        <v>94</v>
      </c>
      <c r="I63" s="93">
        <v>17</v>
      </c>
      <c r="J63" s="93">
        <f t="shared" si="11"/>
        <v>2</v>
      </c>
      <c r="K63" s="93">
        <v>49</v>
      </c>
      <c r="L63" s="93">
        <v>43</v>
      </c>
      <c r="M63" s="93">
        <v>5</v>
      </c>
      <c r="N63" s="93">
        <f t="shared" si="12"/>
        <v>1</v>
      </c>
      <c r="P63" s="93">
        <f t="shared" si="1"/>
        <v>0.5</v>
      </c>
      <c r="Q63" s="93">
        <f t="shared" si="2"/>
        <v>0.25</v>
      </c>
      <c r="R63" s="93">
        <f t="shared" si="3"/>
        <v>0.25</v>
      </c>
      <c r="S63" s="93">
        <f t="shared" si="4"/>
        <v>0.83185840707964598</v>
      </c>
      <c r="T63" s="93">
        <f t="shared" si="5"/>
        <v>0.15044247787610621</v>
      </c>
      <c r="U63" s="93">
        <f t="shared" si="6"/>
        <v>1.7699115044247787E-2</v>
      </c>
      <c r="V63" s="93">
        <f t="shared" si="7"/>
        <v>0.87755102040816324</v>
      </c>
      <c r="W63" s="93">
        <f t="shared" si="8"/>
        <v>0.10204081632653061</v>
      </c>
      <c r="X63" s="93">
        <f t="shared" si="9"/>
        <v>2.0408163265306121E-2</v>
      </c>
    </row>
    <row r="64" spans="1:24">
      <c r="A64" s="353">
        <v>121</v>
      </c>
      <c r="B64" s="93" t="s">
        <v>663</v>
      </c>
      <c r="C64" s="93">
        <v>74</v>
      </c>
      <c r="D64" s="93">
        <v>69</v>
      </c>
      <c r="E64" s="93">
        <v>4</v>
      </c>
      <c r="F64" s="93">
        <f t="shared" si="10"/>
        <v>1</v>
      </c>
      <c r="G64" s="93">
        <v>2075</v>
      </c>
      <c r="H64" s="93">
        <v>1799</v>
      </c>
      <c r="I64" s="93">
        <v>116</v>
      </c>
      <c r="J64" s="93">
        <f t="shared" si="11"/>
        <v>160</v>
      </c>
      <c r="K64" s="93">
        <v>540</v>
      </c>
      <c r="L64" s="93">
        <v>472</v>
      </c>
      <c r="M64" s="93">
        <v>31</v>
      </c>
      <c r="N64" s="93">
        <f t="shared" si="12"/>
        <v>37</v>
      </c>
      <c r="P64" s="93">
        <f t="shared" si="1"/>
        <v>0.93243243243243246</v>
      </c>
      <c r="Q64" s="93">
        <f t="shared" si="2"/>
        <v>5.4054054054054057E-2</v>
      </c>
      <c r="R64" s="93">
        <f t="shared" si="3"/>
        <v>1.3513513513513514E-2</v>
      </c>
      <c r="S64" s="93">
        <f t="shared" si="4"/>
        <v>0.86698795180722887</v>
      </c>
      <c r="T64" s="93">
        <f t="shared" si="5"/>
        <v>5.5903614457831326E-2</v>
      </c>
      <c r="U64" s="93">
        <f t="shared" si="6"/>
        <v>7.7108433734939766E-2</v>
      </c>
      <c r="V64" s="93">
        <f t="shared" si="7"/>
        <v>0.87407407407407411</v>
      </c>
      <c r="W64" s="93">
        <f t="shared" si="8"/>
        <v>5.7407407407407407E-2</v>
      </c>
      <c r="X64" s="93">
        <f t="shared" si="9"/>
        <v>6.851851851851852E-2</v>
      </c>
    </row>
    <row r="65" spans="1:24">
      <c r="A65" s="353">
        <v>125</v>
      </c>
      <c r="B65" s="93" t="s">
        <v>664</v>
      </c>
      <c r="C65" s="93">
        <v>23</v>
      </c>
      <c r="D65" s="93">
        <v>19</v>
      </c>
      <c r="E65" s="93">
        <v>2</v>
      </c>
      <c r="F65" s="93">
        <f t="shared" si="10"/>
        <v>2</v>
      </c>
      <c r="G65" s="93">
        <v>297</v>
      </c>
      <c r="H65" s="93">
        <v>254</v>
      </c>
      <c r="I65" s="93">
        <v>26</v>
      </c>
      <c r="J65" s="93">
        <f t="shared" si="11"/>
        <v>17</v>
      </c>
      <c r="K65" s="93">
        <v>187</v>
      </c>
      <c r="L65" s="93">
        <v>149</v>
      </c>
      <c r="M65" s="93">
        <v>32</v>
      </c>
      <c r="N65" s="93">
        <f t="shared" si="12"/>
        <v>6</v>
      </c>
      <c r="P65" s="93">
        <f t="shared" si="1"/>
        <v>0.82608695652173914</v>
      </c>
      <c r="Q65" s="93">
        <f t="shared" si="2"/>
        <v>8.6956521739130432E-2</v>
      </c>
      <c r="R65" s="93">
        <f t="shared" si="3"/>
        <v>8.6956521739130432E-2</v>
      </c>
      <c r="S65" s="93">
        <f t="shared" si="4"/>
        <v>0.85521885521885521</v>
      </c>
      <c r="T65" s="93">
        <f t="shared" si="5"/>
        <v>8.7542087542087546E-2</v>
      </c>
      <c r="U65" s="93">
        <f t="shared" si="6"/>
        <v>5.7239057239057242E-2</v>
      </c>
      <c r="V65" s="93">
        <f t="shared" si="7"/>
        <v>0.79679144385026734</v>
      </c>
      <c r="W65" s="93">
        <f t="shared" si="8"/>
        <v>0.17112299465240641</v>
      </c>
      <c r="X65" s="93">
        <f t="shared" si="9"/>
        <v>3.2085561497326207E-2</v>
      </c>
    </row>
    <row r="66" spans="1:24">
      <c r="A66" s="353">
        <v>127</v>
      </c>
      <c r="B66" s="93" t="s">
        <v>665</v>
      </c>
      <c r="C66" s="93">
        <v>15</v>
      </c>
      <c r="D66" s="93">
        <v>14</v>
      </c>
      <c r="E66" s="93">
        <v>0</v>
      </c>
      <c r="F66" s="93">
        <f t="shared" si="10"/>
        <v>1</v>
      </c>
      <c r="G66" s="93">
        <v>230</v>
      </c>
      <c r="H66" s="93">
        <v>202</v>
      </c>
      <c r="I66" s="93">
        <v>16</v>
      </c>
      <c r="J66" s="93">
        <f t="shared" si="11"/>
        <v>12</v>
      </c>
      <c r="K66" s="93">
        <v>165</v>
      </c>
      <c r="L66" s="93">
        <v>142</v>
      </c>
      <c r="M66" s="93">
        <v>9</v>
      </c>
      <c r="N66" s="93">
        <f t="shared" si="12"/>
        <v>14</v>
      </c>
      <c r="P66" s="93">
        <f t="shared" si="1"/>
        <v>0.93333333333333335</v>
      </c>
      <c r="Q66" s="93">
        <f t="shared" si="2"/>
        <v>0</v>
      </c>
      <c r="R66" s="93">
        <f t="shared" si="3"/>
        <v>6.6666666666666666E-2</v>
      </c>
      <c r="S66" s="93">
        <f t="shared" si="4"/>
        <v>0.87826086956521743</v>
      </c>
      <c r="T66" s="93">
        <f t="shared" si="5"/>
        <v>6.9565217391304349E-2</v>
      </c>
      <c r="U66" s="93">
        <f t="shared" si="6"/>
        <v>5.2173913043478258E-2</v>
      </c>
      <c r="V66" s="93">
        <f t="shared" si="7"/>
        <v>0.8606060606060606</v>
      </c>
      <c r="W66" s="93">
        <f t="shared" si="8"/>
        <v>5.4545454545454543E-2</v>
      </c>
      <c r="X66" s="93">
        <f t="shared" si="9"/>
        <v>8.4848484848484854E-2</v>
      </c>
    </row>
    <row r="67" spans="1:24">
      <c r="A67" s="353">
        <v>131</v>
      </c>
      <c r="B67" s="93" t="s">
        <v>666</v>
      </c>
      <c r="C67" s="93">
        <v>32</v>
      </c>
      <c r="D67" s="93">
        <v>28</v>
      </c>
      <c r="E67" s="93">
        <v>3</v>
      </c>
      <c r="F67" s="93">
        <f t="shared" si="10"/>
        <v>1</v>
      </c>
      <c r="G67" s="93">
        <v>545</v>
      </c>
      <c r="H67" s="93">
        <v>495</v>
      </c>
      <c r="I67" s="93">
        <v>30</v>
      </c>
      <c r="J67" s="93">
        <f t="shared" si="11"/>
        <v>20</v>
      </c>
      <c r="K67" s="93">
        <v>336</v>
      </c>
      <c r="L67" s="93">
        <v>304</v>
      </c>
      <c r="M67" s="93">
        <v>25</v>
      </c>
      <c r="N67" s="93">
        <f t="shared" si="12"/>
        <v>7</v>
      </c>
      <c r="P67" s="93">
        <f t="shared" si="1"/>
        <v>0.875</v>
      </c>
      <c r="Q67" s="93">
        <f t="shared" si="2"/>
        <v>9.375E-2</v>
      </c>
      <c r="R67" s="93">
        <f t="shared" si="3"/>
        <v>3.125E-2</v>
      </c>
      <c r="S67" s="93">
        <f t="shared" si="4"/>
        <v>0.90825688073394495</v>
      </c>
      <c r="T67" s="93">
        <f t="shared" si="5"/>
        <v>5.5045871559633031E-2</v>
      </c>
      <c r="U67" s="93">
        <f t="shared" si="6"/>
        <v>3.669724770642202E-2</v>
      </c>
      <c r="V67" s="93">
        <f t="shared" si="7"/>
        <v>0.90476190476190477</v>
      </c>
      <c r="W67" s="93">
        <f t="shared" si="8"/>
        <v>7.4404761904761904E-2</v>
      </c>
      <c r="X67" s="93">
        <f t="shared" si="9"/>
        <v>2.0833333333333332E-2</v>
      </c>
    </row>
    <row r="68" spans="1:24">
      <c r="A68" s="353">
        <v>133</v>
      </c>
      <c r="B68" s="93" t="s">
        <v>667</v>
      </c>
      <c r="C68" s="93">
        <v>20</v>
      </c>
      <c r="D68" s="93">
        <v>16</v>
      </c>
      <c r="E68" s="93">
        <v>4</v>
      </c>
      <c r="F68" s="93">
        <f t="shared" si="10"/>
        <v>0</v>
      </c>
      <c r="G68" s="93">
        <v>250</v>
      </c>
      <c r="H68" s="93">
        <v>221</v>
      </c>
      <c r="I68" s="93">
        <v>18</v>
      </c>
      <c r="J68" s="93">
        <f t="shared" si="11"/>
        <v>11</v>
      </c>
      <c r="K68" s="93">
        <v>130</v>
      </c>
      <c r="L68" s="93">
        <v>109</v>
      </c>
      <c r="M68" s="93">
        <v>10</v>
      </c>
      <c r="N68" s="93">
        <f t="shared" si="12"/>
        <v>11</v>
      </c>
      <c r="P68" s="93">
        <f t="shared" si="1"/>
        <v>0.8</v>
      </c>
      <c r="Q68" s="93">
        <f t="shared" si="2"/>
        <v>0.2</v>
      </c>
      <c r="R68" s="93">
        <f t="shared" si="3"/>
        <v>0</v>
      </c>
      <c r="S68" s="93">
        <f t="shared" si="4"/>
        <v>0.88400000000000001</v>
      </c>
      <c r="T68" s="93">
        <f t="shared" si="5"/>
        <v>7.1999999999999995E-2</v>
      </c>
      <c r="U68" s="93">
        <f t="shared" si="6"/>
        <v>4.3999999999999997E-2</v>
      </c>
      <c r="V68" s="93">
        <f t="shared" si="7"/>
        <v>0.83846153846153848</v>
      </c>
      <c r="W68" s="93">
        <f t="shared" si="8"/>
        <v>7.6923076923076927E-2</v>
      </c>
      <c r="X68" s="93">
        <f t="shared" si="9"/>
        <v>8.461538461538462E-2</v>
      </c>
    </row>
    <row r="69" spans="1:24">
      <c r="A69" s="353">
        <v>135</v>
      </c>
      <c r="B69" s="93" t="s">
        <v>668</v>
      </c>
      <c r="C69" s="93">
        <v>25</v>
      </c>
      <c r="D69" s="93">
        <v>11</v>
      </c>
      <c r="E69" s="93">
        <v>14</v>
      </c>
      <c r="F69" s="93">
        <f t="shared" si="10"/>
        <v>0</v>
      </c>
      <c r="G69" s="93">
        <v>415</v>
      </c>
      <c r="H69" s="93">
        <v>304</v>
      </c>
      <c r="I69" s="93">
        <v>66</v>
      </c>
      <c r="J69" s="93">
        <f t="shared" si="11"/>
        <v>45</v>
      </c>
      <c r="K69" s="93">
        <v>215</v>
      </c>
      <c r="L69" s="93">
        <v>145</v>
      </c>
      <c r="M69" s="93">
        <v>46</v>
      </c>
      <c r="N69" s="93">
        <f t="shared" si="12"/>
        <v>24</v>
      </c>
      <c r="P69" s="93">
        <f t="shared" ref="P69:P121" si="13">D69/C69</f>
        <v>0.44</v>
      </c>
      <c r="Q69" s="93">
        <f t="shared" ref="Q69:Q121" si="14">E69/C69</f>
        <v>0.56000000000000005</v>
      </c>
      <c r="R69" s="93">
        <f t="shared" ref="R69:R121" si="15">F69/C69</f>
        <v>0</v>
      </c>
      <c r="S69" s="93">
        <f t="shared" ref="S69:S121" si="16">H69/G69</f>
        <v>0.73253012048192767</v>
      </c>
      <c r="T69" s="93">
        <f t="shared" ref="T69:T121" si="17">I69/G69</f>
        <v>0.15903614457831325</v>
      </c>
      <c r="U69" s="93">
        <f t="shared" ref="U69:U121" si="18">J69/G69</f>
        <v>0.10843373493975904</v>
      </c>
      <c r="V69" s="93">
        <f t="shared" ref="V69:V121" si="19">L69/K69</f>
        <v>0.67441860465116277</v>
      </c>
      <c r="W69" s="93">
        <f t="shared" ref="W69:W121" si="20">M69/K69</f>
        <v>0.21395348837209302</v>
      </c>
      <c r="X69" s="93">
        <f t="shared" ref="X69:X121" si="21">N69/K69</f>
        <v>0.11162790697674418</v>
      </c>
    </row>
    <row r="70" spans="1:24">
      <c r="A70" s="353">
        <v>137</v>
      </c>
      <c r="B70" s="93" t="s">
        <v>669</v>
      </c>
      <c r="C70" s="93">
        <v>74</v>
      </c>
      <c r="D70" s="93">
        <v>68</v>
      </c>
      <c r="E70" s="93">
        <v>3</v>
      </c>
      <c r="F70" s="93">
        <f t="shared" ref="F70:F121" si="22">C70-D70-E70</f>
        <v>3</v>
      </c>
      <c r="G70" s="93">
        <v>690</v>
      </c>
      <c r="H70" s="93">
        <v>596</v>
      </c>
      <c r="I70" s="93">
        <v>59</v>
      </c>
      <c r="J70" s="93">
        <f t="shared" ref="J70:J121" si="23">G70-H70-I70</f>
        <v>35</v>
      </c>
      <c r="K70" s="93">
        <v>432</v>
      </c>
      <c r="L70" s="93">
        <v>368</v>
      </c>
      <c r="M70" s="93">
        <v>49</v>
      </c>
      <c r="N70" s="93">
        <f t="shared" ref="N70:N121" si="24">K70-L70-M70</f>
        <v>15</v>
      </c>
      <c r="P70" s="93">
        <f t="shared" si="13"/>
        <v>0.91891891891891897</v>
      </c>
      <c r="Q70" s="93">
        <f t="shared" si="14"/>
        <v>4.0540540540540543E-2</v>
      </c>
      <c r="R70" s="93">
        <f t="shared" si="15"/>
        <v>4.0540540540540543E-2</v>
      </c>
      <c r="S70" s="93">
        <f t="shared" si="16"/>
        <v>0.86376811594202896</v>
      </c>
      <c r="T70" s="93">
        <f t="shared" si="17"/>
        <v>8.5507246376811591E-2</v>
      </c>
      <c r="U70" s="93">
        <f t="shared" si="18"/>
        <v>5.0724637681159424E-2</v>
      </c>
      <c r="V70" s="93">
        <f t="shared" si="19"/>
        <v>0.85185185185185186</v>
      </c>
      <c r="W70" s="93">
        <f t="shared" si="20"/>
        <v>0.11342592592592593</v>
      </c>
      <c r="X70" s="93">
        <f t="shared" si="21"/>
        <v>3.4722222222222224E-2</v>
      </c>
    </row>
    <row r="71" spans="1:24">
      <c r="A71" s="353">
        <v>139</v>
      </c>
      <c r="B71" s="93" t="s">
        <v>670</v>
      </c>
      <c r="C71" s="93">
        <v>27</v>
      </c>
      <c r="D71" s="93">
        <v>25</v>
      </c>
      <c r="E71" s="93">
        <v>2</v>
      </c>
      <c r="F71" s="93">
        <f t="shared" si="22"/>
        <v>0</v>
      </c>
      <c r="G71" s="93">
        <v>217</v>
      </c>
      <c r="H71" s="93">
        <v>195</v>
      </c>
      <c r="I71" s="93">
        <v>15</v>
      </c>
      <c r="J71" s="93">
        <f t="shared" si="23"/>
        <v>7</v>
      </c>
      <c r="K71" s="93">
        <v>144</v>
      </c>
      <c r="L71" s="93">
        <v>132</v>
      </c>
      <c r="M71" s="93">
        <v>10</v>
      </c>
      <c r="N71" s="93">
        <f t="shared" si="24"/>
        <v>2</v>
      </c>
      <c r="P71" s="93">
        <f t="shared" si="13"/>
        <v>0.92592592592592593</v>
      </c>
      <c r="Q71" s="93">
        <f t="shared" si="14"/>
        <v>7.407407407407407E-2</v>
      </c>
      <c r="R71" s="93">
        <f t="shared" si="15"/>
        <v>0</v>
      </c>
      <c r="S71" s="93">
        <f t="shared" si="16"/>
        <v>0.89861751152073732</v>
      </c>
      <c r="T71" s="93">
        <f t="shared" si="17"/>
        <v>6.9124423963133647E-2</v>
      </c>
      <c r="U71" s="93">
        <f t="shared" si="18"/>
        <v>3.2258064516129031E-2</v>
      </c>
      <c r="V71" s="93">
        <f t="shared" si="19"/>
        <v>0.91666666666666663</v>
      </c>
      <c r="W71" s="93">
        <f t="shared" si="20"/>
        <v>6.9444444444444448E-2</v>
      </c>
      <c r="X71" s="93">
        <f t="shared" si="21"/>
        <v>1.3888888888888888E-2</v>
      </c>
    </row>
    <row r="72" spans="1:24">
      <c r="A72" s="353">
        <v>141</v>
      </c>
      <c r="B72" s="93" t="s">
        <v>671</v>
      </c>
      <c r="C72" s="93">
        <v>28</v>
      </c>
      <c r="D72" s="93">
        <v>26</v>
      </c>
      <c r="E72" s="93">
        <v>2</v>
      </c>
      <c r="F72" s="93">
        <f t="shared" si="22"/>
        <v>0</v>
      </c>
      <c r="G72" s="93">
        <v>270</v>
      </c>
      <c r="H72" s="93">
        <v>246</v>
      </c>
      <c r="I72" s="93">
        <v>7</v>
      </c>
      <c r="J72" s="93">
        <f t="shared" si="23"/>
        <v>17</v>
      </c>
      <c r="K72" s="93">
        <v>170</v>
      </c>
      <c r="L72" s="93">
        <v>155</v>
      </c>
      <c r="M72" s="93">
        <v>3</v>
      </c>
      <c r="N72" s="93">
        <f t="shared" si="24"/>
        <v>12</v>
      </c>
      <c r="P72" s="93">
        <f t="shared" si="13"/>
        <v>0.9285714285714286</v>
      </c>
      <c r="Q72" s="93">
        <f t="shared" si="14"/>
        <v>7.1428571428571425E-2</v>
      </c>
      <c r="R72" s="93">
        <f t="shared" si="15"/>
        <v>0</v>
      </c>
      <c r="S72" s="93">
        <f t="shared" si="16"/>
        <v>0.91111111111111109</v>
      </c>
      <c r="T72" s="93">
        <f t="shared" si="17"/>
        <v>2.5925925925925925E-2</v>
      </c>
      <c r="U72" s="93">
        <f t="shared" si="18"/>
        <v>6.2962962962962957E-2</v>
      </c>
      <c r="V72" s="93">
        <f t="shared" si="19"/>
        <v>0.91176470588235292</v>
      </c>
      <c r="W72" s="93">
        <f t="shared" si="20"/>
        <v>1.7647058823529412E-2</v>
      </c>
      <c r="X72" s="93">
        <f t="shared" si="21"/>
        <v>7.0588235294117646E-2</v>
      </c>
    </row>
    <row r="73" spans="1:24">
      <c r="A73" s="353">
        <v>143</v>
      </c>
      <c r="B73" s="93" t="s">
        <v>672</v>
      </c>
      <c r="C73" s="93">
        <v>65</v>
      </c>
      <c r="D73" s="93">
        <v>54</v>
      </c>
      <c r="E73" s="93">
        <v>9</v>
      </c>
      <c r="F73" s="93">
        <f t="shared" si="22"/>
        <v>2</v>
      </c>
      <c r="G73" s="93">
        <v>807</v>
      </c>
      <c r="H73" s="93">
        <v>722</v>
      </c>
      <c r="I73" s="93">
        <v>60</v>
      </c>
      <c r="J73" s="93">
        <f t="shared" si="23"/>
        <v>25</v>
      </c>
      <c r="K73" s="93">
        <v>541</v>
      </c>
      <c r="L73" s="93">
        <v>481</v>
      </c>
      <c r="M73" s="93">
        <v>40</v>
      </c>
      <c r="N73" s="93">
        <f t="shared" si="24"/>
        <v>20</v>
      </c>
      <c r="P73" s="93">
        <f t="shared" si="13"/>
        <v>0.83076923076923082</v>
      </c>
      <c r="Q73" s="93">
        <f t="shared" si="14"/>
        <v>0.13846153846153847</v>
      </c>
      <c r="R73" s="93">
        <f t="shared" si="15"/>
        <v>3.0769230769230771E-2</v>
      </c>
      <c r="S73" s="93">
        <f t="shared" si="16"/>
        <v>0.89467162329615857</v>
      </c>
      <c r="T73" s="93">
        <f t="shared" si="17"/>
        <v>7.434944237918216E-2</v>
      </c>
      <c r="U73" s="93">
        <f t="shared" si="18"/>
        <v>3.0978934324659233E-2</v>
      </c>
      <c r="V73" s="93">
        <f t="shared" si="19"/>
        <v>0.88909426987061002</v>
      </c>
      <c r="W73" s="93">
        <f t="shared" si="20"/>
        <v>7.3937153419593352E-2</v>
      </c>
      <c r="X73" s="93">
        <f t="shared" si="21"/>
        <v>3.6968576709796676E-2</v>
      </c>
    </row>
    <row r="74" spans="1:24">
      <c r="A74" s="353">
        <v>145</v>
      </c>
      <c r="B74" s="93" t="s">
        <v>673</v>
      </c>
      <c r="C74" s="93">
        <v>25</v>
      </c>
      <c r="D74" s="93">
        <v>23</v>
      </c>
      <c r="E74" s="93">
        <v>2</v>
      </c>
      <c r="F74" s="93">
        <f t="shared" si="22"/>
        <v>0</v>
      </c>
      <c r="G74" s="93">
        <v>340</v>
      </c>
      <c r="H74" s="93">
        <v>306</v>
      </c>
      <c r="I74" s="93">
        <v>28</v>
      </c>
      <c r="J74" s="93">
        <f t="shared" si="23"/>
        <v>6</v>
      </c>
      <c r="K74" s="93">
        <v>159</v>
      </c>
      <c r="L74" s="93">
        <v>145</v>
      </c>
      <c r="M74" s="93">
        <v>14</v>
      </c>
      <c r="N74" s="93">
        <f t="shared" si="24"/>
        <v>0</v>
      </c>
      <c r="P74" s="93">
        <f t="shared" si="13"/>
        <v>0.92</v>
      </c>
      <c r="Q74" s="93">
        <f t="shared" si="14"/>
        <v>0.08</v>
      </c>
      <c r="R74" s="93">
        <f t="shared" si="15"/>
        <v>0</v>
      </c>
      <c r="S74" s="93">
        <f t="shared" si="16"/>
        <v>0.9</v>
      </c>
      <c r="T74" s="93">
        <f t="shared" si="17"/>
        <v>8.2352941176470587E-2</v>
      </c>
      <c r="U74" s="93">
        <f t="shared" si="18"/>
        <v>1.7647058823529412E-2</v>
      </c>
      <c r="V74" s="93">
        <f t="shared" si="19"/>
        <v>0.91194968553459121</v>
      </c>
      <c r="W74" s="93">
        <f t="shared" si="20"/>
        <v>8.8050314465408799E-2</v>
      </c>
      <c r="X74" s="93">
        <f t="shared" si="21"/>
        <v>0</v>
      </c>
    </row>
    <row r="75" spans="1:24">
      <c r="A75" s="353">
        <v>147</v>
      </c>
      <c r="B75" s="93" t="s">
        <v>674</v>
      </c>
      <c r="C75" s="93">
        <v>19</v>
      </c>
      <c r="D75" s="93">
        <v>15</v>
      </c>
      <c r="E75" s="93">
        <v>3</v>
      </c>
      <c r="F75" s="93">
        <f t="shared" si="22"/>
        <v>1</v>
      </c>
      <c r="G75" s="93">
        <v>387</v>
      </c>
      <c r="H75" s="93">
        <v>288</v>
      </c>
      <c r="I75" s="93">
        <v>81</v>
      </c>
      <c r="J75" s="93">
        <f t="shared" si="23"/>
        <v>18</v>
      </c>
      <c r="K75" s="93">
        <v>138</v>
      </c>
      <c r="L75" s="93">
        <v>90</v>
      </c>
      <c r="M75" s="93">
        <v>43</v>
      </c>
      <c r="N75" s="93">
        <f t="shared" si="24"/>
        <v>5</v>
      </c>
      <c r="P75" s="93">
        <f t="shared" si="13"/>
        <v>0.78947368421052633</v>
      </c>
      <c r="Q75" s="93">
        <f t="shared" si="14"/>
        <v>0.15789473684210525</v>
      </c>
      <c r="R75" s="93">
        <f t="shared" si="15"/>
        <v>5.2631578947368418E-2</v>
      </c>
      <c r="S75" s="93">
        <f t="shared" si="16"/>
        <v>0.7441860465116279</v>
      </c>
      <c r="T75" s="93">
        <f t="shared" si="17"/>
        <v>0.20930232558139536</v>
      </c>
      <c r="U75" s="93">
        <f t="shared" si="18"/>
        <v>4.6511627906976744E-2</v>
      </c>
      <c r="V75" s="93">
        <f t="shared" si="19"/>
        <v>0.65217391304347827</v>
      </c>
      <c r="W75" s="93">
        <f t="shared" si="20"/>
        <v>0.31159420289855072</v>
      </c>
      <c r="X75" s="93">
        <f t="shared" si="21"/>
        <v>3.6231884057971016E-2</v>
      </c>
    </row>
    <row r="76" spans="1:24">
      <c r="A76" s="353">
        <v>149</v>
      </c>
      <c r="B76" s="93" t="s">
        <v>675</v>
      </c>
      <c r="C76" s="93">
        <v>42</v>
      </c>
      <c r="D76" s="93">
        <v>34</v>
      </c>
      <c r="E76" s="93">
        <v>6</v>
      </c>
      <c r="F76" s="93">
        <f t="shared" si="22"/>
        <v>2</v>
      </c>
      <c r="G76" s="93">
        <v>1603</v>
      </c>
      <c r="H76" s="93">
        <v>1198</v>
      </c>
      <c r="I76" s="93">
        <v>338</v>
      </c>
      <c r="J76" s="93">
        <f t="shared" si="23"/>
        <v>67</v>
      </c>
      <c r="K76" s="93">
        <v>739</v>
      </c>
      <c r="L76" s="93">
        <v>525</v>
      </c>
      <c r="M76" s="93">
        <v>163</v>
      </c>
      <c r="N76" s="93">
        <f t="shared" si="24"/>
        <v>51</v>
      </c>
      <c r="P76" s="93">
        <f t="shared" si="13"/>
        <v>0.80952380952380953</v>
      </c>
      <c r="Q76" s="93">
        <f t="shared" si="14"/>
        <v>0.14285714285714285</v>
      </c>
      <c r="R76" s="93">
        <f t="shared" si="15"/>
        <v>4.7619047619047616E-2</v>
      </c>
      <c r="S76" s="93">
        <f t="shared" si="16"/>
        <v>0.74734872114784778</v>
      </c>
      <c r="T76" s="93">
        <f t="shared" si="17"/>
        <v>0.21085464753587024</v>
      </c>
      <c r="U76" s="93">
        <f t="shared" si="18"/>
        <v>4.1796631316281974E-2</v>
      </c>
      <c r="V76" s="93">
        <f t="shared" si="19"/>
        <v>0.71041948579161029</v>
      </c>
      <c r="W76" s="93">
        <f t="shared" si="20"/>
        <v>0.22056833558863329</v>
      </c>
      <c r="X76" s="93">
        <f t="shared" si="21"/>
        <v>6.9012178619756434E-2</v>
      </c>
    </row>
    <row r="77" spans="1:24">
      <c r="A77" s="353">
        <v>153</v>
      </c>
      <c r="B77" s="93" t="s">
        <v>676</v>
      </c>
      <c r="C77" s="93">
        <v>2113</v>
      </c>
      <c r="D77" s="93">
        <v>1878</v>
      </c>
      <c r="E77" s="93">
        <v>119</v>
      </c>
      <c r="F77" s="93">
        <f t="shared" si="22"/>
        <v>116</v>
      </c>
      <c r="G77" s="93">
        <v>53586</v>
      </c>
      <c r="H77" s="93">
        <v>46734</v>
      </c>
      <c r="I77" s="93">
        <v>3714</v>
      </c>
      <c r="J77" s="93">
        <f t="shared" si="23"/>
        <v>3138</v>
      </c>
      <c r="K77" s="93">
        <v>30044</v>
      </c>
      <c r="L77" s="93">
        <v>25292</v>
      </c>
      <c r="M77" s="93">
        <v>2766</v>
      </c>
      <c r="N77" s="93">
        <f t="shared" si="24"/>
        <v>1986</v>
      </c>
      <c r="P77" s="93">
        <f t="shared" si="13"/>
        <v>0.88878371982962612</v>
      </c>
      <c r="Q77" s="93">
        <f t="shared" si="14"/>
        <v>5.6318031235210599E-2</v>
      </c>
      <c r="R77" s="93">
        <f t="shared" si="15"/>
        <v>5.4898248935163277E-2</v>
      </c>
      <c r="S77" s="93">
        <f t="shared" si="16"/>
        <v>0.87213078042772363</v>
      </c>
      <c r="T77" s="93">
        <f t="shared" si="17"/>
        <v>6.9309147911767996E-2</v>
      </c>
      <c r="U77" s="93">
        <f t="shared" si="18"/>
        <v>5.8560071660508341E-2</v>
      </c>
      <c r="V77" s="93">
        <f t="shared" si="19"/>
        <v>0.84183197976301427</v>
      </c>
      <c r="W77" s="93">
        <f t="shared" si="20"/>
        <v>9.2064971375316204E-2</v>
      </c>
      <c r="X77" s="93">
        <f t="shared" si="21"/>
        <v>6.6103048861669553E-2</v>
      </c>
    </row>
    <row r="78" spans="1:24">
      <c r="A78" s="353">
        <v>155</v>
      </c>
      <c r="B78" s="93" t="s">
        <v>677</v>
      </c>
      <c r="C78" s="93">
        <v>32</v>
      </c>
      <c r="D78" s="93">
        <v>31</v>
      </c>
      <c r="E78" s="93">
        <v>1</v>
      </c>
      <c r="F78" s="93">
        <f t="shared" si="22"/>
        <v>0</v>
      </c>
      <c r="G78" s="93">
        <v>264</v>
      </c>
      <c r="H78" s="93">
        <v>249</v>
      </c>
      <c r="I78" s="93">
        <v>8</v>
      </c>
      <c r="J78" s="93">
        <f t="shared" si="23"/>
        <v>7</v>
      </c>
      <c r="K78" s="93">
        <v>175</v>
      </c>
      <c r="L78" s="93">
        <v>160</v>
      </c>
      <c r="M78" s="93">
        <v>13</v>
      </c>
      <c r="N78" s="93">
        <f t="shared" si="24"/>
        <v>2</v>
      </c>
      <c r="P78" s="93">
        <f t="shared" si="13"/>
        <v>0.96875</v>
      </c>
      <c r="Q78" s="93">
        <f t="shared" si="14"/>
        <v>3.125E-2</v>
      </c>
      <c r="R78" s="93">
        <f t="shared" si="15"/>
        <v>0</v>
      </c>
      <c r="S78" s="93">
        <f t="shared" si="16"/>
        <v>0.94318181818181823</v>
      </c>
      <c r="T78" s="93">
        <f t="shared" si="17"/>
        <v>3.0303030303030304E-2</v>
      </c>
      <c r="U78" s="93">
        <f t="shared" si="18"/>
        <v>2.6515151515151516E-2</v>
      </c>
      <c r="V78" s="93">
        <f t="shared" si="19"/>
        <v>0.91428571428571426</v>
      </c>
      <c r="W78" s="93">
        <f t="shared" si="20"/>
        <v>7.4285714285714288E-2</v>
      </c>
      <c r="X78" s="93">
        <f t="shared" si="21"/>
        <v>1.1428571428571429E-2</v>
      </c>
    </row>
    <row r="79" spans="1:24">
      <c r="A79" s="353">
        <v>157</v>
      </c>
      <c r="B79" s="93" t="s">
        <v>678</v>
      </c>
      <c r="C79" s="93">
        <v>18</v>
      </c>
      <c r="D79" s="93">
        <v>18</v>
      </c>
      <c r="E79" s="93">
        <v>0</v>
      </c>
      <c r="F79" s="93">
        <f t="shared" si="22"/>
        <v>0</v>
      </c>
      <c r="G79" s="93">
        <v>143</v>
      </c>
      <c r="H79" s="93">
        <v>134</v>
      </c>
      <c r="I79" s="93">
        <v>7</v>
      </c>
      <c r="J79" s="93">
        <f t="shared" si="23"/>
        <v>2</v>
      </c>
      <c r="K79" s="93">
        <v>82</v>
      </c>
      <c r="L79" s="93">
        <v>77</v>
      </c>
      <c r="M79" s="93">
        <v>4</v>
      </c>
      <c r="N79" s="93">
        <f t="shared" si="24"/>
        <v>1</v>
      </c>
      <c r="P79" s="93">
        <f t="shared" si="13"/>
        <v>1</v>
      </c>
      <c r="Q79" s="93">
        <f t="shared" si="14"/>
        <v>0</v>
      </c>
      <c r="R79" s="93">
        <f t="shared" si="15"/>
        <v>0</v>
      </c>
      <c r="S79" s="93">
        <f t="shared" si="16"/>
        <v>0.93706293706293708</v>
      </c>
      <c r="T79" s="93">
        <f t="shared" si="17"/>
        <v>4.8951048951048952E-2</v>
      </c>
      <c r="U79" s="93">
        <f t="shared" si="18"/>
        <v>1.3986013986013986E-2</v>
      </c>
      <c r="V79" s="93">
        <f t="shared" si="19"/>
        <v>0.93902439024390238</v>
      </c>
      <c r="W79" s="93">
        <f t="shared" si="20"/>
        <v>4.878048780487805E-2</v>
      </c>
      <c r="X79" s="93">
        <f t="shared" si="21"/>
        <v>1.2195121951219513E-2</v>
      </c>
    </row>
    <row r="80" spans="1:24">
      <c r="A80" s="353">
        <v>159</v>
      </c>
      <c r="B80" s="93" t="s">
        <v>279</v>
      </c>
      <c r="C80" s="93">
        <v>20</v>
      </c>
      <c r="D80" s="93">
        <v>19</v>
      </c>
      <c r="E80" s="93">
        <v>1</v>
      </c>
      <c r="F80" s="93">
        <f t="shared" si="22"/>
        <v>0</v>
      </c>
      <c r="G80" s="93">
        <v>356</v>
      </c>
      <c r="H80" s="93">
        <v>331</v>
      </c>
      <c r="I80" s="93">
        <v>16</v>
      </c>
      <c r="J80" s="93">
        <f t="shared" si="23"/>
        <v>9</v>
      </c>
      <c r="K80" s="93">
        <v>157</v>
      </c>
      <c r="L80" s="93">
        <v>145</v>
      </c>
      <c r="M80" s="93">
        <v>9</v>
      </c>
      <c r="N80" s="93">
        <f t="shared" si="24"/>
        <v>3</v>
      </c>
      <c r="P80" s="93">
        <f t="shared" si="13"/>
        <v>0.95</v>
      </c>
      <c r="Q80" s="93">
        <f t="shared" si="14"/>
        <v>0.05</v>
      </c>
      <c r="R80" s="93">
        <f t="shared" si="15"/>
        <v>0</v>
      </c>
      <c r="S80" s="93">
        <f t="shared" si="16"/>
        <v>0.9297752808988764</v>
      </c>
      <c r="T80" s="93">
        <f t="shared" si="17"/>
        <v>4.49438202247191E-2</v>
      </c>
      <c r="U80" s="93">
        <f t="shared" si="18"/>
        <v>2.5280898876404494E-2</v>
      </c>
      <c r="V80" s="93">
        <f t="shared" si="19"/>
        <v>0.92356687898089174</v>
      </c>
      <c r="W80" s="93">
        <f t="shared" si="20"/>
        <v>5.7324840764331211E-2</v>
      </c>
      <c r="X80" s="93">
        <f t="shared" si="21"/>
        <v>1.9108280254777069E-2</v>
      </c>
    </row>
    <row r="81" spans="1:24">
      <c r="A81" s="353">
        <v>161</v>
      </c>
      <c r="B81" s="93" t="s">
        <v>311</v>
      </c>
      <c r="C81" s="93">
        <v>114</v>
      </c>
      <c r="D81" s="93">
        <v>107</v>
      </c>
      <c r="E81" s="93">
        <v>4</v>
      </c>
      <c r="F81" s="93">
        <f>(C81-D81-E81)+1</f>
        <v>4</v>
      </c>
      <c r="G81" s="93">
        <v>1628</v>
      </c>
      <c r="H81" s="93">
        <v>1460</v>
      </c>
      <c r="I81" s="93">
        <v>107</v>
      </c>
      <c r="J81" s="93">
        <f>(G81-H81-I81)+18</f>
        <v>79</v>
      </c>
      <c r="K81" s="93">
        <v>1001</v>
      </c>
      <c r="L81" s="93">
        <v>885</v>
      </c>
      <c r="M81" s="93">
        <v>86</v>
      </c>
      <c r="N81" s="93">
        <f>(K81-L81-M81)+11</f>
        <v>41</v>
      </c>
      <c r="P81" s="93">
        <f t="shared" si="13"/>
        <v>0.93859649122807021</v>
      </c>
      <c r="Q81" s="93">
        <f t="shared" si="14"/>
        <v>3.5087719298245612E-2</v>
      </c>
      <c r="R81" s="93">
        <f t="shared" si="15"/>
        <v>3.5087719298245612E-2</v>
      </c>
      <c r="S81" s="93">
        <f t="shared" si="16"/>
        <v>0.89680589680589684</v>
      </c>
      <c r="T81" s="93">
        <f t="shared" si="17"/>
        <v>6.5724815724815727E-2</v>
      </c>
      <c r="U81" s="93">
        <f t="shared" si="18"/>
        <v>4.8525798525798525E-2</v>
      </c>
      <c r="V81" s="93">
        <f t="shared" si="19"/>
        <v>0.88411588411588415</v>
      </c>
      <c r="W81" s="93">
        <f t="shared" si="20"/>
        <v>8.5914085914085919E-2</v>
      </c>
      <c r="X81" s="93">
        <f t="shared" si="21"/>
        <v>4.095904095904096E-2</v>
      </c>
    </row>
    <row r="82" spans="1:24">
      <c r="A82" s="353">
        <v>163</v>
      </c>
      <c r="B82" s="93" t="s">
        <v>913</v>
      </c>
      <c r="C82" s="93">
        <v>41</v>
      </c>
      <c r="D82" s="93">
        <v>40</v>
      </c>
      <c r="E82" s="93">
        <v>1</v>
      </c>
      <c r="F82" s="93">
        <f>((C82-D82-E82)+0)+0</f>
        <v>0</v>
      </c>
      <c r="G82" s="93">
        <v>487</v>
      </c>
      <c r="H82" s="93">
        <v>442</v>
      </c>
      <c r="I82" s="93">
        <v>24</v>
      </c>
      <c r="J82" s="93">
        <f>((G82-H82-I82)+4)+6</f>
        <v>31</v>
      </c>
      <c r="K82" s="93">
        <v>195</v>
      </c>
      <c r="L82" s="93">
        <v>175</v>
      </c>
      <c r="M82" s="93">
        <v>13</v>
      </c>
      <c r="N82" s="93">
        <f>((K82-L82-M82)+1)+0</f>
        <v>8</v>
      </c>
      <c r="P82" s="93">
        <f t="shared" si="13"/>
        <v>0.97560975609756095</v>
      </c>
      <c r="Q82" s="93">
        <f t="shared" si="14"/>
        <v>2.4390243902439025E-2</v>
      </c>
      <c r="R82" s="93">
        <f t="shared" si="15"/>
        <v>0</v>
      </c>
      <c r="S82" s="93">
        <f t="shared" si="16"/>
        <v>0.9075975359342916</v>
      </c>
      <c r="T82" s="93">
        <f t="shared" si="17"/>
        <v>4.9281314168377825E-2</v>
      </c>
      <c r="U82" s="93">
        <f t="shared" si="18"/>
        <v>6.3655030800821355E-2</v>
      </c>
      <c r="V82" s="93">
        <f t="shared" si="19"/>
        <v>0.89743589743589747</v>
      </c>
      <c r="W82" s="93">
        <f t="shared" si="20"/>
        <v>6.6666666666666666E-2</v>
      </c>
      <c r="X82" s="93">
        <f t="shared" si="21"/>
        <v>4.1025641025641026E-2</v>
      </c>
    </row>
    <row r="83" spans="1:24">
      <c r="A83" s="353">
        <v>165</v>
      </c>
      <c r="B83" s="93" t="s">
        <v>914</v>
      </c>
      <c r="C83" s="93">
        <v>215</v>
      </c>
      <c r="D83" s="93">
        <v>194</v>
      </c>
      <c r="E83" s="93">
        <v>9</v>
      </c>
      <c r="F83" s="93">
        <f>(C83-D83-E83)+6</f>
        <v>18</v>
      </c>
      <c r="G83" s="93">
        <v>7689</v>
      </c>
      <c r="H83" s="93">
        <v>6695</v>
      </c>
      <c r="I83" s="93">
        <v>485</v>
      </c>
      <c r="J83" s="93">
        <f>(G83-H83-I83)+277</f>
        <v>786</v>
      </c>
      <c r="K83" s="93">
        <v>4417</v>
      </c>
      <c r="L83" s="93">
        <v>3859</v>
      </c>
      <c r="M83" s="93">
        <v>284</v>
      </c>
      <c r="N83" s="93">
        <f>(K83-L83-M83)+114</f>
        <v>388</v>
      </c>
      <c r="P83" s="93">
        <f t="shared" si="13"/>
        <v>0.9023255813953488</v>
      </c>
      <c r="Q83" s="93">
        <f t="shared" si="14"/>
        <v>4.1860465116279069E-2</v>
      </c>
      <c r="R83" s="93">
        <f t="shared" si="15"/>
        <v>8.3720930232558138E-2</v>
      </c>
      <c r="S83" s="93">
        <f t="shared" si="16"/>
        <v>0.87072441149694368</v>
      </c>
      <c r="T83" s="93">
        <f t="shared" si="17"/>
        <v>6.3077123162960075E-2</v>
      </c>
      <c r="U83" s="93">
        <f t="shared" si="18"/>
        <v>0.10222395630120952</v>
      </c>
      <c r="V83" s="93">
        <f t="shared" si="19"/>
        <v>0.87366991170477704</v>
      </c>
      <c r="W83" s="93">
        <f t="shared" si="20"/>
        <v>6.4297034186099167E-2</v>
      </c>
      <c r="X83" s="93">
        <f t="shared" si="21"/>
        <v>8.7842426986642519E-2</v>
      </c>
    </row>
    <row r="84" spans="1:24">
      <c r="A84" s="353">
        <v>167</v>
      </c>
      <c r="B84" s="93" t="s">
        <v>679</v>
      </c>
      <c r="C84" s="93">
        <v>18</v>
      </c>
      <c r="D84" s="93">
        <v>17</v>
      </c>
      <c r="E84" s="93">
        <v>1</v>
      </c>
      <c r="F84" s="93">
        <f t="shared" si="22"/>
        <v>0</v>
      </c>
      <c r="G84" s="93">
        <v>152</v>
      </c>
      <c r="H84" s="93">
        <v>136</v>
      </c>
      <c r="I84" s="93">
        <v>8</v>
      </c>
      <c r="J84" s="93">
        <f t="shared" si="23"/>
        <v>8</v>
      </c>
      <c r="K84" s="93">
        <v>125</v>
      </c>
      <c r="L84" s="93">
        <v>110</v>
      </c>
      <c r="M84" s="93">
        <v>3</v>
      </c>
      <c r="N84" s="93">
        <f t="shared" si="24"/>
        <v>12</v>
      </c>
      <c r="P84" s="93">
        <f t="shared" si="13"/>
        <v>0.94444444444444442</v>
      </c>
      <c r="Q84" s="93">
        <f t="shared" si="14"/>
        <v>5.5555555555555552E-2</v>
      </c>
      <c r="R84" s="93">
        <f t="shared" si="15"/>
        <v>0</v>
      </c>
      <c r="S84" s="93">
        <f t="shared" si="16"/>
        <v>0.89473684210526316</v>
      </c>
      <c r="T84" s="93">
        <f t="shared" si="17"/>
        <v>5.2631578947368418E-2</v>
      </c>
      <c r="U84" s="93">
        <f t="shared" si="18"/>
        <v>5.2631578947368418E-2</v>
      </c>
      <c r="V84" s="93">
        <f t="shared" si="19"/>
        <v>0.88</v>
      </c>
      <c r="W84" s="93">
        <f t="shared" si="20"/>
        <v>2.4E-2</v>
      </c>
      <c r="X84" s="93">
        <f t="shared" si="21"/>
        <v>9.6000000000000002E-2</v>
      </c>
    </row>
    <row r="85" spans="1:24">
      <c r="A85" s="353">
        <v>169</v>
      </c>
      <c r="B85" s="93" t="s">
        <v>680</v>
      </c>
      <c r="C85" s="93">
        <v>13</v>
      </c>
      <c r="D85" s="93">
        <v>12</v>
      </c>
      <c r="E85" s="93">
        <v>1</v>
      </c>
      <c r="F85" s="93">
        <f t="shared" si="22"/>
        <v>0</v>
      </c>
      <c r="G85" s="93">
        <v>131</v>
      </c>
      <c r="H85" s="93">
        <v>119</v>
      </c>
      <c r="I85" s="93">
        <v>3</v>
      </c>
      <c r="J85" s="93">
        <f t="shared" si="23"/>
        <v>9</v>
      </c>
      <c r="K85" s="93">
        <v>104</v>
      </c>
      <c r="L85" s="93">
        <v>93</v>
      </c>
      <c r="M85" s="93">
        <v>0</v>
      </c>
      <c r="N85" s="93">
        <f t="shared" si="24"/>
        <v>11</v>
      </c>
      <c r="P85" s="93">
        <f t="shared" si="13"/>
        <v>0.92307692307692313</v>
      </c>
      <c r="Q85" s="93">
        <f t="shared" si="14"/>
        <v>7.6923076923076927E-2</v>
      </c>
      <c r="R85" s="93">
        <f t="shared" si="15"/>
        <v>0</v>
      </c>
      <c r="S85" s="93">
        <f t="shared" si="16"/>
        <v>0.90839694656488545</v>
      </c>
      <c r="T85" s="93">
        <f t="shared" si="17"/>
        <v>2.2900763358778626E-2</v>
      </c>
      <c r="U85" s="93">
        <f t="shared" si="18"/>
        <v>6.8702290076335881E-2</v>
      </c>
      <c r="V85" s="93">
        <f t="shared" si="19"/>
        <v>0.89423076923076927</v>
      </c>
      <c r="W85" s="93">
        <f t="shared" si="20"/>
        <v>0</v>
      </c>
      <c r="X85" s="93">
        <f t="shared" si="21"/>
        <v>0.10576923076923077</v>
      </c>
    </row>
    <row r="86" spans="1:24">
      <c r="A86" s="353">
        <v>171</v>
      </c>
      <c r="B86" s="93" t="s">
        <v>681</v>
      </c>
      <c r="C86" s="93">
        <v>74</v>
      </c>
      <c r="D86" s="93">
        <v>66</v>
      </c>
      <c r="E86" s="93">
        <v>1</v>
      </c>
      <c r="F86" s="93">
        <f t="shared" si="22"/>
        <v>7</v>
      </c>
      <c r="G86" s="93">
        <v>1518</v>
      </c>
      <c r="H86" s="93">
        <v>1378</v>
      </c>
      <c r="I86" s="93">
        <v>69</v>
      </c>
      <c r="J86" s="93">
        <f t="shared" si="23"/>
        <v>71</v>
      </c>
      <c r="K86" s="93">
        <v>1060</v>
      </c>
      <c r="L86" s="93">
        <v>979</v>
      </c>
      <c r="M86" s="93">
        <v>40</v>
      </c>
      <c r="N86" s="93">
        <f t="shared" si="24"/>
        <v>41</v>
      </c>
      <c r="P86" s="93">
        <f t="shared" si="13"/>
        <v>0.89189189189189189</v>
      </c>
      <c r="Q86" s="93">
        <f t="shared" si="14"/>
        <v>1.3513513513513514E-2</v>
      </c>
      <c r="R86" s="93">
        <f t="shared" si="15"/>
        <v>9.45945945945946E-2</v>
      </c>
      <c r="S86" s="93">
        <f t="shared" si="16"/>
        <v>0.90777338603425561</v>
      </c>
      <c r="T86" s="93">
        <f t="shared" si="17"/>
        <v>4.5454545454545456E-2</v>
      </c>
      <c r="U86" s="93">
        <f t="shared" si="18"/>
        <v>4.6772068511198944E-2</v>
      </c>
      <c r="V86" s="93">
        <f t="shared" si="19"/>
        <v>0.92358490566037732</v>
      </c>
      <c r="W86" s="93">
        <f t="shared" si="20"/>
        <v>3.7735849056603772E-2</v>
      </c>
      <c r="X86" s="93">
        <f t="shared" si="21"/>
        <v>3.8679245283018866E-2</v>
      </c>
    </row>
    <row r="87" spans="1:24">
      <c r="A87" s="353">
        <v>173</v>
      </c>
      <c r="B87" s="93" t="s">
        <v>682</v>
      </c>
      <c r="C87" s="93">
        <v>24</v>
      </c>
      <c r="D87" s="93">
        <v>24</v>
      </c>
      <c r="E87" s="93">
        <v>0</v>
      </c>
      <c r="F87" s="93">
        <f t="shared" si="22"/>
        <v>0</v>
      </c>
      <c r="G87" s="93">
        <v>317</v>
      </c>
      <c r="H87" s="93">
        <v>293</v>
      </c>
      <c r="I87" s="93">
        <v>15</v>
      </c>
      <c r="J87" s="93">
        <f t="shared" si="23"/>
        <v>9</v>
      </c>
      <c r="K87" s="93">
        <v>200</v>
      </c>
      <c r="L87" s="93">
        <v>187</v>
      </c>
      <c r="M87" s="93">
        <v>13</v>
      </c>
      <c r="N87" s="93">
        <f t="shared" si="24"/>
        <v>0</v>
      </c>
      <c r="P87" s="93">
        <f t="shared" si="13"/>
        <v>1</v>
      </c>
      <c r="Q87" s="93">
        <f t="shared" si="14"/>
        <v>0</v>
      </c>
      <c r="R87" s="93">
        <f t="shared" si="15"/>
        <v>0</v>
      </c>
      <c r="S87" s="93">
        <f t="shared" si="16"/>
        <v>0.9242902208201893</v>
      </c>
      <c r="T87" s="93">
        <f t="shared" si="17"/>
        <v>4.7318611987381701E-2</v>
      </c>
      <c r="U87" s="93">
        <f t="shared" si="18"/>
        <v>2.8391167192429023E-2</v>
      </c>
      <c r="V87" s="93">
        <f t="shared" si="19"/>
        <v>0.93500000000000005</v>
      </c>
      <c r="W87" s="93">
        <f t="shared" si="20"/>
        <v>6.5000000000000002E-2</v>
      </c>
      <c r="X87" s="93">
        <f t="shared" si="21"/>
        <v>0</v>
      </c>
    </row>
    <row r="88" spans="1:24">
      <c r="A88" s="353">
        <v>175</v>
      </c>
      <c r="B88" s="93" t="s">
        <v>683</v>
      </c>
      <c r="C88" s="93">
        <v>18</v>
      </c>
      <c r="D88" s="93">
        <v>13</v>
      </c>
      <c r="E88" s="93">
        <v>5</v>
      </c>
      <c r="F88" s="93">
        <f t="shared" si="22"/>
        <v>0</v>
      </c>
      <c r="G88" s="93">
        <v>118</v>
      </c>
      <c r="H88" s="93">
        <v>74</v>
      </c>
      <c r="I88" s="93">
        <v>29</v>
      </c>
      <c r="J88" s="93">
        <f t="shared" si="23"/>
        <v>15</v>
      </c>
      <c r="K88" s="93">
        <v>91</v>
      </c>
      <c r="L88" s="93">
        <v>62</v>
      </c>
      <c r="M88" s="93">
        <v>20</v>
      </c>
      <c r="N88" s="93">
        <f t="shared" si="24"/>
        <v>9</v>
      </c>
      <c r="P88" s="93">
        <f t="shared" si="13"/>
        <v>0.72222222222222221</v>
      </c>
      <c r="Q88" s="93">
        <f t="shared" si="14"/>
        <v>0.27777777777777779</v>
      </c>
      <c r="R88" s="93">
        <f t="shared" si="15"/>
        <v>0</v>
      </c>
      <c r="S88" s="93">
        <f t="shared" si="16"/>
        <v>0.6271186440677966</v>
      </c>
      <c r="T88" s="93">
        <f t="shared" si="17"/>
        <v>0.24576271186440679</v>
      </c>
      <c r="U88" s="93">
        <f t="shared" si="18"/>
        <v>0.1271186440677966</v>
      </c>
      <c r="V88" s="93">
        <f t="shared" si="19"/>
        <v>0.68131868131868134</v>
      </c>
      <c r="W88" s="93">
        <f t="shared" si="20"/>
        <v>0.21978021978021978</v>
      </c>
      <c r="X88" s="93">
        <f t="shared" si="21"/>
        <v>9.8901098901098897E-2</v>
      </c>
    </row>
    <row r="89" spans="1:24">
      <c r="A89" s="353">
        <v>177</v>
      </c>
      <c r="B89" s="93" t="s">
        <v>684</v>
      </c>
      <c r="C89" s="93">
        <v>298</v>
      </c>
      <c r="D89" s="93">
        <v>273</v>
      </c>
      <c r="E89" s="93">
        <v>15</v>
      </c>
      <c r="F89" s="93">
        <f t="shared" si="22"/>
        <v>10</v>
      </c>
      <c r="G89" s="93">
        <v>5779</v>
      </c>
      <c r="H89" s="93">
        <v>5040</v>
      </c>
      <c r="I89" s="93">
        <v>493</v>
      </c>
      <c r="J89" s="93">
        <f t="shared" si="23"/>
        <v>246</v>
      </c>
      <c r="K89" s="93">
        <v>3576</v>
      </c>
      <c r="L89" s="93">
        <v>3027</v>
      </c>
      <c r="M89" s="93">
        <v>385</v>
      </c>
      <c r="N89" s="93">
        <f t="shared" si="24"/>
        <v>164</v>
      </c>
      <c r="P89" s="93">
        <f t="shared" si="13"/>
        <v>0.91610738255033553</v>
      </c>
      <c r="Q89" s="93">
        <f t="shared" si="14"/>
        <v>5.0335570469798654E-2</v>
      </c>
      <c r="R89" s="93">
        <f t="shared" si="15"/>
        <v>3.3557046979865772E-2</v>
      </c>
      <c r="S89" s="93">
        <f t="shared" si="16"/>
        <v>0.87212320470669669</v>
      </c>
      <c r="T89" s="93">
        <f t="shared" si="17"/>
        <v>8.5308876968333627E-2</v>
      </c>
      <c r="U89" s="93">
        <f t="shared" si="18"/>
        <v>4.2567918324969721E-2</v>
      </c>
      <c r="V89" s="93">
        <f t="shared" si="19"/>
        <v>0.84647651006711411</v>
      </c>
      <c r="W89" s="93">
        <f t="shared" si="20"/>
        <v>0.10766219239373602</v>
      </c>
      <c r="X89" s="93">
        <f t="shared" si="21"/>
        <v>4.5861297539149887E-2</v>
      </c>
    </row>
    <row r="90" spans="1:24">
      <c r="A90" s="353">
        <v>179</v>
      </c>
      <c r="B90" s="93" t="s">
        <v>685</v>
      </c>
      <c r="C90" s="93">
        <v>305</v>
      </c>
      <c r="D90" s="93">
        <v>264</v>
      </c>
      <c r="E90" s="93">
        <v>26</v>
      </c>
      <c r="F90" s="93">
        <f t="shared" si="22"/>
        <v>15</v>
      </c>
      <c r="G90" s="93">
        <v>7426</v>
      </c>
      <c r="H90" s="93">
        <v>6368</v>
      </c>
      <c r="I90" s="93">
        <v>715</v>
      </c>
      <c r="J90" s="93">
        <f t="shared" si="23"/>
        <v>343</v>
      </c>
      <c r="K90" s="93">
        <v>4761</v>
      </c>
      <c r="L90" s="93">
        <v>3942</v>
      </c>
      <c r="M90" s="93">
        <v>554</v>
      </c>
      <c r="N90" s="93">
        <f t="shared" si="24"/>
        <v>265</v>
      </c>
      <c r="P90" s="93">
        <f t="shared" si="13"/>
        <v>0.86557377049180328</v>
      </c>
      <c r="Q90" s="93">
        <f t="shared" si="14"/>
        <v>8.5245901639344257E-2</v>
      </c>
      <c r="R90" s="93">
        <f t="shared" si="15"/>
        <v>4.9180327868852458E-2</v>
      </c>
      <c r="S90" s="93">
        <f t="shared" si="16"/>
        <v>0.85752760570966868</v>
      </c>
      <c r="T90" s="93">
        <f t="shared" si="17"/>
        <v>9.6283328844600058E-2</v>
      </c>
      <c r="U90" s="93">
        <f t="shared" si="18"/>
        <v>4.6189065445731217E-2</v>
      </c>
      <c r="V90" s="93">
        <f t="shared" si="19"/>
        <v>0.82797731568998112</v>
      </c>
      <c r="W90" s="93">
        <f t="shared" si="20"/>
        <v>0.11636210880067213</v>
      </c>
      <c r="X90" s="93">
        <f t="shared" si="21"/>
        <v>5.5660575509346777E-2</v>
      </c>
    </row>
    <row r="91" spans="1:24">
      <c r="A91" s="353">
        <v>181</v>
      </c>
      <c r="B91" s="93" t="s">
        <v>686</v>
      </c>
      <c r="C91" s="93">
        <v>4</v>
      </c>
      <c r="D91" s="93">
        <v>3</v>
      </c>
      <c r="E91" s="93">
        <v>1</v>
      </c>
      <c r="F91" s="93">
        <f t="shared" si="22"/>
        <v>0</v>
      </c>
      <c r="G91" s="93">
        <v>71</v>
      </c>
      <c r="H91" s="93">
        <v>49</v>
      </c>
      <c r="I91" s="93">
        <v>16</v>
      </c>
      <c r="J91" s="93">
        <f t="shared" si="23"/>
        <v>6</v>
      </c>
      <c r="K91" s="93">
        <v>24</v>
      </c>
      <c r="L91" s="93">
        <v>13</v>
      </c>
      <c r="M91" s="93">
        <v>11</v>
      </c>
      <c r="N91" s="93">
        <f t="shared" si="24"/>
        <v>0</v>
      </c>
      <c r="P91" s="93">
        <f t="shared" si="13"/>
        <v>0.75</v>
      </c>
      <c r="Q91" s="93">
        <f t="shared" si="14"/>
        <v>0.25</v>
      </c>
      <c r="R91" s="93">
        <f t="shared" si="15"/>
        <v>0</v>
      </c>
      <c r="S91" s="93">
        <f t="shared" si="16"/>
        <v>0.6901408450704225</v>
      </c>
      <c r="T91" s="93">
        <f t="shared" si="17"/>
        <v>0.22535211267605634</v>
      </c>
      <c r="U91" s="93">
        <f t="shared" si="18"/>
        <v>8.4507042253521125E-2</v>
      </c>
      <c r="V91" s="93">
        <f t="shared" si="19"/>
        <v>0.54166666666666663</v>
      </c>
      <c r="W91" s="93">
        <f t="shared" si="20"/>
        <v>0.45833333333333331</v>
      </c>
      <c r="X91" s="93">
        <f t="shared" si="21"/>
        <v>0</v>
      </c>
    </row>
    <row r="92" spans="1:24">
      <c r="A92" s="353">
        <v>183</v>
      </c>
      <c r="B92" s="93" t="s">
        <v>687</v>
      </c>
      <c r="C92" s="93">
        <v>3</v>
      </c>
      <c r="D92" s="93">
        <v>1</v>
      </c>
      <c r="E92" s="93">
        <v>2</v>
      </c>
      <c r="F92" s="93">
        <f t="shared" si="22"/>
        <v>0</v>
      </c>
      <c r="G92" s="93">
        <v>195</v>
      </c>
      <c r="H92" s="93">
        <v>148</v>
      </c>
      <c r="I92" s="93">
        <v>33</v>
      </c>
      <c r="J92" s="93">
        <f t="shared" si="23"/>
        <v>14</v>
      </c>
      <c r="K92" s="93">
        <v>88</v>
      </c>
      <c r="L92" s="93">
        <v>63</v>
      </c>
      <c r="M92" s="93">
        <v>19</v>
      </c>
      <c r="N92" s="93">
        <f t="shared" si="24"/>
        <v>6</v>
      </c>
      <c r="P92" s="93">
        <f t="shared" si="13"/>
        <v>0.33333333333333331</v>
      </c>
      <c r="Q92" s="93">
        <f t="shared" si="14"/>
        <v>0.66666666666666663</v>
      </c>
      <c r="R92" s="93">
        <f t="shared" si="15"/>
        <v>0</v>
      </c>
      <c r="S92" s="93">
        <f t="shared" si="16"/>
        <v>0.75897435897435894</v>
      </c>
      <c r="T92" s="93">
        <f t="shared" si="17"/>
        <v>0.16923076923076924</v>
      </c>
      <c r="U92" s="93">
        <f t="shared" si="18"/>
        <v>7.179487179487179E-2</v>
      </c>
      <c r="V92" s="93">
        <f t="shared" si="19"/>
        <v>0.71590909090909094</v>
      </c>
      <c r="W92" s="93">
        <f t="shared" si="20"/>
        <v>0.21590909090909091</v>
      </c>
      <c r="X92" s="93">
        <f t="shared" si="21"/>
        <v>6.8181818181818177E-2</v>
      </c>
    </row>
    <row r="93" spans="1:24">
      <c r="A93" s="353">
        <v>185</v>
      </c>
      <c r="B93" s="93" t="s">
        <v>688</v>
      </c>
      <c r="C93" s="93">
        <v>26</v>
      </c>
      <c r="D93" s="93">
        <v>26</v>
      </c>
      <c r="E93" s="93">
        <v>0</v>
      </c>
      <c r="F93" s="93">
        <f t="shared" si="22"/>
        <v>0</v>
      </c>
      <c r="G93" s="93">
        <v>215</v>
      </c>
      <c r="H93" s="93">
        <v>196</v>
      </c>
      <c r="I93" s="93">
        <v>7</v>
      </c>
      <c r="J93" s="93">
        <f t="shared" si="23"/>
        <v>12</v>
      </c>
      <c r="K93" s="93">
        <v>84</v>
      </c>
      <c r="L93" s="93">
        <v>77</v>
      </c>
      <c r="M93" s="93">
        <v>7</v>
      </c>
      <c r="N93" s="93">
        <f t="shared" si="24"/>
        <v>0</v>
      </c>
      <c r="P93" s="93">
        <f t="shared" si="13"/>
        <v>1</v>
      </c>
      <c r="Q93" s="93">
        <f t="shared" si="14"/>
        <v>0</v>
      </c>
      <c r="R93" s="93">
        <f t="shared" si="15"/>
        <v>0</v>
      </c>
      <c r="S93" s="93">
        <f t="shared" si="16"/>
        <v>0.91162790697674423</v>
      </c>
      <c r="T93" s="93">
        <f t="shared" si="17"/>
        <v>3.255813953488372E-2</v>
      </c>
      <c r="U93" s="93">
        <f t="shared" si="18"/>
        <v>5.5813953488372092E-2</v>
      </c>
      <c r="V93" s="93">
        <f t="shared" si="19"/>
        <v>0.91666666666666663</v>
      </c>
      <c r="W93" s="93">
        <f t="shared" si="20"/>
        <v>8.3333333333333329E-2</v>
      </c>
      <c r="X93" s="93">
        <f t="shared" si="21"/>
        <v>0</v>
      </c>
    </row>
    <row r="94" spans="1:24">
      <c r="A94" s="353">
        <v>187</v>
      </c>
      <c r="B94" s="93" t="s">
        <v>689</v>
      </c>
      <c r="C94" s="93">
        <v>60</v>
      </c>
      <c r="D94" s="93">
        <v>57</v>
      </c>
      <c r="E94" s="93">
        <v>0</v>
      </c>
      <c r="F94" s="93">
        <f t="shared" si="22"/>
        <v>3</v>
      </c>
      <c r="G94" s="93">
        <v>798</v>
      </c>
      <c r="H94" s="93">
        <v>733</v>
      </c>
      <c r="I94" s="93">
        <v>27</v>
      </c>
      <c r="J94" s="93">
        <f t="shared" si="23"/>
        <v>38</v>
      </c>
      <c r="K94" s="93">
        <v>549</v>
      </c>
      <c r="L94" s="93">
        <v>473</v>
      </c>
      <c r="M94" s="93">
        <v>24</v>
      </c>
      <c r="N94" s="93">
        <f t="shared" si="24"/>
        <v>52</v>
      </c>
      <c r="P94" s="93">
        <f t="shared" si="13"/>
        <v>0.95</v>
      </c>
      <c r="Q94" s="93">
        <f t="shared" si="14"/>
        <v>0</v>
      </c>
      <c r="R94" s="93">
        <f t="shared" si="15"/>
        <v>0.05</v>
      </c>
      <c r="S94" s="93">
        <f t="shared" si="16"/>
        <v>0.918546365914787</v>
      </c>
      <c r="T94" s="93">
        <f t="shared" si="17"/>
        <v>3.3834586466165412E-2</v>
      </c>
      <c r="U94" s="93">
        <f t="shared" si="18"/>
        <v>4.7619047619047616E-2</v>
      </c>
      <c r="V94" s="93">
        <f t="shared" si="19"/>
        <v>0.86156648451730422</v>
      </c>
      <c r="W94" s="93">
        <f t="shared" si="20"/>
        <v>4.3715846994535519E-2</v>
      </c>
      <c r="X94" s="93">
        <f t="shared" si="21"/>
        <v>9.4717668488160295E-2</v>
      </c>
    </row>
    <row r="95" spans="1:24">
      <c r="A95" s="353">
        <v>191</v>
      </c>
      <c r="B95" s="93" t="s">
        <v>690</v>
      </c>
      <c r="C95" s="93">
        <v>51</v>
      </c>
      <c r="D95" s="93">
        <v>49</v>
      </c>
      <c r="E95" s="93">
        <v>0</v>
      </c>
      <c r="F95" s="93">
        <f t="shared" si="22"/>
        <v>2</v>
      </c>
      <c r="G95" s="93">
        <v>483</v>
      </c>
      <c r="H95" s="93">
        <v>460</v>
      </c>
      <c r="I95" s="93">
        <v>9</v>
      </c>
      <c r="J95" s="93">
        <f t="shared" si="23"/>
        <v>14</v>
      </c>
      <c r="K95" s="93">
        <v>246</v>
      </c>
      <c r="L95" s="93">
        <v>225</v>
      </c>
      <c r="M95" s="93">
        <v>9</v>
      </c>
      <c r="N95" s="93">
        <f t="shared" si="24"/>
        <v>12</v>
      </c>
      <c r="P95" s="93">
        <f t="shared" si="13"/>
        <v>0.96078431372549022</v>
      </c>
      <c r="Q95" s="93">
        <f t="shared" si="14"/>
        <v>0</v>
      </c>
      <c r="R95" s="93">
        <f t="shared" si="15"/>
        <v>3.9215686274509803E-2</v>
      </c>
      <c r="S95" s="93">
        <f t="shared" si="16"/>
        <v>0.95238095238095233</v>
      </c>
      <c r="T95" s="93">
        <f t="shared" si="17"/>
        <v>1.8633540372670808E-2</v>
      </c>
      <c r="U95" s="93">
        <f t="shared" si="18"/>
        <v>2.8985507246376812E-2</v>
      </c>
      <c r="V95" s="93">
        <f t="shared" si="19"/>
        <v>0.91463414634146345</v>
      </c>
      <c r="W95" s="93">
        <f t="shared" si="20"/>
        <v>3.6585365853658534E-2</v>
      </c>
      <c r="X95" s="93">
        <f t="shared" si="21"/>
        <v>4.878048780487805E-2</v>
      </c>
    </row>
    <row r="96" spans="1:24">
      <c r="A96" s="353">
        <v>193</v>
      </c>
      <c r="B96" s="93" t="s">
        <v>691</v>
      </c>
      <c r="C96" s="93">
        <v>33</v>
      </c>
      <c r="D96" s="93">
        <v>23</v>
      </c>
      <c r="E96" s="93">
        <v>7</v>
      </c>
      <c r="F96" s="93">
        <f t="shared" si="22"/>
        <v>3</v>
      </c>
      <c r="G96" s="93">
        <v>663</v>
      </c>
      <c r="H96" s="93">
        <v>570</v>
      </c>
      <c r="I96" s="93">
        <v>53</v>
      </c>
      <c r="J96" s="93">
        <f t="shared" si="23"/>
        <v>40</v>
      </c>
      <c r="K96" s="93">
        <v>379</v>
      </c>
      <c r="L96" s="93">
        <v>315</v>
      </c>
      <c r="M96" s="93">
        <v>38</v>
      </c>
      <c r="N96" s="93">
        <f t="shared" si="24"/>
        <v>26</v>
      </c>
      <c r="P96" s="93">
        <f t="shared" si="13"/>
        <v>0.69696969696969702</v>
      </c>
      <c r="Q96" s="93">
        <f t="shared" si="14"/>
        <v>0.21212121212121213</v>
      </c>
      <c r="R96" s="93">
        <f t="shared" si="15"/>
        <v>9.0909090909090912E-2</v>
      </c>
      <c r="S96" s="93">
        <f t="shared" si="16"/>
        <v>0.85972850678733037</v>
      </c>
      <c r="T96" s="93">
        <f t="shared" si="17"/>
        <v>7.9939668174962286E-2</v>
      </c>
      <c r="U96" s="93">
        <f t="shared" si="18"/>
        <v>6.0331825037707391E-2</v>
      </c>
      <c r="V96" s="93">
        <f t="shared" si="19"/>
        <v>0.83113456464379942</v>
      </c>
      <c r="W96" s="93">
        <f t="shared" si="20"/>
        <v>0.10026385224274406</v>
      </c>
      <c r="X96" s="93">
        <f t="shared" si="21"/>
        <v>6.860158311345646E-2</v>
      </c>
    </row>
    <row r="97" spans="1:24">
      <c r="A97" s="353">
        <v>195</v>
      </c>
      <c r="B97" s="93" t="s">
        <v>692</v>
      </c>
      <c r="C97" s="93">
        <v>22</v>
      </c>
      <c r="D97" s="93">
        <v>22</v>
      </c>
      <c r="E97" s="93">
        <v>0</v>
      </c>
      <c r="F97" s="93">
        <f t="shared" si="22"/>
        <v>0</v>
      </c>
      <c r="G97" s="93">
        <v>339</v>
      </c>
      <c r="H97" s="93">
        <v>303</v>
      </c>
      <c r="I97" s="93">
        <v>32</v>
      </c>
      <c r="J97" s="93">
        <f t="shared" si="23"/>
        <v>4</v>
      </c>
      <c r="K97" s="93">
        <v>161</v>
      </c>
      <c r="L97" s="93">
        <v>149</v>
      </c>
      <c r="M97" s="93">
        <v>9</v>
      </c>
      <c r="N97" s="93">
        <f t="shared" si="24"/>
        <v>3</v>
      </c>
      <c r="P97" s="93">
        <f t="shared" si="13"/>
        <v>1</v>
      </c>
      <c r="Q97" s="93">
        <f t="shared" si="14"/>
        <v>0</v>
      </c>
      <c r="R97" s="93">
        <f t="shared" si="15"/>
        <v>0</v>
      </c>
      <c r="S97" s="93">
        <f t="shared" si="16"/>
        <v>0.89380530973451322</v>
      </c>
      <c r="T97" s="93">
        <f t="shared" si="17"/>
        <v>9.4395280235988199E-2</v>
      </c>
      <c r="U97" s="93">
        <f t="shared" si="18"/>
        <v>1.1799410029498525E-2</v>
      </c>
      <c r="V97" s="93">
        <f t="shared" si="19"/>
        <v>0.92546583850931674</v>
      </c>
      <c r="W97" s="93">
        <f t="shared" si="20"/>
        <v>5.5900621118012424E-2</v>
      </c>
      <c r="X97" s="93">
        <f t="shared" si="21"/>
        <v>1.8633540372670808E-2</v>
      </c>
    </row>
    <row r="98" spans="1:24">
      <c r="A98" s="353">
        <v>197</v>
      </c>
      <c r="B98" s="93" t="s">
        <v>693</v>
      </c>
      <c r="C98" s="93">
        <v>20</v>
      </c>
      <c r="D98" s="93">
        <v>20</v>
      </c>
      <c r="E98" s="93">
        <v>0</v>
      </c>
      <c r="F98" s="93">
        <f t="shared" si="22"/>
        <v>0</v>
      </c>
      <c r="G98" s="93">
        <v>168</v>
      </c>
      <c r="H98" s="93">
        <v>152</v>
      </c>
      <c r="I98" s="93">
        <v>9</v>
      </c>
      <c r="J98" s="93">
        <f t="shared" si="23"/>
        <v>7</v>
      </c>
      <c r="K98" s="93">
        <v>110</v>
      </c>
      <c r="L98" s="93">
        <v>99</v>
      </c>
      <c r="M98" s="93">
        <v>9</v>
      </c>
      <c r="N98" s="93">
        <f t="shared" si="24"/>
        <v>2</v>
      </c>
      <c r="P98" s="93">
        <f t="shared" si="13"/>
        <v>1</v>
      </c>
      <c r="Q98" s="93">
        <f t="shared" si="14"/>
        <v>0</v>
      </c>
      <c r="R98" s="93">
        <f t="shared" si="15"/>
        <v>0</v>
      </c>
      <c r="S98" s="93">
        <f t="shared" si="16"/>
        <v>0.90476190476190477</v>
      </c>
      <c r="T98" s="93">
        <f t="shared" si="17"/>
        <v>5.3571428571428568E-2</v>
      </c>
      <c r="U98" s="93">
        <f t="shared" si="18"/>
        <v>4.1666666666666664E-2</v>
      </c>
      <c r="V98" s="93">
        <f t="shared" si="19"/>
        <v>0.9</v>
      </c>
      <c r="W98" s="93">
        <f t="shared" si="20"/>
        <v>8.1818181818181818E-2</v>
      </c>
      <c r="X98" s="93">
        <f t="shared" si="21"/>
        <v>1.8181818181818181E-2</v>
      </c>
    </row>
    <row r="99" spans="1:24">
      <c r="A99" s="353">
        <v>199</v>
      </c>
      <c r="B99" s="93" t="s">
        <v>912</v>
      </c>
      <c r="C99" s="93">
        <v>101</v>
      </c>
      <c r="D99" s="93">
        <v>90</v>
      </c>
      <c r="E99" s="93">
        <v>9</v>
      </c>
      <c r="F99" s="93">
        <f>(C99-D99-E99)+0</f>
        <v>2</v>
      </c>
      <c r="G99" s="93">
        <v>2018</v>
      </c>
      <c r="H99" s="93">
        <v>1720</v>
      </c>
      <c r="I99" s="93">
        <v>163</v>
      </c>
      <c r="J99" s="93">
        <f>(G99-H99-I99)+8</f>
        <v>143</v>
      </c>
      <c r="K99" s="93">
        <v>1307</v>
      </c>
      <c r="L99" s="93">
        <v>1057</v>
      </c>
      <c r="M99" s="93">
        <v>149</v>
      </c>
      <c r="N99" s="93">
        <f>(K99-L99-M99)+4</f>
        <v>105</v>
      </c>
      <c r="P99" s="93">
        <f t="shared" si="13"/>
        <v>0.8910891089108911</v>
      </c>
      <c r="Q99" s="93">
        <f t="shared" si="14"/>
        <v>8.9108910891089105E-2</v>
      </c>
      <c r="R99" s="93">
        <f t="shared" si="15"/>
        <v>1.9801980198019802E-2</v>
      </c>
      <c r="S99" s="93">
        <f t="shared" si="16"/>
        <v>0.85232903865213083</v>
      </c>
      <c r="T99" s="93">
        <f t="shared" si="17"/>
        <v>8.0773042616451934E-2</v>
      </c>
      <c r="U99" s="93">
        <f t="shared" si="18"/>
        <v>7.0862239841427158E-2</v>
      </c>
      <c r="V99" s="93">
        <f t="shared" si="19"/>
        <v>0.8087222647283856</v>
      </c>
      <c r="W99" s="93">
        <f t="shared" si="20"/>
        <v>0.11400153022188217</v>
      </c>
      <c r="X99" s="93">
        <f t="shared" si="21"/>
        <v>8.0336648814078038E-2</v>
      </c>
    </row>
    <row r="100" spans="1:24">
      <c r="A100" s="353">
        <v>510</v>
      </c>
      <c r="B100" s="93" t="s">
        <v>887</v>
      </c>
      <c r="C100" s="93">
        <v>821</v>
      </c>
      <c r="D100" s="93">
        <v>748</v>
      </c>
      <c r="E100" s="93">
        <v>45</v>
      </c>
      <c r="F100" s="93">
        <f t="shared" si="22"/>
        <v>28</v>
      </c>
      <c r="G100" s="93">
        <v>16799</v>
      </c>
      <c r="H100" s="93">
        <v>14652</v>
      </c>
      <c r="I100" s="93">
        <v>1166</v>
      </c>
      <c r="J100" s="93">
        <f t="shared" si="23"/>
        <v>981</v>
      </c>
      <c r="K100" s="93">
        <v>6089</v>
      </c>
      <c r="L100" s="93">
        <v>5260</v>
      </c>
      <c r="M100" s="93">
        <v>488</v>
      </c>
      <c r="N100" s="93">
        <f t="shared" si="24"/>
        <v>341</v>
      </c>
      <c r="P100" s="93">
        <f t="shared" si="13"/>
        <v>0.91108404384896469</v>
      </c>
      <c r="Q100" s="93">
        <f t="shared" si="14"/>
        <v>5.4811205846528627E-2</v>
      </c>
      <c r="R100" s="93">
        <f t="shared" si="15"/>
        <v>3.4104750304506701E-2</v>
      </c>
      <c r="S100" s="93">
        <f t="shared" si="16"/>
        <v>0.87219477349842256</v>
      </c>
      <c r="T100" s="93">
        <f t="shared" si="17"/>
        <v>6.94088933865111E-2</v>
      </c>
      <c r="U100" s="93">
        <f t="shared" si="18"/>
        <v>5.8396333115066375E-2</v>
      </c>
      <c r="V100" s="93">
        <f t="shared" si="19"/>
        <v>0.8638528494005584</v>
      </c>
      <c r="W100" s="93">
        <f t="shared" si="20"/>
        <v>8.0144522910165869E-2</v>
      </c>
      <c r="X100" s="93">
        <f t="shared" si="21"/>
        <v>5.600262768927574E-2</v>
      </c>
    </row>
    <row r="101" spans="1:24">
      <c r="A101" s="353">
        <v>520</v>
      </c>
      <c r="B101" s="93" t="s">
        <v>883</v>
      </c>
      <c r="C101" s="93">
        <v>11</v>
      </c>
      <c r="D101" s="93">
        <v>7</v>
      </c>
      <c r="E101" s="93">
        <v>1</v>
      </c>
      <c r="F101" s="93">
        <f t="shared" si="22"/>
        <v>3</v>
      </c>
      <c r="G101" s="93">
        <v>145</v>
      </c>
      <c r="H101" s="93">
        <v>122</v>
      </c>
      <c r="I101" s="93">
        <v>11</v>
      </c>
      <c r="J101" s="93">
        <f t="shared" si="23"/>
        <v>12</v>
      </c>
      <c r="K101" s="93">
        <v>102</v>
      </c>
      <c r="L101" s="93">
        <v>88</v>
      </c>
      <c r="M101" s="93">
        <v>10</v>
      </c>
      <c r="N101" s="93">
        <f t="shared" si="24"/>
        <v>4</v>
      </c>
      <c r="P101" s="93">
        <f t="shared" si="13"/>
        <v>0.63636363636363635</v>
      </c>
      <c r="Q101" s="93">
        <f t="shared" si="14"/>
        <v>9.0909090909090912E-2</v>
      </c>
      <c r="R101" s="93">
        <f t="shared" si="15"/>
        <v>0.27272727272727271</v>
      </c>
      <c r="S101" s="93">
        <f t="shared" si="16"/>
        <v>0.8413793103448276</v>
      </c>
      <c r="T101" s="93">
        <f t="shared" si="17"/>
        <v>7.586206896551724E-2</v>
      </c>
      <c r="U101" s="93">
        <f t="shared" si="18"/>
        <v>8.2758620689655171E-2</v>
      </c>
      <c r="V101" s="93">
        <f t="shared" si="19"/>
        <v>0.86274509803921573</v>
      </c>
      <c r="W101" s="93">
        <f t="shared" si="20"/>
        <v>9.8039215686274508E-2</v>
      </c>
      <c r="X101" s="93">
        <f t="shared" si="21"/>
        <v>3.9215686274509803E-2</v>
      </c>
    </row>
    <row r="102" spans="1:24">
      <c r="A102" s="353">
        <v>540</v>
      </c>
      <c r="B102" s="93" t="s">
        <v>889</v>
      </c>
      <c r="C102" s="93">
        <v>61</v>
      </c>
      <c r="D102" s="93">
        <v>54</v>
      </c>
      <c r="E102" s="93">
        <v>3</v>
      </c>
      <c r="F102" s="93">
        <f t="shared" si="22"/>
        <v>4</v>
      </c>
      <c r="G102" s="93">
        <v>1629</v>
      </c>
      <c r="H102" s="93">
        <v>1384</v>
      </c>
      <c r="I102" s="93">
        <v>143</v>
      </c>
      <c r="J102" s="93">
        <f t="shared" si="23"/>
        <v>102</v>
      </c>
      <c r="K102" s="93">
        <v>538</v>
      </c>
      <c r="L102" s="93">
        <v>443</v>
      </c>
      <c r="M102" s="93">
        <v>69</v>
      </c>
      <c r="N102" s="93">
        <f t="shared" si="24"/>
        <v>26</v>
      </c>
      <c r="P102" s="93">
        <f t="shared" si="13"/>
        <v>0.88524590163934425</v>
      </c>
      <c r="Q102" s="93">
        <f t="shared" si="14"/>
        <v>4.9180327868852458E-2</v>
      </c>
      <c r="R102" s="93">
        <f t="shared" si="15"/>
        <v>6.5573770491803282E-2</v>
      </c>
      <c r="S102" s="93">
        <f t="shared" si="16"/>
        <v>0.84960098219766733</v>
      </c>
      <c r="T102" s="93">
        <f t="shared" si="17"/>
        <v>8.7783916513198279E-2</v>
      </c>
      <c r="U102" s="93">
        <f t="shared" si="18"/>
        <v>6.2615101289134445E-2</v>
      </c>
      <c r="V102" s="93">
        <f t="shared" si="19"/>
        <v>0.82342007434944242</v>
      </c>
      <c r="W102" s="93">
        <f t="shared" si="20"/>
        <v>0.12825278810408922</v>
      </c>
      <c r="X102" s="93">
        <f t="shared" si="21"/>
        <v>4.8327137546468404E-2</v>
      </c>
    </row>
    <row r="103" spans="1:24">
      <c r="A103" s="353">
        <v>550</v>
      </c>
      <c r="B103" s="93" t="s">
        <v>895</v>
      </c>
      <c r="C103" s="93">
        <v>358</v>
      </c>
      <c r="D103" s="93">
        <v>280</v>
      </c>
      <c r="E103" s="93">
        <v>60</v>
      </c>
      <c r="F103" s="93">
        <f t="shared" si="22"/>
        <v>18</v>
      </c>
      <c r="G103" s="93">
        <v>6149</v>
      </c>
      <c r="H103" s="93">
        <v>4728</v>
      </c>
      <c r="I103" s="93">
        <v>985</v>
      </c>
      <c r="J103" s="93">
        <f t="shared" si="23"/>
        <v>436</v>
      </c>
      <c r="K103" s="93">
        <v>3821</v>
      </c>
      <c r="L103" s="93">
        <v>2776</v>
      </c>
      <c r="M103" s="93">
        <v>784</v>
      </c>
      <c r="N103" s="93">
        <f t="shared" si="24"/>
        <v>261</v>
      </c>
      <c r="P103" s="93">
        <f t="shared" si="13"/>
        <v>0.78212290502793291</v>
      </c>
      <c r="Q103" s="93">
        <f t="shared" si="14"/>
        <v>0.16759776536312848</v>
      </c>
      <c r="R103" s="93">
        <f t="shared" si="15"/>
        <v>5.027932960893855E-2</v>
      </c>
      <c r="S103" s="93">
        <f t="shared" si="16"/>
        <v>0.76890551309155963</v>
      </c>
      <c r="T103" s="93">
        <f t="shared" si="17"/>
        <v>0.16018864856074158</v>
      </c>
      <c r="U103" s="93">
        <f t="shared" si="18"/>
        <v>7.0905838347698813E-2</v>
      </c>
      <c r="V103" s="93">
        <f t="shared" si="19"/>
        <v>0.72651138445433128</v>
      </c>
      <c r="W103" s="93">
        <f t="shared" si="20"/>
        <v>0.20518188955770741</v>
      </c>
      <c r="X103" s="93">
        <f t="shared" si="21"/>
        <v>6.8306725987961267E-2</v>
      </c>
    </row>
    <row r="104" spans="1:24">
      <c r="A104" s="353">
        <v>590</v>
      </c>
      <c r="B104" s="93" t="s">
        <v>891</v>
      </c>
      <c r="C104" s="93">
        <v>42</v>
      </c>
      <c r="D104" s="93">
        <v>30</v>
      </c>
      <c r="E104" s="93">
        <v>11</v>
      </c>
      <c r="F104" s="93">
        <f t="shared" si="22"/>
        <v>1</v>
      </c>
      <c r="G104" s="93">
        <v>741</v>
      </c>
      <c r="H104" s="93">
        <v>604</v>
      </c>
      <c r="I104" s="93">
        <v>81</v>
      </c>
      <c r="J104" s="93">
        <f t="shared" si="23"/>
        <v>56</v>
      </c>
      <c r="K104" s="93">
        <v>508</v>
      </c>
      <c r="L104" s="93">
        <v>422</v>
      </c>
      <c r="M104" s="93">
        <v>60</v>
      </c>
      <c r="N104" s="93">
        <f t="shared" si="24"/>
        <v>26</v>
      </c>
      <c r="P104" s="93">
        <f t="shared" si="13"/>
        <v>0.7142857142857143</v>
      </c>
      <c r="Q104" s="93">
        <f t="shared" si="14"/>
        <v>0.26190476190476192</v>
      </c>
      <c r="R104" s="93">
        <f t="shared" si="15"/>
        <v>2.3809523809523808E-2</v>
      </c>
      <c r="S104" s="93">
        <f t="shared" si="16"/>
        <v>0.81511470985155199</v>
      </c>
      <c r="T104" s="93">
        <f t="shared" si="17"/>
        <v>0.10931174089068826</v>
      </c>
      <c r="U104" s="93">
        <f t="shared" si="18"/>
        <v>7.5573549257759789E-2</v>
      </c>
      <c r="V104" s="93">
        <f t="shared" si="19"/>
        <v>0.8307086614173228</v>
      </c>
      <c r="W104" s="93">
        <f t="shared" si="20"/>
        <v>0.11811023622047244</v>
      </c>
      <c r="X104" s="93">
        <f t="shared" si="21"/>
        <v>5.1181102362204724E-2</v>
      </c>
    </row>
    <row r="105" spans="1:24">
      <c r="A105" s="353">
        <v>620</v>
      </c>
      <c r="B105" s="93" t="s">
        <v>84</v>
      </c>
      <c r="C105" s="93">
        <v>8</v>
      </c>
      <c r="D105" s="93">
        <v>8</v>
      </c>
      <c r="E105" s="93">
        <v>0</v>
      </c>
      <c r="F105" s="93">
        <f t="shared" si="22"/>
        <v>0</v>
      </c>
      <c r="G105" s="93">
        <v>90</v>
      </c>
      <c r="H105" s="93">
        <v>67</v>
      </c>
      <c r="I105" s="93">
        <v>20</v>
      </c>
      <c r="J105" s="93">
        <f t="shared" si="23"/>
        <v>3</v>
      </c>
      <c r="K105" s="93">
        <v>63</v>
      </c>
      <c r="L105" s="93">
        <v>48</v>
      </c>
      <c r="M105" s="93">
        <v>15</v>
      </c>
      <c r="N105" s="93">
        <f t="shared" si="24"/>
        <v>0</v>
      </c>
      <c r="P105" s="93">
        <f t="shared" si="13"/>
        <v>1</v>
      </c>
      <c r="Q105" s="93">
        <f t="shared" si="14"/>
        <v>0</v>
      </c>
      <c r="R105" s="93">
        <f t="shared" si="15"/>
        <v>0</v>
      </c>
      <c r="S105" s="93">
        <f t="shared" si="16"/>
        <v>0.74444444444444446</v>
      </c>
      <c r="T105" s="93">
        <f t="shared" si="17"/>
        <v>0.22222222222222221</v>
      </c>
      <c r="U105" s="93">
        <f t="shared" si="18"/>
        <v>3.3333333333333333E-2</v>
      </c>
      <c r="V105" s="93">
        <f t="shared" si="19"/>
        <v>0.76190476190476186</v>
      </c>
      <c r="W105" s="93">
        <f t="shared" si="20"/>
        <v>0.23809523809523808</v>
      </c>
      <c r="X105" s="93">
        <f t="shared" si="21"/>
        <v>0</v>
      </c>
    </row>
    <row r="106" spans="1:24">
      <c r="A106" s="353">
        <v>630</v>
      </c>
      <c r="B106" s="93" t="s">
        <v>892</v>
      </c>
      <c r="C106" s="93">
        <v>63</v>
      </c>
      <c r="D106" s="93">
        <v>57</v>
      </c>
      <c r="E106" s="93">
        <v>2</v>
      </c>
      <c r="F106" s="93">
        <f t="shared" si="22"/>
        <v>4</v>
      </c>
      <c r="G106" s="93">
        <v>1774</v>
      </c>
      <c r="H106" s="93">
        <v>1444</v>
      </c>
      <c r="I106" s="93">
        <v>196</v>
      </c>
      <c r="J106" s="93">
        <f t="shared" si="23"/>
        <v>134</v>
      </c>
      <c r="K106" s="93">
        <v>987</v>
      </c>
      <c r="L106" s="93">
        <v>762</v>
      </c>
      <c r="M106" s="93">
        <v>149</v>
      </c>
      <c r="N106" s="93">
        <f t="shared" si="24"/>
        <v>76</v>
      </c>
      <c r="P106" s="93">
        <f t="shared" si="13"/>
        <v>0.90476190476190477</v>
      </c>
      <c r="Q106" s="93">
        <f t="shared" si="14"/>
        <v>3.1746031746031744E-2</v>
      </c>
      <c r="R106" s="93">
        <f t="shared" si="15"/>
        <v>6.3492063492063489E-2</v>
      </c>
      <c r="S106" s="93">
        <f t="shared" si="16"/>
        <v>0.81397970687711385</v>
      </c>
      <c r="T106" s="93">
        <f t="shared" si="17"/>
        <v>0.1104847801578354</v>
      </c>
      <c r="U106" s="93">
        <f t="shared" si="18"/>
        <v>7.5535512965050733E-2</v>
      </c>
      <c r="V106" s="93">
        <f t="shared" si="19"/>
        <v>0.77203647416413379</v>
      </c>
      <c r="W106" s="93">
        <f t="shared" si="20"/>
        <v>0.15096251266464034</v>
      </c>
      <c r="X106" s="93">
        <f t="shared" si="21"/>
        <v>7.7001013171225943E-2</v>
      </c>
    </row>
    <row r="107" spans="1:24">
      <c r="A107" s="353">
        <v>640</v>
      </c>
      <c r="B107" s="93" t="s">
        <v>884</v>
      </c>
      <c r="C107" s="93">
        <v>16</v>
      </c>
      <c r="D107" s="93">
        <v>13</v>
      </c>
      <c r="E107" s="93">
        <v>3</v>
      </c>
      <c r="F107" s="93">
        <f t="shared" si="22"/>
        <v>0</v>
      </c>
      <c r="G107" s="93">
        <v>481</v>
      </c>
      <c r="H107" s="93">
        <v>446</v>
      </c>
      <c r="I107" s="93">
        <v>13</v>
      </c>
      <c r="J107" s="93">
        <f t="shared" si="23"/>
        <v>22</v>
      </c>
      <c r="K107" s="93">
        <v>445</v>
      </c>
      <c r="L107" s="93">
        <v>399</v>
      </c>
      <c r="M107" s="93">
        <v>37</v>
      </c>
      <c r="N107" s="93">
        <f t="shared" si="24"/>
        <v>9</v>
      </c>
      <c r="P107" s="93">
        <f t="shared" si="13"/>
        <v>0.8125</v>
      </c>
      <c r="Q107" s="93">
        <f t="shared" si="14"/>
        <v>0.1875</v>
      </c>
      <c r="R107" s="93">
        <f t="shared" si="15"/>
        <v>0</v>
      </c>
      <c r="S107" s="93">
        <f t="shared" si="16"/>
        <v>0.92723492723492729</v>
      </c>
      <c r="T107" s="93">
        <f t="shared" si="17"/>
        <v>2.7027027027027029E-2</v>
      </c>
      <c r="U107" s="93">
        <f t="shared" si="18"/>
        <v>4.5738045738045741E-2</v>
      </c>
      <c r="V107" s="93">
        <f t="shared" si="19"/>
        <v>0.89662921348314606</v>
      </c>
      <c r="W107" s="93">
        <f t="shared" si="20"/>
        <v>8.3146067415730343E-2</v>
      </c>
      <c r="X107" s="93">
        <f t="shared" si="21"/>
        <v>2.0224719101123594E-2</v>
      </c>
    </row>
    <row r="108" spans="1:24">
      <c r="A108" s="353">
        <v>650</v>
      </c>
      <c r="B108" s="93" t="s">
        <v>900</v>
      </c>
      <c r="C108" s="93">
        <v>258</v>
      </c>
      <c r="D108" s="93">
        <v>165</v>
      </c>
      <c r="E108" s="93">
        <v>86</v>
      </c>
      <c r="F108" s="93">
        <f t="shared" si="22"/>
        <v>7</v>
      </c>
      <c r="G108" s="93">
        <v>4089</v>
      </c>
      <c r="H108" s="93">
        <v>2678</v>
      </c>
      <c r="I108" s="93">
        <v>1155</v>
      </c>
      <c r="J108" s="93">
        <f t="shared" si="23"/>
        <v>256</v>
      </c>
      <c r="K108" s="93">
        <v>2117</v>
      </c>
      <c r="L108" s="93">
        <v>1225</v>
      </c>
      <c r="M108" s="93">
        <v>724</v>
      </c>
      <c r="N108" s="93">
        <f t="shared" si="24"/>
        <v>168</v>
      </c>
      <c r="P108" s="93">
        <f t="shared" si="13"/>
        <v>0.63953488372093026</v>
      </c>
      <c r="Q108" s="93">
        <f t="shared" si="14"/>
        <v>0.33333333333333331</v>
      </c>
      <c r="R108" s="93">
        <f t="shared" si="15"/>
        <v>2.7131782945736434E-2</v>
      </c>
      <c r="S108" s="93">
        <f t="shared" si="16"/>
        <v>0.65492785522132546</v>
      </c>
      <c r="T108" s="93">
        <f t="shared" si="17"/>
        <v>0.28246515040352166</v>
      </c>
      <c r="U108" s="93">
        <f t="shared" si="18"/>
        <v>6.2606994375152852E-2</v>
      </c>
      <c r="V108" s="93">
        <f t="shared" si="19"/>
        <v>0.5786490316485593</v>
      </c>
      <c r="W108" s="93">
        <f t="shared" si="20"/>
        <v>0.34199338686820974</v>
      </c>
      <c r="X108" s="93">
        <f t="shared" si="21"/>
        <v>7.9357581483230993E-2</v>
      </c>
    </row>
    <row r="109" spans="1:24">
      <c r="A109" s="353">
        <v>670</v>
      </c>
      <c r="B109" s="93" t="s">
        <v>893</v>
      </c>
      <c r="C109" s="93">
        <v>50</v>
      </c>
      <c r="D109" s="93">
        <v>42</v>
      </c>
      <c r="E109" s="93">
        <v>6</v>
      </c>
      <c r="F109" s="93">
        <f t="shared" si="22"/>
        <v>2</v>
      </c>
      <c r="G109" s="93">
        <v>974</v>
      </c>
      <c r="H109" s="93">
        <v>711</v>
      </c>
      <c r="I109" s="93">
        <v>215</v>
      </c>
      <c r="J109" s="93">
        <f t="shared" si="23"/>
        <v>48</v>
      </c>
      <c r="K109" s="93">
        <v>494</v>
      </c>
      <c r="L109" s="93">
        <v>350</v>
      </c>
      <c r="M109" s="93">
        <v>130</v>
      </c>
      <c r="N109" s="93">
        <f t="shared" si="24"/>
        <v>14</v>
      </c>
      <c r="P109" s="93">
        <f t="shared" si="13"/>
        <v>0.84</v>
      </c>
      <c r="Q109" s="93">
        <f t="shared" si="14"/>
        <v>0.12</v>
      </c>
      <c r="R109" s="93">
        <f t="shared" si="15"/>
        <v>0.04</v>
      </c>
      <c r="S109" s="93">
        <f t="shared" si="16"/>
        <v>0.72997946611909648</v>
      </c>
      <c r="T109" s="93">
        <f t="shared" si="17"/>
        <v>0.22073921971252566</v>
      </c>
      <c r="U109" s="93">
        <f t="shared" si="18"/>
        <v>4.9281314168377825E-2</v>
      </c>
      <c r="V109" s="93">
        <f t="shared" si="19"/>
        <v>0.708502024291498</v>
      </c>
      <c r="W109" s="93">
        <f t="shared" si="20"/>
        <v>0.26315789473684209</v>
      </c>
      <c r="X109" s="93">
        <f t="shared" si="21"/>
        <v>2.8340080971659919E-2</v>
      </c>
    </row>
    <row r="110" spans="1:24">
      <c r="A110" s="353">
        <v>680</v>
      </c>
      <c r="B110" s="93" t="s">
        <v>890</v>
      </c>
      <c r="C110" s="93">
        <v>78</v>
      </c>
      <c r="D110" s="93">
        <v>67</v>
      </c>
      <c r="E110" s="93">
        <v>11</v>
      </c>
      <c r="F110" s="93">
        <f t="shared" si="22"/>
        <v>0</v>
      </c>
      <c r="G110" s="93">
        <v>1695</v>
      </c>
      <c r="H110" s="93">
        <v>1374</v>
      </c>
      <c r="I110" s="93">
        <v>219</v>
      </c>
      <c r="J110" s="93">
        <f t="shared" si="23"/>
        <v>102</v>
      </c>
      <c r="K110" s="93">
        <v>649</v>
      </c>
      <c r="L110" s="93">
        <v>508</v>
      </c>
      <c r="M110" s="93">
        <v>96</v>
      </c>
      <c r="N110" s="93">
        <f t="shared" si="24"/>
        <v>45</v>
      </c>
      <c r="P110" s="93">
        <f t="shared" si="13"/>
        <v>0.85897435897435892</v>
      </c>
      <c r="Q110" s="93">
        <f t="shared" si="14"/>
        <v>0.14102564102564102</v>
      </c>
      <c r="R110" s="93">
        <f t="shared" si="15"/>
        <v>0</v>
      </c>
      <c r="S110" s="93">
        <f t="shared" si="16"/>
        <v>0.81061946902654869</v>
      </c>
      <c r="T110" s="93">
        <f t="shared" si="17"/>
        <v>0.12920353982300886</v>
      </c>
      <c r="U110" s="93">
        <f t="shared" si="18"/>
        <v>6.0176991150442477E-2</v>
      </c>
      <c r="V110" s="93">
        <f t="shared" si="19"/>
        <v>0.78274268104776579</v>
      </c>
      <c r="W110" s="93">
        <f t="shared" si="20"/>
        <v>0.14791987673343607</v>
      </c>
      <c r="X110" s="93">
        <f t="shared" si="21"/>
        <v>6.9337442218798145E-2</v>
      </c>
    </row>
    <row r="111" spans="1:24">
      <c r="A111" s="353">
        <v>683</v>
      </c>
      <c r="B111" s="93" t="s">
        <v>280</v>
      </c>
      <c r="C111" s="93">
        <v>178</v>
      </c>
      <c r="D111" s="93">
        <v>162</v>
      </c>
      <c r="E111" s="93">
        <v>11</v>
      </c>
      <c r="F111" s="93">
        <f t="shared" si="22"/>
        <v>5</v>
      </c>
      <c r="G111" s="93">
        <v>7551</v>
      </c>
      <c r="H111" s="93">
        <v>6855</v>
      </c>
      <c r="I111" s="93">
        <v>405</v>
      </c>
      <c r="J111" s="93">
        <f t="shared" si="23"/>
        <v>291</v>
      </c>
      <c r="K111" s="93">
        <v>4648</v>
      </c>
      <c r="L111" s="93">
        <v>4150</v>
      </c>
      <c r="M111" s="93">
        <v>305</v>
      </c>
      <c r="N111" s="93">
        <f t="shared" si="24"/>
        <v>193</v>
      </c>
      <c r="P111" s="93">
        <f t="shared" si="13"/>
        <v>0.9101123595505618</v>
      </c>
      <c r="Q111" s="93">
        <f t="shared" si="14"/>
        <v>6.1797752808988762E-2</v>
      </c>
      <c r="R111" s="93">
        <f t="shared" si="15"/>
        <v>2.8089887640449437E-2</v>
      </c>
      <c r="S111" s="93">
        <f t="shared" si="16"/>
        <v>0.9078267779102106</v>
      </c>
      <c r="T111" s="93">
        <f t="shared" si="17"/>
        <v>5.3635280095351609E-2</v>
      </c>
      <c r="U111" s="93">
        <f t="shared" si="18"/>
        <v>3.8537941994437823E-2</v>
      </c>
      <c r="V111" s="93">
        <f t="shared" si="19"/>
        <v>0.8928571428571429</v>
      </c>
      <c r="W111" s="93">
        <f t="shared" si="20"/>
        <v>6.561962134251291E-2</v>
      </c>
      <c r="X111" s="93">
        <f t="shared" si="21"/>
        <v>4.1523235800344234E-2</v>
      </c>
    </row>
    <row r="112" spans="1:24">
      <c r="A112" s="353">
        <v>685</v>
      </c>
      <c r="B112" s="93" t="s">
        <v>888</v>
      </c>
      <c r="C112" s="93">
        <v>99</v>
      </c>
      <c r="D112" s="93">
        <v>93</v>
      </c>
      <c r="E112" s="93">
        <v>2</v>
      </c>
      <c r="F112" s="93">
        <f t="shared" si="22"/>
        <v>4</v>
      </c>
      <c r="G112" s="93">
        <v>3242</v>
      </c>
      <c r="H112" s="93">
        <v>2913</v>
      </c>
      <c r="I112" s="93">
        <v>169</v>
      </c>
      <c r="J112" s="93">
        <f t="shared" si="23"/>
        <v>160</v>
      </c>
      <c r="K112" s="93">
        <v>1789</v>
      </c>
      <c r="L112" s="93">
        <v>1579</v>
      </c>
      <c r="M112" s="93">
        <v>126</v>
      </c>
      <c r="N112" s="93">
        <f t="shared" si="24"/>
        <v>84</v>
      </c>
      <c r="P112" s="93">
        <f t="shared" si="13"/>
        <v>0.93939393939393945</v>
      </c>
      <c r="Q112" s="93">
        <f t="shared" si="14"/>
        <v>2.0202020202020204E-2</v>
      </c>
      <c r="R112" s="93">
        <f t="shared" si="15"/>
        <v>4.0404040404040407E-2</v>
      </c>
      <c r="S112" s="93">
        <f t="shared" si="16"/>
        <v>0.89851943244910548</v>
      </c>
      <c r="T112" s="93">
        <f t="shared" si="17"/>
        <v>5.2128315854410856E-2</v>
      </c>
      <c r="U112" s="93">
        <f t="shared" si="18"/>
        <v>4.9352251696483655E-2</v>
      </c>
      <c r="V112" s="93">
        <f t="shared" si="19"/>
        <v>0.88261598658468421</v>
      </c>
      <c r="W112" s="93">
        <f t="shared" si="20"/>
        <v>7.0430408049189486E-2</v>
      </c>
      <c r="X112" s="93">
        <f t="shared" si="21"/>
        <v>4.6953605366126326E-2</v>
      </c>
    </row>
    <row r="113" spans="1:24">
      <c r="A113" s="353">
        <v>690</v>
      </c>
      <c r="B113" s="93" t="s">
        <v>1107</v>
      </c>
      <c r="C113" s="93">
        <v>13</v>
      </c>
      <c r="D113" s="93">
        <v>10</v>
      </c>
      <c r="E113" s="93">
        <v>3</v>
      </c>
      <c r="F113" s="93">
        <f t="shared" si="22"/>
        <v>0</v>
      </c>
      <c r="G113" s="93">
        <v>287</v>
      </c>
      <c r="H113" s="93">
        <v>241</v>
      </c>
      <c r="I113" s="93">
        <v>30</v>
      </c>
      <c r="J113" s="93">
        <f t="shared" si="23"/>
        <v>16</v>
      </c>
      <c r="K113" s="93">
        <v>230</v>
      </c>
      <c r="L113" s="93">
        <v>189</v>
      </c>
      <c r="M113" s="93">
        <v>29</v>
      </c>
      <c r="N113" s="93">
        <f t="shared" si="24"/>
        <v>12</v>
      </c>
      <c r="P113" s="93">
        <f t="shared" si="13"/>
        <v>0.76923076923076927</v>
      </c>
      <c r="Q113" s="93">
        <f t="shared" si="14"/>
        <v>0.23076923076923078</v>
      </c>
      <c r="R113" s="93">
        <f t="shared" si="15"/>
        <v>0</v>
      </c>
      <c r="S113" s="93">
        <f t="shared" si="16"/>
        <v>0.83972125435540068</v>
      </c>
      <c r="T113" s="93">
        <f t="shared" si="17"/>
        <v>0.10452961672473868</v>
      </c>
      <c r="U113" s="93">
        <f t="shared" si="18"/>
        <v>5.5749128919860627E-2</v>
      </c>
      <c r="V113" s="93">
        <f t="shared" si="19"/>
        <v>0.82173913043478264</v>
      </c>
      <c r="W113" s="93">
        <f t="shared" si="20"/>
        <v>0.12608695652173912</v>
      </c>
      <c r="X113" s="93">
        <f t="shared" si="21"/>
        <v>5.2173913043478258E-2</v>
      </c>
    </row>
    <row r="114" spans="1:24">
      <c r="A114" s="353">
        <v>700</v>
      </c>
      <c r="B114" s="93" t="s">
        <v>901</v>
      </c>
      <c r="C114" s="93">
        <v>422</v>
      </c>
      <c r="D114" s="93">
        <v>327</v>
      </c>
      <c r="E114" s="93">
        <v>87</v>
      </c>
      <c r="F114" s="93">
        <f t="shared" si="22"/>
        <v>8</v>
      </c>
      <c r="G114" s="93">
        <v>8740</v>
      </c>
      <c r="H114" s="93">
        <v>6397</v>
      </c>
      <c r="I114" s="93">
        <v>1812</v>
      </c>
      <c r="J114" s="93">
        <f t="shared" si="23"/>
        <v>531</v>
      </c>
      <c r="K114" s="93">
        <v>4571</v>
      </c>
      <c r="L114" s="93">
        <v>2995</v>
      </c>
      <c r="M114" s="93">
        <v>1269</v>
      </c>
      <c r="N114" s="93">
        <f t="shared" si="24"/>
        <v>307</v>
      </c>
      <c r="P114" s="93">
        <f t="shared" si="13"/>
        <v>0.77488151658767768</v>
      </c>
      <c r="Q114" s="93">
        <f t="shared" si="14"/>
        <v>0.20616113744075829</v>
      </c>
      <c r="R114" s="93">
        <f t="shared" si="15"/>
        <v>1.8957345971563982E-2</v>
      </c>
      <c r="S114" s="93">
        <f t="shared" si="16"/>
        <v>0.73192219679633863</v>
      </c>
      <c r="T114" s="93">
        <f t="shared" si="17"/>
        <v>0.20732265446224257</v>
      </c>
      <c r="U114" s="93">
        <f t="shared" si="18"/>
        <v>6.0755148741418762E-2</v>
      </c>
      <c r="V114" s="93">
        <f t="shared" si="19"/>
        <v>0.65521767665718667</v>
      </c>
      <c r="W114" s="93">
        <f t="shared" si="20"/>
        <v>0.27761977685408007</v>
      </c>
      <c r="X114" s="93">
        <f t="shared" si="21"/>
        <v>6.7162546488733321E-2</v>
      </c>
    </row>
    <row r="115" spans="1:24">
      <c r="A115" s="353">
        <v>710</v>
      </c>
      <c r="B115" s="93" t="s">
        <v>896</v>
      </c>
      <c r="C115" s="93">
        <v>397</v>
      </c>
      <c r="D115" s="93">
        <v>289</v>
      </c>
      <c r="E115" s="93">
        <v>86</v>
      </c>
      <c r="F115" s="93">
        <f t="shared" si="22"/>
        <v>22</v>
      </c>
      <c r="G115" s="93">
        <v>11906</v>
      </c>
      <c r="H115" s="93">
        <v>8602</v>
      </c>
      <c r="I115" s="93">
        <v>2487</v>
      </c>
      <c r="J115" s="93">
        <f t="shared" si="23"/>
        <v>817</v>
      </c>
      <c r="K115" s="93">
        <v>4411</v>
      </c>
      <c r="L115" s="93">
        <v>2909</v>
      </c>
      <c r="M115" s="93">
        <v>1197</v>
      </c>
      <c r="N115" s="93">
        <f t="shared" si="24"/>
        <v>305</v>
      </c>
      <c r="P115" s="93">
        <f t="shared" si="13"/>
        <v>0.72795969773299751</v>
      </c>
      <c r="Q115" s="93">
        <f t="shared" si="14"/>
        <v>0.21662468513853905</v>
      </c>
      <c r="R115" s="93">
        <f t="shared" si="15"/>
        <v>5.5415617128463476E-2</v>
      </c>
      <c r="S115" s="93">
        <f t="shared" si="16"/>
        <v>0.72249286074248276</v>
      </c>
      <c r="T115" s="93">
        <f t="shared" si="17"/>
        <v>0.20888627582731395</v>
      </c>
      <c r="U115" s="93">
        <f t="shared" si="18"/>
        <v>6.8620863430203252E-2</v>
      </c>
      <c r="V115" s="93">
        <f t="shared" si="19"/>
        <v>0.65948764452505104</v>
      </c>
      <c r="W115" s="93">
        <f t="shared" si="20"/>
        <v>0.27136703695307185</v>
      </c>
      <c r="X115" s="93">
        <f t="shared" si="21"/>
        <v>6.9145318521877122E-2</v>
      </c>
    </row>
    <row r="116" spans="1:24">
      <c r="A116" s="353">
        <v>720</v>
      </c>
      <c r="B116" s="93" t="s">
        <v>882</v>
      </c>
      <c r="C116" s="93">
        <v>2</v>
      </c>
      <c r="D116" s="93">
        <v>2</v>
      </c>
      <c r="E116" s="93">
        <v>0</v>
      </c>
      <c r="F116" s="93">
        <f t="shared" si="22"/>
        <v>0</v>
      </c>
      <c r="G116" s="93">
        <v>62</v>
      </c>
      <c r="H116" s="93">
        <v>59</v>
      </c>
      <c r="I116" s="93">
        <v>0</v>
      </c>
      <c r="J116" s="93">
        <f t="shared" si="23"/>
        <v>3</v>
      </c>
      <c r="K116" s="93">
        <v>26</v>
      </c>
      <c r="L116" s="93">
        <v>24</v>
      </c>
      <c r="M116" s="93">
        <v>1</v>
      </c>
      <c r="N116" s="93">
        <f t="shared" si="24"/>
        <v>1</v>
      </c>
      <c r="P116" s="93">
        <f t="shared" si="13"/>
        <v>1</v>
      </c>
      <c r="Q116" s="93">
        <f t="shared" si="14"/>
        <v>0</v>
      </c>
      <c r="R116" s="93">
        <f t="shared" si="15"/>
        <v>0</v>
      </c>
      <c r="S116" s="93">
        <f t="shared" si="16"/>
        <v>0.95161290322580649</v>
      </c>
      <c r="T116" s="93">
        <f t="shared" si="17"/>
        <v>0</v>
      </c>
      <c r="U116" s="93">
        <f t="shared" si="18"/>
        <v>4.8387096774193547E-2</v>
      </c>
      <c r="V116" s="93">
        <f t="shared" si="19"/>
        <v>0.92307692307692313</v>
      </c>
      <c r="W116" s="93">
        <f t="shared" si="20"/>
        <v>3.8461538461538464E-2</v>
      </c>
      <c r="X116" s="93">
        <f t="shared" si="21"/>
        <v>3.8461538461538464E-2</v>
      </c>
    </row>
    <row r="117" spans="1:24">
      <c r="A117" s="353">
        <v>730</v>
      </c>
      <c r="B117" s="93" t="s">
        <v>894</v>
      </c>
      <c r="C117" s="93">
        <v>48</v>
      </c>
      <c r="D117" s="93">
        <v>24</v>
      </c>
      <c r="E117" s="93">
        <v>24</v>
      </c>
      <c r="F117" s="93">
        <f t="shared" si="22"/>
        <v>0</v>
      </c>
      <c r="G117" s="93">
        <v>844</v>
      </c>
      <c r="H117" s="93">
        <v>552</v>
      </c>
      <c r="I117" s="93">
        <v>254</v>
      </c>
      <c r="J117" s="93">
        <f t="shared" si="23"/>
        <v>38</v>
      </c>
      <c r="K117" s="93">
        <v>426</v>
      </c>
      <c r="L117" s="93">
        <v>265</v>
      </c>
      <c r="M117" s="93">
        <v>136</v>
      </c>
      <c r="N117" s="93">
        <f t="shared" si="24"/>
        <v>25</v>
      </c>
      <c r="P117" s="93">
        <f t="shared" si="13"/>
        <v>0.5</v>
      </c>
      <c r="Q117" s="93">
        <f t="shared" si="14"/>
        <v>0.5</v>
      </c>
      <c r="R117" s="93">
        <f t="shared" si="15"/>
        <v>0</v>
      </c>
      <c r="S117" s="93">
        <f t="shared" si="16"/>
        <v>0.65402843601895733</v>
      </c>
      <c r="T117" s="93">
        <f t="shared" si="17"/>
        <v>0.3009478672985782</v>
      </c>
      <c r="U117" s="93">
        <f t="shared" si="18"/>
        <v>4.5023696682464455E-2</v>
      </c>
      <c r="V117" s="93">
        <f t="shared" si="19"/>
        <v>0.6220657276995305</v>
      </c>
      <c r="W117" s="93">
        <f t="shared" si="20"/>
        <v>0.31924882629107981</v>
      </c>
      <c r="X117" s="93">
        <f t="shared" si="21"/>
        <v>5.8685446009389672E-2</v>
      </c>
    </row>
    <row r="118" spans="1:24">
      <c r="A118" s="353">
        <v>740</v>
      </c>
      <c r="B118" s="93" t="s">
        <v>897</v>
      </c>
      <c r="C118" s="93">
        <v>94</v>
      </c>
      <c r="D118" s="93">
        <v>49</v>
      </c>
      <c r="E118" s="93">
        <v>36</v>
      </c>
      <c r="F118" s="93">
        <f t="shared" si="22"/>
        <v>9</v>
      </c>
      <c r="G118" s="93">
        <v>2014</v>
      </c>
      <c r="H118" s="93">
        <v>1383</v>
      </c>
      <c r="I118" s="93">
        <v>499</v>
      </c>
      <c r="J118" s="93">
        <f t="shared" si="23"/>
        <v>132</v>
      </c>
      <c r="K118" s="93">
        <v>1004</v>
      </c>
      <c r="L118" s="93">
        <v>611</v>
      </c>
      <c r="M118" s="93">
        <v>313</v>
      </c>
      <c r="N118" s="93">
        <f t="shared" si="24"/>
        <v>80</v>
      </c>
      <c r="P118" s="93">
        <f t="shared" si="13"/>
        <v>0.52127659574468088</v>
      </c>
      <c r="Q118" s="93">
        <f t="shared" si="14"/>
        <v>0.38297872340425532</v>
      </c>
      <c r="R118" s="93">
        <f t="shared" si="15"/>
        <v>9.5744680851063829E-2</v>
      </c>
      <c r="S118" s="93">
        <f t="shared" si="16"/>
        <v>0.68669314796425029</v>
      </c>
      <c r="T118" s="93">
        <f t="shared" si="17"/>
        <v>0.2477656405163853</v>
      </c>
      <c r="U118" s="93">
        <f t="shared" si="18"/>
        <v>6.5541211519364442E-2</v>
      </c>
      <c r="V118" s="93">
        <f t="shared" si="19"/>
        <v>0.60856573705179284</v>
      </c>
      <c r="W118" s="93">
        <f t="shared" si="20"/>
        <v>0.31175298804780877</v>
      </c>
      <c r="X118" s="93">
        <f t="shared" si="21"/>
        <v>7.9681274900398405E-2</v>
      </c>
    </row>
    <row r="119" spans="1:24">
      <c r="A119" s="353">
        <v>750</v>
      </c>
      <c r="B119" s="93" t="s">
        <v>885</v>
      </c>
      <c r="C119" s="93">
        <v>8</v>
      </c>
      <c r="D119" s="93">
        <v>6</v>
      </c>
      <c r="E119" s="93">
        <v>0</v>
      </c>
      <c r="F119" s="93">
        <f t="shared" si="22"/>
        <v>2</v>
      </c>
      <c r="G119" s="93">
        <v>328</v>
      </c>
      <c r="H119" s="93">
        <v>281</v>
      </c>
      <c r="I119" s="93">
        <v>12</v>
      </c>
      <c r="J119" s="93">
        <f t="shared" si="23"/>
        <v>35</v>
      </c>
      <c r="K119" s="93">
        <v>60</v>
      </c>
      <c r="L119" s="93">
        <v>42</v>
      </c>
      <c r="M119" s="93">
        <v>13</v>
      </c>
      <c r="N119" s="93">
        <f t="shared" si="24"/>
        <v>5</v>
      </c>
      <c r="P119" s="93">
        <f t="shared" si="13"/>
        <v>0.75</v>
      </c>
      <c r="Q119" s="93">
        <f t="shared" si="14"/>
        <v>0</v>
      </c>
      <c r="R119" s="93">
        <f t="shared" si="15"/>
        <v>0.25</v>
      </c>
      <c r="S119" s="93">
        <f t="shared" si="16"/>
        <v>0.85670731707317072</v>
      </c>
      <c r="T119" s="93">
        <f t="shared" si="17"/>
        <v>3.6585365853658534E-2</v>
      </c>
      <c r="U119" s="93">
        <f t="shared" si="18"/>
        <v>0.10670731707317073</v>
      </c>
      <c r="V119" s="93">
        <f t="shared" si="19"/>
        <v>0.7</v>
      </c>
      <c r="W119" s="93">
        <f t="shared" si="20"/>
        <v>0.21666666666666667</v>
      </c>
      <c r="X119" s="93">
        <f t="shared" si="21"/>
        <v>8.3333333333333329E-2</v>
      </c>
    </row>
    <row r="120" spans="1:24">
      <c r="A120" s="353">
        <v>760</v>
      </c>
      <c r="B120" s="93" t="s">
        <v>198</v>
      </c>
      <c r="C120" s="93">
        <v>287</v>
      </c>
      <c r="D120" s="93">
        <v>198</v>
      </c>
      <c r="E120" s="93">
        <v>67</v>
      </c>
      <c r="F120" s="93">
        <f t="shared" si="22"/>
        <v>22</v>
      </c>
      <c r="G120" s="93">
        <v>8984</v>
      </c>
      <c r="H120" s="93">
        <v>6482</v>
      </c>
      <c r="I120" s="93">
        <v>1537</v>
      </c>
      <c r="J120" s="93">
        <f t="shared" si="23"/>
        <v>965</v>
      </c>
      <c r="K120" s="93">
        <v>3767</v>
      </c>
      <c r="L120" s="93">
        <v>2448</v>
      </c>
      <c r="M120" s="93">
        <v>866</v>
      </c>
      <c r="N120" s="93">
        <f t="shared" si="24"/>
        <v>453</v>
      </c>
      <c r="P120" s="93">
        <f t="shared" si="13"/>
        <v>0.68989547038327526</v>
      </c>
      <c r="Q120" s="93">
        <f t="shared" si="14"/>
        <v>0.23344947735191637</v>
      </c>
      <c r="R120" s="93">
        <f t="shared" si="15"/>
        <v>7.6655052264808357E-2</v>
      </c>
      <c r="S120" s="93">
        <f t="shared" si="16"/>
        <v>0.72150489759572578</v>
      </c>
      <c r="T120" s="93">
        <f t="shared" si="17"/>
        <v>0.17108192341941228</v>
      </c>
      <c r="U120" s="93">
        <f t="shared" si="18"/>
        <v>0.10741317898486198</v>
      </c>
      <c r="V120" s="93">
        <f t="shared" si="19"/>
        <v>0.64985399522166176</v>
      </c>
      <c r="W120" s="93">
        <f t="shared" si="20"/>
        <v>0.22989116007432969</v>
      </c>
      <c r="X120" s="93">
        <f t="shared" si="21"/>
        <v>0.12025484470400849</v>
      </c>
    </row>
    <row r="121" spans="1:24">
      <c r="A121" s="353">
        <v>770</v>
      </c>
      <c r="B121" s="93" t="s">
        <v>202</v>
      </c>
      <c r="C121" s="93">
        <v>153</v>
      </c>
      <c r="D121" s="93">
        <v>127</v>
      </c>
      <c r="E121" s="93">
        <v>20</v>
      </c>
      <c r="F121" s="93">
        <f t="shared" si="22"/>
        <v>6</v>
      </c>
      <c r="G121" s="93">
        <v>3374</v>
      </c>
      <c r="H121" s="93">
        <v>2778</v>
      </c>
      <c r="I121" s="93">
        <v>409</v>
      </c>
      <c r="J121" s="93">
        <f t="shared" si="23"/>
        <v>187</v>
      </c>
      <c r="K121" s="93">
        <v>1894</v>
      </c>
      <c r="L121" s="93">
        <v>1494</v>
      </c>
      <c r="M121" s="93">
        <v>306</v>
      </c>
      <c r="N121" s="93">
        <f t="shared" si="24"/>
        <v>94</v>
      </c>
      <c r="P121" s="93">
        <f t="shared" si="13"/>
        <v>0.83006535947712423</v>
      </c>
      <c r="Q121" s="93">
        <f t="shared" si="14"/>
        <v>0.13071895424836602</v>
      </c>
      <c r="R121" s="93">
        <f t="shared" si="15"/>
        <v>3.9215686274509803E-2</v>
      </c>
      <c r="S121" s="93">
        <f t="shared" si="16"/>
        <v>0.82335506816834614</v>
      </c>
      <c r="T121" s="93">
        <f t="shared" si="17"/>
        <v>0.12122110254890338</v>
      </c>
      <c r="U121" s="93">
        <f t="shared" si="18"/>
        <v>5.5423829282750442E-2</v>
      </c>
      <c r="V121" s="93">
        <f t="shared" si="19"/>
        <v>0.78880675818373813</v>
      </c>
      <c r="W121" s="93">
        <f t="shared" si="20"/>
        <v>0.16156282998944033</v>
      </c>
      <c r="X121" s="93">
        <f t="shared" si="21"/>
        <v>4.9630411826821541E-2</v>
      </c>
    </row>
    <row r="122" spans="1:24">
      <c r="A122" s="353">
        <v>800</v>
      </c>
      <c r="B122" s="93" t="s">
        <v>898</v>
      </c>
      <c r="C122" s="93">
        <v>86</v>
      </c>
      <c r="D122" s="93">
        <v>61</v>
      </c>
      <c r="E122" s="93">
        <v>17</v>
      </c>
      <c r="F122" s="93">
        <f>C122-D122-E122</f>
        <v>8</v>
      </c>
      <c r="G122" s="93">
        <v>1594</v>
      </c>
      <c r="H122" s="93">
        <v>1210</v>
      </c>
      <c r="I122" s="93">
        <v>298</v>
      </c>
      <c r="J122" s="93">
        <f>G122-H122-I122</f>
        <v>86</v>
      </c>
      <c r="K122" s="93">
        <v>1012</v>
      </c>
      <c r="L122" s="93">
        <v>660</v>
      </c>
      <c r="M122" s="93">
        <v>293</v>
      </c>
      <c r="N122" s="93">
        <f>K122-L122-M122</f>
        <v>59</v>
      </c>
      <c r="P122" s="93">
        <f>D122/C122</f>
        <v>0.70930232558139539</v>
      </c>
      <c r="Q122" s="93">
        <f>E122/C122</f>
        <v>0.19767441860465115</v>
      </c>
      <c r="R122" s="93">
        <f>F122/C122</f>
        <v>9.3023255813953487E-2</v>
      </c>
      <c r="S122" s="93">
        <f>H122/G122</f>
        <v>0.75909661229611036</v>
      </c>
      <c r="T122" s="93">
        <f>I122/G122</f>
        <v>0.18695106649937265</v>
      </c>
      <c r="U122" s="93">
        <f>J122/G122</f>
        <v>5.3952321204516936E-2</v>
      </c>
      <c r="V122" s="93">
        <f>L122/K122</f>
        <v>0.65217391304347827</v>
      </c>
      <c r="W122" s="93">
        <f>M122/K122</f>
        <v>0.28952569169960474</v>
      </c>
      <c r="X122" s="93">
        <f>N122/K122</f>
        <v>5.8300395256916999E-2</v>
      </c>
    </row>
    <row r="123" spans="1:24">
      <c r="A123" s="353">
        <v>810</v>
      </c>
      <c r="B123" s="93" t="s">
        <v>899</v>
      </c>
      <c r="C123" s="93">
        <v>1121</v>
      </c>
      <c r="D123" s="93">
        <v>954</v>
      </c>
      <c r="E123" s="93">
        <v>107</v>
      </c>
      <c r="F123" s="93">
        <f>C123-D123-E123</f>
        <v>60</v>
      </c>
      <c r="G123" s="93">
        <v>19305</v>
      </c>
      <c r="H123" s="93">
        <v>15155</v>
      </c>
      <c r="I123" s="93">
        <v>2957</v>
      </c>
      <c r="J123" s="93">
        <f>G123-H123-I123</f>
        <v>1193</v>
      </c>
      <c r="K123" s="93">
        <v>10512</v>
      </c>
      <c r="L123" s="93">
        <v>7732</v>
      </c>
      <c r="M123" s="93">
        <v>2027</v>
      </c>
      <c r="N123" s="93">
        <f>K123-L123-M123</f>
        <v>753</v>
      </c>
      <c r="P123" s="93">
        <f>D123/C123</f>
        <v>0.85102586975914363</v>
      </c>
      <c r="Q123" s="93">
        <f>E123/C123</f>
        <v>9.5450490633363069E-2</v>
      </c>
      <c r="R123" s="93">
        <f>F123/C123</f>
        <v>5.352363960749331E-2</v>
      </c>
      <c r="S123" s="93">
        <f>H123/G123</f>
        <v>0.78502978502978504</v>
      </c>
      <c r="T123" s="93">
        <f>I123/G123</f>
        <v>0.15317275317275317</v>
      </c>
      <c r="U123" s="93">
        <f>J123/G123</f>
        <v>6.1797461797461796E-2</v>
      </c>
      <c r="V123" s="93">
        <f>L123/K123</f>
        <v>0.73554033485540338</v>
      </c>
      <c r="W123" s="93">
        <f>M123/K123</f>
        <v>0.19282724505327245</v>
      </c>
      <c r="X123" s="93">
        <f>N123/K123</f>
        <v>7.16324200913242E-2</v>
      </c>
    </row>
    <row r="124" spans="1:24">
      <c r="A124" s="353">
        <v>830</v>
      </c>
      <c r="B124" s="93" t="s">
        <v>902</v>
      </c>
      <c r="C124" s="93">
        <v>18</v>
      </c>
      <c r="D124" s="93">
        <v>16</v>
      </c>
      <c r="E124" s="93">
        <v>2</v>
      </c>
      <c r="F124" s="93">
        <f>C124-D124-E124</f>
        <v>0</v>
      </c>
      <c r="G124" s="93">
        <v>797</v>
      </c>
      <c r="H124" s="93">
        <v>698</v>
      </c>
      <c r="I124" s="93">
        <v>59</v>
      </c>
      <c r="J124" s="93">
        <f>G124-H124-I124</f>
        <v>40</v>
      </c>
      <c r="K124" s="93">
        <v>181</v>
      </c>
      <c r="L124" s="93">
        <v>143</v>
      </c>
      <c r="M124" s="93">
        <v>31</v>
      </c>
      <c r="N124" s="93">
        <f>K124-L124-M124</f>
        <v>7</v>
      </c>
      <c r="P124" s="93">
        <f>D124/C124</f>
        <v>0.88888888888888884</v>
      </c>
      <c r="Q124" s="93">
        <f>E124/C124</f>
        <v>0.1111111111111111</v>
      </c>
      <c r="R124" s="93">
        <f>F124/C124</f>
        <v>0</v>
      </c>
      <c r="S124" s="93">
        <f>H124/G124</f>
        <v>0.87578419071518199</v>
      </c>
      <c r="T124" s="93">
        <f>I124/G124</f>
        <v>7.4027603513174403E-2</v>
      </c>
      <c r="U124" s="93">
        <f>J124/G124</f>
        <v>5.0188205771643665E-2</v>
      </c>
      <c r="V124" s="93">
        <f>L124/K124</f>
        <v>0.79005524861878451</v>
      </c>
      <c r="W124" s="93">
        <f>M124/K124</f>
        <v>0.17127071823204421</v>
      </c>
      <c r="X124" s="93">
        <f>N124/K124</f>
        <v>3.8674033149171269E-2</v>
      </c>
    </row>
    <row r="125" spans="1:24">
      <c r="A125" s="353">
        <v>840</v>
      </c>
      <c r="B125" s="93" t="s">
        <v>886</v>
      </c>
      <c r="C125" s="93">
        <v>70</v>
      </c>
      <c r="D125" s="93">
        <v>67</v>
      </c>
      <c r="E125" s="93">
        <v>2</v>
      </c>
      <c r="F125" s="93">
        <f>C125-D125-E125</f>
        <v>1</v>
      </c>
      <c r="G125" s="93">
        <v>2490</v>
      </c>
      <c r="H125" s="93">
        <v>2175</v>
      </c>
      <c r="I125" s="93">
        <v>137</v>
      </c>
      <c r="J125" s="93">
        <f>G125-H125-I125</f>
        <v>178</v>
      </c>
      <c r="K125" s="93">
        <v>1639</v>
      </c>
      <c r="L125" s="93">
        <v>1414</v>
      </c>
      <c r="M125" s="93">
        <v>115</v>
      </c>
      <c r="N125" s="93">
        <f>K125-L125-M125</f>
        <v>110</v>
      </c>
      <c r="P125" s="93">
        <f>D125/C125</f>
        <v>0.95714285714285718</v>
      </c>
      <c r="Q125" s="93">
        <f>E125/C125</f>
        <v>2.8571428571428571E-2</v>
      </c>
      <c r="R125" s="93">
        <f>F125/C125</f>
        <v>1.4285714285714285E-2</v>
      </c>
      <c r="S125" s="93">
        <f>H125/G125</f>
        <v>0.87349397590361444</v>
      </c>
      <c r="T125" s="93">
        <f>I125/G125</f>
        <v>5.5020080321285143E-2</v>
      </c>
      <c r="U125" s="93">
        <f>J125/G125</f>
        <v>7.1485943775100397E-2</v>
      </c>
      <c r="V125" s="93">
        <f>L125/K125</f>
        <v>0.86272117144600369</v>
      </c>
      <c r="W125" s="93">
        <f>M125/K125</f>
        <v>7.0164734594264797E-2</v>
      </c>
      <c r="X125" s="93">
        <f>N125/K125</f>
        <v>6.7114093959731544E-2</v>
      </c>
    </row>
  </sheetData>
  <mergeCells count="6">
    <mergeCell ref="V2:X2"/>
    <mergeCell ref="C2:F2"/>
    <mergeCell ref="G2:J2"/>
    <mergeCell ref="K2:N2"/>
    <mergeCell ref="P2:R2"/>
    <mergeCell ref="S2:U2"/>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sheetPr>
    <tabColor rgb="FFFFFF00"/>
  </sheetPr>
  <dimension ref="A1:R129"/>
  <sheetViews>
    <sheetView workbookViewId="0">
      <pane ySplit="4" topLeftCell="A102" activePane="bottomLeft" state="frozen"/>
      <selection pane="bottomLeft" activeCell="J127" sqref="J127"/>
    </sheetView>
  </sheetViews>
  <sheetFormatPr defaultRowHeight="12.75" customHeight="1"/>
  <cols>
    <col min="1" max="1" width="9" style="791"/>
    <col min="2" max="2" width="33.375" style="791" customWidth="1"/>
    <col min="3" max="3" width="16.75" style="791" customWidth="1"/>
    <col min="4" max="11" width="8.875" style="791" customWidth="1"/>
    <col min="12" max="12" width="4.625" style="791" customWidth="1"/>
    <col min="13" max="13" width="17.875" style="791" customWidth="1"/>
    <col min="14" max="16384" width="9" style="791"/>
  </cols>
  <sheetData>
    <row r="1" spans="1:18" ht="12.75" customHeight="1">
      <c r="A1" s="264" t="s">
        <v>984</v>
      </c>
    </row>
    <row r="3" spans="1:18" ht="53.25" customHeight="1">
      <c r="A3" s="797" t="s">
        <v>4</v>
      </c>
      <c r="B3" s="798" t="s">
        <v>5</v>
      </c>
      <c r="C3" s="861" t="s">
        <v>252</v>
      </c>
      <c r="D3" s="821" t="s">
        <v>694</v>
      </c>
      <c r="E3" s="821" t="s">
        <v>695</v>
      </c>
      <c r="F3" s="821" t="s">
        <v>696</v>
      </c>
      <c r="G3" s="821" t="s">
        <v>697</v>
      </c>
      <c r="H3" s="821" t="s">
        <v>698</v>
      </c>
      <c r="I3" s="821" t="s">
        <v>699</v>
      </c>
      <c r="J3" s="821" t="s">
        <v>995</v>
      </c>
      <c r="K3" s="821" t="s">
        <v>985</v>
      </c>
      <c r="L3" s="793"/>
      <c r="M3" s="812" t="s">
        <v>996</v>
      </c>
      <c r="N3" s="793"/>
      <c r="O3" s="793"/>
      <c r="P3" s="793"/>
      <c r="Q3" s="793"/>
      <c r="R3" s="793"/>
    </row>
    <row r="4" spans="1:18" ht="15.75">
      <c r="A4" s="981">
        <v>999</v>
      </c>
      <c r="B4" s="865" t="s">
        <v>9</v>
      </c>
      <c r="C4" s="982"/>
      <c r="D4" s="794">
        <f t="shared" ref="D4:K4" si="0">SUM(D5:D124)</f>
        <v>751272</v>
      </c>
      <c r="E4" s="794">
        <f t="shared" si="0"/>
        <v>788458</v>
      </c>
      <c r="F4" s="794">
        <f t="shared" si="0"/>
        <v>802040</v>
      </c>
      <c r="G4" s="794">
        <f t="shared" si="0"/>
        <v>843341</v>
      </c>
      <c r="H4" s="794">
        <f t="shared" si="0"/>
        <v>976430</v>
      </c>
      <c r="I4" s="794">
        <f t="shared" si="0"/>
        <v>1149550</v>
      </c>
      <c r="J4" s="795">
        <f t="shared" si="0"/>
        <v>1261087</v>
      </c>
      <c r="K4" s="795">
        <f t="shared" si="0"/>
        <v>1343290</v>
      </c>
      <c r="L4" s="793"/>
      <c r="M4" s="796">
        <f>K4/'Poverty_All ages'!AA4</f>
        <v>1.4716486685166945</v>
      </c>
      <c r="N4" s="793"/>
      <c r="O4" s="793"/>
      <c r="P4" s="793"/>
      <c r="Q4" s="793"/>
      <c r="R4" s="793"/>
    </row>
    <row r="5" spans="1:18" ht="15.75">
      <c r="A5" s="800" t="s">
        <v>10</v>
      </c>
      <c r="B5" s="803" t="s">
        <v>11</v>
      </c>
      <c r="C5" s="863" t="s">
        <v>271</v>
      </c>
      <c r="D5" s="806">
        <v>5982</v>
      </c>
      <c r="E5" s="806">
        <v>6196</v>
      </c>
      <c r="F5" s="806">
        <v>6487</v>
      </c>
      <c r="G5" s="806">
        <v>6764</v>
      </c>
      <c r="H5" s="806">
        <v>7393</v>
      </c>
      <c r="I5" s="806">
        <v>8490</v>
      </c>
      <c r="J5" s="806">
        <v>9362</v>
      </c>
      <c r="K5" s="807">
        <v>10046</v>
      </c>
      <c r="M5" s="796">
        <f>K5/'Poverty_All ages'!AA5</f>
        <v>1.5798081459348954</v>
      </c>
    </row>
    <row r="6" spans="1:18" ht="15.75">
      <c r="A6" s="801" t="s">
        <v>12</v>
      </c>
      <c r="B6" s="804" t="s">
        <v>13</v>
      </c>
      <c r="C6" s="864" t="s">
        <v>272</v>
      </c>
      <c r="D6" s="808">
        <v>4580</v>
      </c>
      <c r="E6" s="808">
        <v>5076</v>
      </c>
      <c r="F6" s="808">
        <v>5231</v>
      </c>
      <c r="G6" s="808">
        <v>5708</v>
      </c>
      <c r="H6" s="808">
        <v>7052</v>
      </c>
      <c r="I6" s="808">
        <v>8838</v>
      </c>
      <c r="J6" s="808">
        <v>9931</v>
      </c>
      <c r="K6" s="809">
        <v>10527</v>
      </c>
      <c r="M6" s="796">
        <f>K6/'Poverty_All ages'!AA6</f>
        <v>1.1518765729292044</v>
      </c>
    </row>
    <row r="7" spans="1:18" ht="15.75">
      <c r="A7" s="801" t="s">
        <v>16</v>
      </c>
      <c r="B7" s="804" t="s">
        <v>307</v>
      </c>
      <c r="C7" s="864" t="s">
        <v>272</v>
      </c>
      <c r="D7" s="808">
        <v>3621</v>
      </c>
      <c r="E7" s="808">
        <v>3696</v>
      </c>
      <c r="F7" s="808">
        <v>3868</v>
      </c>
      <c r="G7" s="808">
        <v>4048</v>
      </c>
      <c r="H7" s="808">
        <v>4527</v>
      </c>
      <c r="I7" s="808">
        <v>4745</v>
      </c>
      <c r="J7" s="808">
        <v>4987</v>
      </c>
      <c r="K7" s="809">
        <v>5413</v>
      </c>
      <c r="M7" s="796">
        <f>K7/'Poverty_All ages'!AA7</f>
        <v>1.7444408636803095</v>
      </c>
    </row>
    <row r="8" spans="1:18" ht="15.75">
      <c r="A8" s="801" t="s">
        <v>18</v>
      </c>
      <c r="B8" s="804" t="s">
        <v>19</v>
      </c>
      <c r="C8" s="864" t="s">
        <v>273</v>
      </c>
      <c r="D8" s="808">
        <v>1509</v>
      </c>
      <c r="E8" s="808">
        <v>1696</v>
      </c>
      <c r="F8" s="808">
        <v>1683</v>
      </c>
      <c r="G8" s="808">
        <v>1729</v>
      </c>
      <c r="H8" s="808">
        <v>2278</v>
      </c>
      <c r="I8" s="808">
        <v>2779</v>
      </c>
      <c r="J8" s="808">
        <v>2928</v>
      </c>
      <c r="K8" s="809">
        <v>3096</v>
      </c>
      <c r="M8" s="796">
        <f>K8/'Poverty_All ages'!AA8</f>
        <v>2.0598802395209579</v>
      </c>
    </row>
    <row r="9" spans="1:18" ht="15.75">
      <c r="A9" s="801" t="s">
        <v>20</v>
      </c>
      <c r="B9" s="804" t="s">
        <v>21</v>
      </c>
      <c r="C9" s="864" t="s">
        <v>272</v>
      </c>
      <c r="D9" s="808">
        <v>4148</v>
      </c>
      <c r="E9" s="808">
        <v>4347</v>
      </c>
      <c r="F9" s="808">
        <v>4122</v>
      </c>
      <c r="G9" s="808">
        <v>4158</v>
      </c>
      <c r="H9" s="808">
        <v>4754</v>
      </c>
      <c r="I9" s="808">
        <v>5717</v>
      </c>
      <c r="J9" s="808">
        <v>5979</v>
      </c>
      <c r="K9" s="809">
        <v>6082</v>
      </c>
      <c r="M9" s="796">
        <f>K9/'Poverty_All ages'!AA9</f>
        <v>1.4705029013539652</v>
      </c>
    </row>
    <row r="10" spans="1:18" ht="15.75">
      <c r="A10" s="801" t="s">
        <v>22</v>
      </c>
      <c r="B10" s="804" t="s">
        <v>23</v>
      </c>
      <c r="C10" s="864" t="s">
        <v>272</v>
      </c>
      <c r="D10" s="808">
        <v>2212</v>
      </c>
      <c r="E10" s="808">
        <v>2324</v>
      </c>
      <c r="F10" s="808">
        <v>2356</v>
      </c>
      <c r="G10" s="808">
        <v>2555</v>
      </c>
      <c r="H10" s="808">
        <v>2809</v>
      </c>
      <c r="I10" s="808">
        <v>3211</v>
      </c>
      <c r="J10" s="808">
        <v>3456</v>
      </c>
      <c r="K10" s="809">
        <v>3681</v>
      </c>
      <c r="M10" s="796">
        <f>K10/'Poverty_All ages'!AA10</f>
        <v>1.6663648709823449</v>
      </c>
    </row>
    <row r="11" spans="1:18" ht="15.75">
      <c r="A11" s="801" t="s">
        <v>24</v>
      </c>
      <c r="B11" s="804" t="s">
        <v>25</v>
      </c>
      <c r="C11" s="864" t="s">
        <v>274</v>
      </c>
      <c r="D11" s="808">
        <v>7066</v>
      </c>
      <c r="E11" s="808">
        <v>6991</v>
      </c>
      <c r="F11" s="808">
        <v>6532</v>
      </c>
      <c r="G11" s="808">
        <v>6865</v>
      </c>
      <c r="H11" s="808">
        <v>8392</v>
      </c>
      <c r="I11" s="808">
        <v>10037</v>
      </c>
      <c r="J11" s="808">
        <v>11525</v>
      </c>
      <c r="K11" s="809">
        <v>12781</v>
      </c>
      <c r="M11" s="796">
        <f>K11/'Poverty_All ages'!AA11</f>
        <v>0.80413992701648418</v>
      </c>
    </row>
    <row r="12" spans="1:18" ht="15.75">
      <c r="A12" s="801" t="s">
        <v>26</v>
      </c>
      <c r="B12" s="804" t="s">
        <v>908</v>
      </c>
      <c r="C12" s="864" t="s">
        <v>272</v>
      </c>
      <c r="D12" s="808">
        <v>11894</v>
      </c>
      <c r="E12" s="808">
        <v>12791</v>
      </c>
      <c r="F12" s="808">
        <v>13054</v>
      </c>
      <c r="G12" s="808">
        <v>14389</v>
      </c>
      <c r="H12" s="808">
        <v>17153</v>
      </c>
      <c r="I12" s="808">
        <v>20081</v>
      </c>
      <c r="J12" s="808">
        <v>22221</v>
      </c>
      <c r="K12" s="809">
        <v>23385</v>
      </c>
      <c r="M12" s="796">
        <f>K12/'Poverty_All ages'!AA12</f>
        <v>1.6185631229235879</v>
      </c>
    </row>
    <row r="13" spans="1:18" ht="15.75">
      <c r="A13" s="801" t="s">
        <v>27</v>
      </c>
      <c r="B13" s="804" t="s">
        <v>28</v>
      </c>
      <c r="C13" s="864" t="s">
        <v>272</v>
      </c>
      <c r="D13" s="808">
        <v>285</v>
      </c>
      <c r="E13" s="808">
        <v>275</v>
      </c>
      <c r="F13" s="808">
        <v>306</v>
      </c>
      <c r="G13" s="808">
        <v>400</v>
      </c>
      <c r="H13" s="808">
        <v>470</v>
      </c>
      <c r="I13" s="808">
        <v>573</v>
      </c>
      <c r="J13" s="808">
        <v>579</v>
      </c>
      <c r="K13" s="809">
        <v>693</v>
      </c>
      <c r="M13" s="796">
        <f>K13/'Poverty_All ages'!AA13</f>
        <v>1.3915662650602409</v>
      </c>
    </row>
    <row r="14" spans="1:18" ht="15.75">
      <c r="A14" s="801" t="s">
        <v>29</v>
      </c>
      <c r="B14" s="804" t="s">
        <v>309</v>
      </c>
      <c r="C14" s="864" t="s">
        <v>272</v>
      </c>
      <c r="D14" s="808">
        <v>6198</v>
      </c>
      <c r="E14" s="808">
        <v>6521</v>
      </c>
      <c r="F14" s="808">
        <v>6761</v>
      </c>
      <c r="G14" s="808">
        <v>6795</v>
      </c>
      <c r="H14" s="808">
        <v>8037</v>
      </c>
      <c r="I14" s="808">
        <v>9464</v>
      </c>
      <c r="J14" s="808">
        <v>10369</v>
      </c>
      <c r="K14" s="809">
        <v>10717</v>
      </c>
      <c r="M14" s="796">
        <f>K14/'Poverty_All ages'!AA14</f>
        <v>1.4257017427165093</v>
      </c>
    </row>
    <row r="15" spans="1:18" ht="15.75">
      <c r="A15" s="801" t="s">
        <v>31</v>
      </c>
      <c r="B15" s="804" t="s">
        <v>32</v>
      </c>
      <c r="C15" s="864" t="s">
        <v>275</v>
      </c>
      <c r="D15" s="808">
        <v>720</v>
      </c>
      <c r="E15" s="808">
        <v>758</v>
      </c>
      <c r="F15" s="808">
        <v>760</v>
      </c>
      <c r="G15" s="808">
        <v>762</v>
      </c>
      <c r="H15" s="808">
        <v>807</v>
      </c>
      <c r="I15" s="808">
        <v>875</v>
      </c>
      <c r="J15" s="808">
        <v>970</v>
      </c>
      <c r="K15" s="809">
        <v>953</v>
      </c>
      <c r="M15" s="796">
        <f>K15/'Poverty_All ages'!AA15</f>
        <v>1.0841865756541524</v>
      </c>
    </row>
    <row r="16" spans="1:18" ht="15.75">
      <c r="A16" s="801" t="s">
        <v>33</v>
      </c>
      <c r="B16" s="804" t="s">
        <v>34</v>
      </c>
      <c r="C16" s="864" t="s">
        <v>272</v>
      </c>
      <c r="D16" s="808">
        <v>1372</v>
      </c>
      <c r="E16" s="808">
        <v>1459</v>
      </c>
      <c r="F16" s="808">
        <v>1481</v>
      </c>
      <c r="G16" s="808">
        <v>1634</v>
      </c>
      <c r="H16" s="808">
        <v>1929</v>
      </c>
      <c r="I16" s="808">
        <v>2461</v>
      </c>
      <c r="J16" s="808">
        <v>2522</v>
      </c>
      <c r="K16" s="809">
        <v>2764</v>
      </c>
      <c r="M16" s="796">
        <f>K16/'Poverty_All ages'!AA16</f>
        <v>1.1365131578947369</v>
      </c>
    </row>
    <row r="17" spans="1:13" ht="15.75">
      <c r="A17" s="801" t="s">
        <v>37</v>
      </c>
      <c r="B17" s="804" t="s">
        <v>38</v>
      </c>
      <c r="C17" s="864" t="s">
        <v>271</v>
      </c>
      <c r="D17" s="808">
        <v>3608</v>
      </c>
      <c r="E17" s="808">
        <v>3766</v>
      </c>
      <c r="F17" s="808">
        <v>3888</v>
      </c>
      <c r="G17" s="808">
        <v>3948</v>
      </c>
      <c r="H17" s="808">
        <v>4353</v>
      </c>
      <c r="I17" s="808">
        <v>4710</v>
      </c>
      <c r="J17" s="808">
        <v>5056</v>
      </c>
      <c r="K17" s="809">
        <v>5222</v>
      </c>
      <c r="M17" s="796">
        <f>K17/'Poverty_All ages'!AA17</f>
        <v>1.3598958333333333</v>
      </c>
    </row>
    <row r="18" spans="1:13" ht="15.75">
      <c r="A18" s="801" t="s">
        <v>39</v>
      </c>
      <c r="B18" s="804" t="s">
        <v>40</v>
      </c>
      <c r="C18" s="864" t="s">
        <v>275</v>
      </c>
      <c r="D18" s="808">
        <v>5892</v>
      </c>
      <c r="E18" s="808">
        <v>5754</v>
      </c>
      <c r="F18" s="808">
        <v>5594</v>
      </c>
      <c r="G18" s="808">
        <v>5580</v>
      </c>
      <c r="H18" s="808">
        <v>5768</v>
      </c>
      <c r="I18" s="808">
        <v>6066</v>
      </c>
      <c r="J18" s="808">
        <v>6035</v>
      </c>
      <c r="K18" s="809">
        <v>6166</v>
      </c>
      <c r="M18" s="796">
        <f>K18/'Poverty_All ages'!AA18</f>
        <v>1.1295108994321303</v>
      </c>
    </row>
    <row r="19" spans="1:13" ht="15.75">
      <c r="A19" s="801" t="s">
        <v>41</v>
      </c>
      <c r="B19" s="804" t="s">
        <v>42</v>
      </c>
      <c r="C19" s="864" t="s">
        <v>273</v>
      </c>
      <c r="D19" s="808">
        <v>2763</v>
      </c>
      <c r="E19" s="808">
        <v>2828</v>
      </c>
      <c r="F19" s="808">
        <v>2954</v>
      </c>
      <c r="G19" s="808">
        <v>3089</v>
      </c>
      <c r="H19" s="808">
        <v>3524</v>
      </c>
      <c r="I19" s="808">
        <v>4135</v>
      </c>
      <c r="J19" s="808">
        <v>4476</v>
      </c>
      <c r="K19" s="809">
        <v>4754</v>
      </c>
      <c r="M19" s="796">
        <f>K19/'Poverty_All ages'!AA19</f>
        <v>1.4902821316614421</v>
      </c>
    </row>
    <row r="20" spans="1:13" ht="15.75">
      <c r="A20" s="801" t="s">
        <v>43</v>
      </c>
      <c r="B20" s="804" t="s">
        <v>44</v>
      </c>
      <c r="C20" s="864" t="s">
        <v>272</v>
      </c>
      <c r="D20" s="808">
        <v>6928</v>
      </c>
      <c r="E20" s="808">
        <v>7181</v>
      </c>
      <c r="F20" s="808">
        <v>7315</v>
      </c>
      <c r="G20" s="808">
        <v>7596</v>
      </c>
      <c r="H20" s="808">
        <v>8550</v>
      </c>
      <c r="I20" s="808">
        <v>10067</v>
      </c>
      <c r="J20" s="808">
        <v>10878</v>
      </c>
      <c r="K20" s="809">
        <v>11338</v>
      </c>
      <c r="M20" s="796">
        <f>K20/'Poverty_All ages'!AA20</f>
        <v>1.3655305311333252</v>
      </c>
    </row>
    <row r="21" spans="1:13" ht="15.75">
      <c r="A21" s="801" t="s">
        <v>45</v>
      </c>
      <c r="B21" s="804" t="s">
        <v>46</v>
      </c>
      <c r="C21" s="864" t="s">
        <v>273</v>
      </c>
      <c r="D21" s="808">
        <v>3702</v>
      </c>
      <c r="E21" s="808">
        <v>3805</v>
      </c>
      <c r="F21" s="808">
        <v>4025</v>
      </c>
      <c r="G21" s="808">
        <v>4534</v>
      </c>
      <c r="H21" s="808">
        <v>5612</v>
      </c>
      <c r="I21" s="808">
        <v>6487</v>
      </c>
      <c r="J21" s="808">
        <v>6917</v>
      </c>
      <c r="K21" s="809">
        <v>7318</v>
      </c>
      <c r="M21" s="796">
        <f>K21/'Poverty_All ages'!AA21</f>
        <v>2.1385154880187027</v>
      </c>
    </row>
    <row r="22" spans="1:13" ht="15.75">
      <c r="A22" s="801" t="s">
        <v>47</v>
      </c>
      <c r="B22" s="804" t="s">
        <v>48</v>
      </c>
      <c r="C22" s="864" t="s">
        <v>275</v>
      </c>
      <c r="D22" s="808">
        <v>4883</v>
      </c>
      <c r="E22" s="808">
        <v>5103</v>
      </c>
      <c r="F22" s="808">
        <v>5345</v>
      </c>
      <c r="G22" s="808">
        <v>5657</v>
      </c>
      <c r="H22" s="808">
        <v>6429</v>
      </c>
      <c r="I22" s="808">
        <v>7116</v>
      </c>
      <c r="J22" s="808">
        <v>7552</v>
      </c>
      <c r="K22" s="809">
        <v>7844</v>
      </c>
      <c r="M22" s="796">
        <f>K22/'Poverty_All ages'!AA22</f>
        <v>1.3229886996120763</v>
      </c>
    </row>
    <row r="23" spans="1:13" ht="15.75">
      <c r="A23" s="801" t="s">
        <v>49</v>
      </c>
      <c r="B23" s="804" t="s">
        <v>276</v>
      </c>
      <c r="C23" s="864" t="s">
        <v>273</v>
      </c>
      <c r="D23" s="808">
        <v>765</v>
      </c>
      <c r="E23" s="808">
        <v>824</v>
      </c>
      <c r="F23" s="808">
        <v>890</v>
      </c>
      <c r="G23" s="808">
        <v>970</v>
      </c>
      <c r="H23" s="808">
        <v>1174</v>
      </c>
      <c r="I23" s="808">
        <v>1318</v>
      </c>
      <c r="J23" s="808">
        <v>1361</v>
      </c>
      <c r="K23" s="809">
        <v>1455</v>
      </c>
      <c r="M23" s="796">
        <f>K23/'Poverty_All ages'!AA23</f>
        <v>1.7259786476868328</v>
      </c>
    </row>
    <row r="24" spans="1:13" ht="15.75">
      <c r="A24" s="801" t="s">
        <v>51</v>
      </c>
      <c r="B24" s="804" t="s">
        <v>52</v>
      </c>
      <c r="C24" s="864" t="s">
        <v>272</v>
      </c>
      <c r="D24" s="808">
        <v>2244</v>
      </c>
      <c r="E24" s="808">
        <v>2370</v>
      </c>
      <c r="F24" s="808">
        <v>2538</v>
      </c>
      <c r="G24" s="808">
        <v>2585</v>
      </c>
      <c r="H24" s="808">
        <v>2950</v>
      </c>
      <c r="I24" s="808">
        <v>3231</v>
      </c>
      <c r="J24" s="808">
        <v>3392</v>
      </c>
      <c r="K24" s="809">
        <v>3552</v>
      </c>
      <c r="M24" s="796">
        <f>K24/'Poverty_All ages'!AA24</f>
        <v>1.3810264385692068</v>
      </c>
    </row>
    <row r="25" spans="1:13" ht="15.75">
      <c r="A25" s="801" t="s">
        <v>57</v>
      </c>
      <c r="B25" s="804" t="s">
        <v>305</v>
      </c>
      <c r="C25" s="864" t="s">
        <v>273</v>
      </c>
      <c r="D25" s="808">
        <v>21320</v>
      </c>
      <c r="E25" s="808">
        <v>22790</v>
      </c>
      <c r="F25" s="808">
        <v>23749</v>
      </c>
      <c r="G25" s="808">
        <v>26017</v>
      </c>
      <c r="H25" s="808">
        <v>32302</v>
      </c>
      <c r="I25" s="808">
        <v>40767</v>
      </c>
      <c r="J25" s="808">
        <v>45796</v>
      </c>
      <c r="K25" s="809">
        <v>49222</v>
      </c>
      <c r="M25" s="796">
        <f>K25/'Poverty_All ages'!AA25</f>
        <v>2.0313647806528827</v>
      </c>
    </row>
    <row r="26" spans="1:13" ht="15.75">
      <c r="A26" s="801" t="s">
        <v>59</v>
      </c>
      <c r="B26" s="804" t="s">
        <v>60</v>
      </c>
      <c r="C26" s="864" t="s">
        <v>274</v>
      </c>
      <c r="D26" s="808">
        <v>550</v>
      </c>
      <c r="E26" s="808">
        <v>553</v>
      </c>
      <c r="F26" s="808">
        <v>690</v>
      </c>
      <c r="G26" s="808">
        <v>760</v>
      </c>
      <c r="H26" s="808">
        <v>1050</v>
      </c>
      <c r="I26" s="808">
        <v>1189</v>
      </c>
      <c r="J26" s="808">
        <v>1288</v>
      </c>
      <c r="K26" s="809">
        <v>1315</v>
      </c>
      <c r="M26" s="796">
        <f>K26/'Poverty_All ages'!AA26</f>
        <v>1.1484716157205239</v>
      </c>
    </row>
    <row r="27" spans="1:13" ht="15.75">
      <c r="A27" s="801" t="s">
        <v>61</v>
      </c>
      <c r="B27" s="804" t="s">
        <v>62</v>
      </c>
      <c r="C27" s="864" t="s">
        <v>272</v>
      </c>
      <c r="D27" s="808">
        <v>517</v>
      </c>
      <c r="E27" s="808">
        <v>542</v>
      </c>
      <c r="F27" s="808">
        <v>533</v>
      </c>
      <c r="G27" s="808">
        <v>578</v>
      </c>
      <c r="H27" s="808">
        <v>662</v>
      </c>
      <c r="I27" s="808">
        <v>800</v>
      </c>
      <c r="J27" s="808">
        <v>829</v>
      </c>
      <c r="K27" s="809">
        <v>911</v>
      </c>
      <c r="M27" s="796">
        <f>K27/'Poverty_All ages'!AA27</f>
        <v>1.4717285945072698</v>
      </c>
    </row>
    <row r="28" spans="1:13" ht="15.75">
      <c r="A28" s="801" t="s">
        <v>63</v>
      </c>
      <c r="B28" s="804" t="s">
        <v>64</v>
      </c>
      <c r="C28" s="864" t="s">
        <v>274</v>
      </c>
      <c r="D28" s="808">
        <v>3359</v>
      </c>
      <c r="E28" s="808">
        <v>3705</v>
      </c>
      <c r="F28" s="808">
        <v>3982</v>
      </c>
      <c r="G28" s="808">
        <v>4656</v>
      </c>
      <c r="H28" s="808">
        <v>6258</v>
      </c>
      <c r="I28" s="808">
        <v>7702</v>
      </c>
      <c r="J28" s="808">
        <v>8296</v>
      </c>
      <c r="K28" s="809">
        <v>8619</v>
      </c>
      <c r="M28" s="796">
        <f>K28/'Poverty_All ages'!AA28</f>
        <v>1.6155576382380505</v>
      </c>
    </row>
    <row r="29" spans="1:13" ht="15.75">
      <c r="A29" s="801" t="s">
        <v>65</v>
      </c>
      <c r="B29" s="804" t="s">
        <v>66</v>
      </c>
      <c r="C29" s="864" t="s">
        <v>273</v>
      </c>
      <c r="D29" s="808">
        <v>1905</v>
      </c>
      <c r="E29" s="808">
        <v>1918</v>
      </c>
      <c r="F29" s="808">
        <v>2027</v>
      </c>
      <c r="G29" s="808">
        <v>2146</v>
      </c>
      <c r="H29" s="808">
        <v>2481</v>
      </c>
      <c r="I29" s="808">
        <v>2793</v>
      </c>
      <c r="J29" s="808">
        <v>2986</v>
      </c>
      <c r="K29" s="809">
        <v>3186</v>
      </c>
      <c r="M29" s="796">
        <f>K29/'Poverty_All ages'!AA29</f>
        <v>1.7878787878787878</v>
      </c>
    </row>
    <row r="30" spans="1:13" ht="15.75">
      <c r="A30" s="801" t="s">
        <v>69</v>
      </c>
      <c r="B30" s="804" t="s">
        <v>70</v>
      </c>
      <c r="C30" s="864" t="s">
        <v>275</v>
      </c>
      <c r="D30" s="808">
        <v>3875</v>
      </c>
      <c r="E30" s="808">
        <v>3908</v>
      </c>
      <c r="F30" s="808">
        <v>3822</v>
      </c>
      <c r="G30" s="808">
        <v>3878</v>
      </c>
      <c r="H30" s="808">
        <v>4017</v>
      </c>
      <c r="I30" s="808">
        <v>4315</v>
      </c>
      <c r="J30" s="808">
        <v>4437</v>
      </c>
      <c r="K30" s="809">
        <v>4584</v>
      </c>
      <c r="M30" s="796">
        <f>K30/'Poverty_All ages'!AA30</f>
        <v>1.3655049151027703</v>
      </c>
    </row>
    <row r="31" spans="1:13" ht="15.75">
      <c r="A31" s="801" t="s">
        <v>71</v>
      </c>
      <c r="B31" s="804" t="s">
        <v>72</v>
      </c>
      <c r="C31" s="864" t="s">
        <v>271</v>
      </c>
      <c r="D31" s="808">
        <v>3893</v>
      </c>
      <c r="E31" s="808">
        <v>4152</v>
      </c>
      <c r="F31" s="808">
        <v>4203</v>
      </c>
      <c r="G31" s="808">
        <v>4383</v>
      </c>
      <c r="H31" s="808">
        <v>5090</v>
      </c>
      <c r="I31" s="808">
        <v>6023</v>
      </c>
      <c r="J31" s="808">
        <v>6350</v>
      </c>
      <c r="K31" s="809">
        <v>6754</v>
      </c>
      <c r="M31" s="796">
        <f>K31/'Poverty_All ages'!AA31</f>
        <v>1.8631724137931034</v>
      </c>
    </row>
    <row r="32" spans="1:13" ht="15.75">
      <c r="A32" s="801" t="s">
        <v>73</v>
      </c>
      <c r="B32" s="804" t="s">
        <v>74</v>
      </c>
      <c r="C32" s="864" t="s">
        <v>273</v>
      </c>
      <c r="D32" s="808">
        <v>1985</v>
      </c>
      <c r="E32" s="808">
        <v>2061</v>
      </c>
      <c r="F32" s="808">
        <v>2062</v>
      </c>
      <c r="G32" s="808">
        <v>2206</v>
      </c>
      <c r="H32" s="808">
        <v>2628</v>
      </c>
      <c r="I32" s="808">
        <v>2960</v>
      </c>
      <c r="J32" s="808">
        <v>3207</v>
      </c>
      <c r="K32" s="809">
        <v>3505</v>
      </c>
      <c r="M32" s="796">
        <f>K32/'Poverty_All ages'!AA32</f>
        <v>2.1294046172539489</v>
      </c>
    </row>
    <row r="33" spans="1:13" ht="15.75">
      <c r="A33" s="801" t="s">
        <v>75</v>
      </c>
      <c r="B33" s="804" t="s">
        <v>306</v>
      </c>
      <c r="C33" s="864" t="s">
        <v>274</v>
      </c>
      <c r="D33" s="808">
        <v>30107</v>
      </c>
      <c r="E33" s="808">
        <v>32481</v>
      </c>
      <c r="F33" s="808">
        <v>33617</v>
      </c>
      <c r="G33" s="808">
        <v>36644</v>
      </c>
      <c r="H33" s="808">
        <v>46488</v>
      </c>
      <c r="I33" s="808">
        <v>59949</v>
      </c>
      <c r="J33" s="808">
        <v>70180</v>
      </c>
      <c r="K33" s="809">
        <v>78793</v>
      </c>
      <c r="M33" s="796">
        <f>K33/'Poverty_All ages'!AA33</f>
        <v>1.039718670414209</v>
      </c>
    </row>
    <row r="34" spans="1:13" ht="15.75">
      <c r="A34" s="801" t="s">
        <v>77</v>
      </c>
      <c r="B34" s="804" t="s">
        <v>78</v>
      </c>
      <c r="C34" s="864" t="s">
        <v>274</v>
      </c>
      <c r="D34" s="808">
        <v>2873</v>
      </c>
      <c r="E34" s="808">
        <v>3091</v>
      </c>
      <c r="F34" s="808">
        <v>3341</v>
      </c>
      <c r="G34" s="808">
        <v>4012</v>
      </c>
      <c r="H34" s="808">
        <v>5197</v>
      </c>
      <c r="I34" s="808">
        <v>6214</v>
      </c>
      <c r="J34" s="808">
        <v>6501</v>
      </c>
      <c r="K34" s="809">
        <v>6922</v>
      </c>
      <c r="M34" s="796">
        <f>K34/'Poverty_All ages'!AA34</f>
        <v>1.6687560270009643</v>
      </c>
    </row>
    <row r="35" spans="1:13" ht="15.75">
      <c r="A35" s="801" t="s">
        <v>79</v>
      </c>
      <c r="B35" s="804" t="s">
        <v>80</v>
      </c>
      <c r="C35" s="864" t="s">
        <v>275</v>
      </c>
      <c r="D35" s="808">
        <v>1729</v>
      </c>
      <c r="E35" s="808">
        <v>1857</v>
      </c>
      <c r="F35" s="808">
        <v>1883</v>
      </c>
      <c r="G35" s="808">
        <v>1981</v>
      </c>
      <c r="H35" s="808">
        <v>2249</v>
      </c>
      <c r="I35" s="808">
        <v>2672</v>
      </c>
      <c r="J35" s="808">
        <v>2937</v>
      </c>
      <c r="K35" s="809">
        <v>3093</v>
      </c>
      <c r="M35" s="796">
        <f>K35/'Poverty_All ages'!AA35</f>
        <v>1.5043774319066148</v>
      </c>
    </row>
    <row r="36" spans="1:13" ht="15.75">
      <c r="A36" s="801" t="s">
        <v>81</v>
      </c>
      <c r="B36" s="804" t="s">
        <v>82</v>
      </c>
      <c r="C36" s="864" t="s">
        <v>273</v>
      </c>
      <c r="D36" s="808">
        <v>1197</v>
      </c>
      <c r="E36" s="808">
        <v>1281</v>
      </c>
      <c r="F36" s="808">
        <v>1385</v>
      </c>
      <c r="G36" s="808">
        <v>1374</v>
      </c>
      <c r="H36" s="808">
        <v>1805</v>
      </c>
      <c r="I36" s="808">
        <v>2186</v>
      </c>
      <c r="J36" s="808">
        <v>2547</v>
      </c>
      <c r="K36" s="809">
        <v>2908</v>
      </c>
      <c r="M36" s="796">
        <f>K36/'Poverty_All ages'!AA36</f>
        <v>1.5501066098081024</v>
      </c>
    </row>
    <row r="37" spans="1:13" ht="15.75">
      <c r="A37" s="801" t="s">
        <v>85</v>
      </c>
      <c r="B37" s="804" t="s">
        <v>86</v>
      </c>
      <c r="C37" s="864" t="s">
        <v>272</v>
      </c>
      <c r="D37" s="808">
        <v>6550</v>
      </c>
      <c r="E37" s="808">
        <v>6928</v>
      </c>
      <c r="F37" s="808">
        <v>7163</v>
      </c>
      <c r="G37" s="808">
        <v>8091</v>
      </c>
      <c r="H37" s="808">
        <v>9582</v>
      </c>
      <c r="I37" s="808">
        <v>10818</v>
      </c>
      <c r="J37" s="808">
        <v>11442</v>
      </c>
      <c r="K37" s="809">
        <v>11872</v>
      </c>
      <c r="M37" s="796">
        <f>K37/'Poverty_All ages'!AA37</f>
        <v>1.6555571050062752</v>
      </c>
    </row>
    <row r="38" spans="1:13" ht="15.75">
      <c r="A38" s="801" t="s">
        <v>87</v>
      </c>
      <c r="B38" s="804" t="s">
        <v>88</v>
      </c>
      <c r="C38" s="864" t="s">
        <v>274</v>
      </c>
      <c r="D38" s="808">
        <v>3824</v>
      </c>
      <c r="E38" s="808">
        <v>4185</v>
      </c>
      <c r="F38" s="808">
        <v>4735</v>
      </c>
      <c r="G38" s="808">
        <v>5839</v>
      </c>
      <c r="H38" s="808">
        <v>7765</v>
      </c>
      <c r="I38" s="808">
        <v>9789</v>
      </c>
      <c r="J38" s="808">
        <v>11003</v>
      </c>
      <c r="K38" s="809">
        <v>11617</v>
      </c>
      <c r="M38" s="796">
        <f>K38/'Poverty_All ages'!AA38</f>
        <v>1.6534301167093652</v>
      </c>
    </row>
    <row r="39" spans="1:13" ht="15.75">
      <c r="A39" s="801" t="s">
        <v>93</v>
      </c>
      <c r="B39" s="804" t="s">
        <v>94</v>
      </c>
      <c r="C39" s="864" t="s">
        <v>275</v>
      </c>
      <c r="D39" s="808">
        <v>2334</v>
      </c>
      <c r="E39" s="808">
        <v>2397</v>
      </c>
      <c r="F39" s="808">
        <v>2460</v>
      </c>
      <c r="G39" s="808">
        <v>2619</v>
      </c>
      <c r="H39" s="808">
        <v>2960</v>
      </c>
      <c r="I39" s="808">
        <v>3399</v>
      </c>
      <c r="J39" s="808">
        <v>3645</v>
      </c>
      <c r="K39" s="809">
        <v>3547</v>
      </c>
      <c r="M39" s="796">
        <f>K39/'Poverty_All ages'!AA39</f>
        <v>1.6605805243445693</v>
      </c>
    </row>
    <row r="40" spans="1:13" ht="15.75">
      <c r="A40" s="801" t="s">
        <v>95</v>
      </c>
      <c r="B40" s="804" t="s">
        <v>96</v>
      </c>
      <c r="C40" s="864" t="s">
        <v>271</v>
      </c>
      <c r="D40" s="808">
        <v>3167</v>
      </c>
      <c r="E40" s="808">
        <v>3308</v>
      </c>
      <c r="F40" s="808">
        <v>3482</v>
      </c>
      <c r="G40" s="808">
        <v>3519</v>
      </c>
      <c r="H40" s="808">
        <v>4442</v>
      </c>
      <c r="I40" s="808">
        <v>5594</v>
      </c>
      <c r="J40" s="808">
        <v>6079</v>
      </c>
      <c r="K40" s="809">
        <v>6513</v>
      </c>
      <c r="M40" s="796">
        <f>K40/'Poverty_All ages'!AA40</f>
        <v>1.7503359312012901</v>
      </c>
    </row>
    <row r="41" spans="1:13" ht="15.75">
      <c r="A41" s="801" t="s">
        <v>97</v>
      </c>
      <c r="B41" s="804" t="s">
        <v>98</v>
      </c>
      <c r="C41" s="864" t="s">
        <v>273</v>
      </c>
      <c r="D41" s="808">
        <v>951</v>
      </c>
      <c r="E41" s="808">
        <v>946</v>
      </c>
      <c r="F41" s="808">
        <v>882</v>
      </c>
      <c r="G41" s="808">
        <v>1069</v>
      </c>
      <c r="H41" s="808">
        <v>1359</v>
      </c>
      <c r="I41" s="808">
        <v>1734</v>
      </c>
      <c r="J41" s="808">
        <v>1946</v>
      </c>
      <c r="K41" s="809">
        <v>1931</v>
      </c>
      <c r="M41" s="796">
        <f>K41/'Poverty_All ages'!AA41</f>
        <v>1.1625526791089704</v>
      </c>
    </row>
    <row r="42" spans="1:13" ht="15.75">
      <c r="A42" s="801" t="s">
        <v>99</v>
      </c>
      <c r="B42" s="804" t="s">
        <v>100</v>
      </c>
      <c r="C42" s="864" t="s">
        <v>275</v>
      </c>
      <c r="D42" s="808">
        <v>2860</v>
      </c>
      <c r="E42" s="808">
        <v>3054</v>
      </c>
      <c r="F42" s="808">
        <v>3118</v>
      </c>
      <c r="G42" s="808">
        <v>3173</v>
      </c>
      <c r="H42" s="808">
        <v>3473</v>
      </c>
      <c r="I42" s="808">
        <v>3767</v>
      </c>
      <c r="J42" s="808">
        <v>3953</v>
      </c>
      <c r="K42" s="809">
        <v>4075</v>
      </c>
      <c r="M42" s="796">
        <f>K42/'Poverty_All ages'!AA42</f>
        <v>1.4465743698970537</v>
      </c>
    </row>
    <row r="43" spans="1:13" ht="15.75">
      <c r="A43" s="801" t="s">
        <v>101</v>
      </c>
      <c r="B43" s="804" t="s">
        <v>102</v>
      </c>
      <c r="C43" s="864" t="s">
        <v>274</v>
      </c>
      <c r="D43" s="808">
        <v>1644</v>
      </c>
      <c r="E43" s="808">
        <v>1718</v>
      </c>
      <c r="F43" s="808">
        <v>1673</v>
      </c>
      <c r="G43" s="808">
        <v>1748</v>
      </c>
      <c r="H43" s="808">
        <v>2141</v>
      </c>
      <c r="I43" s="808">
        <v>2648</v>
      </c>
      <c r="J43" s="808">
        <v>2924</v>
      </c>
      <c r="K43" s="809">
        <v>3163</v>
      </c>
      <c r="M43" s="796">
        <f>K43/'Poverty_All ages'!AA43</f>
        <v>1.8682811577082103</v>
      </c>
    </row>
    <row r="44" spans="1:13" ht="15.75">
      <c r="A44" s="801" t="s">
        <v>103</v>
      </c>
      <c r="B44" s="804" t="s">
        <v>290</v>
      </c>
      <c r="C44" s="864" t="s">
        <v>271</v>
      </c>
      <c r="D44" s="808">
        <v>3212</v>
      </c>
      <c r="E44" s="808">
        <v>3626</v>
      </c>
      <c r="F44" s="808">
        <v>3815</v>
      </c>
      <c r="G44" s="808">
        <v>4082</v>
      </c>
      <c r="H44" s="808">
        <v>4638</v>
      </c>
      <c r="I44" s="808">
        <v>5139</v>
      </c>
      <c r="J44" s="808">
        <v>5557</v>
      </c>
      <c r="K44" s="809">
        <v>5787</v>
      </c>
      <c r="M44" s="796">
        <f>K44/'Poverty_All ages'!AA44</f>
        <v>1.7040636042402826</v>
      </c>
    </row>
    <row r="45" spans="1:13" ht="15.75">
      <c r="A45" s="801" t="s">
        <v>105</v>
      </c>
      <c r="B45" s="804" t="s">
        <v>106</v>
      </c>
      <c r="C45" s="864" t="s">
        <v>272</v>
      </c>
      <c r="D45" s="808">
        <v>6445</v>
      </c>
      <c r="E45" s="808">
        <v>6867</v>
      </c>
      <c r="F45" s="808">
        <v>7252</v>
      </c>
      <c r="G45" s="808">
        <v>7474</v>
      </c>
      <c r="H45" s="808">
        <v>8078</v>
      </c>
      <c r="I45" s="808">
        <v>8898</v>
      </c>
      <c r="J45" s="808">
        <v>9324</v>
      </c>
      <c r="K45" s="809">
        <v>9588</v>
      </c>
      <c r="M45" s="796">
        <f>K45/'Poverty_All ages'!AA45</f>
        <v>1.411037527593819</v>
      </c>
    </row>
    <row r="46" spans="1:13" ht="15.75">
      <c r="A46" s="801" t="s">
        <v>109</v>
      </c>
      <c r="B46" s="804" t="s">
        <v>110</v>
      </c>
      <c r="C46" s="864" t="s">
        <v>273</v>
      </c>
      <c r="D46" s="808">
        <v>4065</v>
      </c>
      <c r="E46" s="808">
        <v>4363</v>
      </c>
      <c r="F46" s="808">
        <v>4369</v>
      </c>
      <c r="G46" s="808">
        <v>4871</v>
      </c>
      <c r="H46" s="808">
        <v>5987</v>
      </c>
      <c r="I46" s="808">
        <v>7440</v>
      </c>
      <c r="J46" s="808">
        <v>8354</v>
      </c>
      <c r="K46" s="809">
        <v>8944</v>
      </c>
      <c r="M46" s="796">
        <f>K46/'Poverty_All ages'!AA46</f>
        <v>1.4904182636227294</v>
      </c>
    </row>
    <row r="47" spans="1:13" ht="15.75">
      <c r="A47" s="801" t="s">
        <v>111</v>
      </c>
      <c r="B47" s="804" t="s">
        <v>112</v>
      </c>
      <c r="C47" s="864" t="s">
        <v>273</v>
      </c>
      <c r="D47" s="808">
        <v>21918</v>
      </c>
      <c r="E47" s="808">
        <v>24148</v>
      </c>
      <c r="F47" s="808">
        <v>25085</v>
      </c>
      <c r="G47" s="808">
        <v>25969</v>
      </c>
      <c r="H47" s="808">
        <v>32258</v>
      </c>
      <c r="I47" s="808">
        <v>41200</v>
      </c>
      <c r="J47" s="808">
        <v>46417</v>
      </c>
      <c r="K47" s="809">
        <v>50139</v>
      </c>
      <c r="M47" s="796">
        <f>K47/'Poverty_All ages'!AA47</f>
        <v>1.5137215831899284</v>
      </c>
    </row>
    <row r="48" spans="1:13" ht="15.75">
      <c r="A48" s="801" t="s">
        <v>113</v>
      </c>
      <c r="B48" s="804" t="s">
        <v>310</v>
      </c>
      <c r="C48" s="864" t="s">
        <v>272</v>
      </c>
      <c r="D48" s="808">
        <v>14177</v>
      </c>
      <c r="E48" s="808">
        <v>14929</v>
      </c>
      <c r="F48" s="808">
        <v>15461</v>
      </c>
      <c r="G48" s="808">
        <v>16717</v>
      </c>
      <c r="H48" s="808">
        <v>19301</v>
      </c>
      <c r="I48" s="808">
        <v>21252</v>
      </c>
      <c r="J48" s="808">
        <v>22307</v>
      </c>
      <c r="K48" s="809">
        <v>23603</v>
      </c>
      <c r="M48" s="796">
        <f>K48/'Poverty_All ages'!AA48</f>
        <v>1.6684102636601399</v>
      </c>
    </row>
    <row r="49" spans="1:13" ht="15.75">
      <c r="A49" s="801" t="s">
        <v>115</v>
      </c>
      <c r="B49" s="804" t="s">
        <v>116</v>
      </c>
      <c r="C49" s="864" t="s">
        <v>272</v>
      </c>
      <c r="D49" s="808">
        <v>205</v>
      </c>
      <c r="E49" s="808">
        <v>214</v>
      </c>
      <c r="F49" s="808">
        <v>195</v>
      </c>
      <c r="G49" s="808">
        <v>206</v>
      </c>
      <c r="H49" s="808">
        <v>239</v>
      </c>
      <c r="I49" s="808">
        <v>226</v>
      </c>
      <c r="J49" s="808">
        <v>248</v>
      </c>
      <c r="K49" s="809">
        <v>261</v>
      </c>
      <c r="M49" s="796">
        <f>K49/'Poverty_All ages'!AA49</f>
        <v>0.83653846153846156</v>
      </c>
    </row>
    <row r="50" spans="1:13" ht="15.75">
      <c r="A50" s="801" t="s">
        <v>119</v>
      </c>
      <c r="B50" s="804" t="s">
        <v>277</v>
      </c>
      <c r="C50" s="864" t="s">
        <v>271</v>
      </c>
      <c r="D50" s="808">
        <v>3593</v>
      </c>
      <c r="E50" s="808">
        <v>3643</v>
      </c>
      <c r="F50" s="808">
        <v>3663</v>
      </c>
      <c r="G50" s="808">
        <v>3884</v>
      </c>
      <c r="H50" s="808">
        <v>4484</v>
      </c>
      <c r="I50" s="808">
        <v>5248</v>
      </c>
      <c r="J50" s="808">
        <v>5686</v>
      </c>
      <c r="K50" s="809">
        <v>5938</v>
      </c>
      <c r="M50" s="796">
        <f>K50/'Poverty_All ages'!AA50</f>
        <v>1.5171180378129792</v>
      </c>
    </row>
    <row r="51" spans="1:13" ht="15.75">
      <c r="A51" s="801" t="s">
        <v>121</v>
      </c>
      <c r="B51" s="804" t="s">
        <v>122</v>
      </c>
      <c r="C51" s="864" t="s">
        <v>271</v>
      </c>
      <c r="D51" s="808">
        <v>3331</v>
      </c>
      <c r="E51" s="808">
        <v>3645</v>
      </c>
      <c r="F51" s="808">
        <v>3614</v>
      </c>
      <c r="G51" s="808">
        <v>3762</v>
      </c>
      <c r="H51" s="808">
        <v>4927</v>
      </c>
      <c r="I51" s="808">
        <v>5918</v>
      </c>
      <c r="J51" s="808">
        <v>6615</v>
      </c>
      <c r="K51" s="809">
        <v>7234</v>
      </c>
      <c r="M51" s="796">
        <f>K51/'Poverty_All ages'!AA51</f>
        <v>1.4494089360849529</v>
      </c>
    </row>
    <row r="52" spans="1:13" ht="15.75">
      <c r="A52" s="801" t="s">
        <v>123</v>
      </c>
      <c r="B52" s="804" t="s">
        <v>296</v>
      </c>
      <c r="C52" s="864" t="s">
        <v>273</v>
      </c>
      <c r="D52" s="808">
        <v>1078</v>
      </c>
      <c r="E52" s="808">
        <v>1110</v>
      </c>
      <c r="F52" s="808">
        <v>1125</v>
      </c>
      <c r="G52" s="808">
        <v>1121</v>
      </c>
      <c r="H52" s="808">
        <v>1267</v>
      </c>
      <c r="I52" s="808">
        <v>1484</v>
      </c>
      <c r="J52" s="808">
        <v>1617</v>
      </c>
      <c r="K52" s="809">
        <v>1696</v>
      </c>
      <c r="M52" s="796">
        <f>K52/'Poverty_All ages'!AA52</f>
        <v>1.8454842219804135</v>
      </c>
    </row>
    <row r="53" spans="1:13" ht="15.75">
      <c r="A53" s="801" t="s">
        <v>125</v>
      </c>
      <c r="B53" s="804" t="s">
        <v>126</v>
      </c>
      <c r="C53" s="864" t="s">
        <v>274</v>
      </c>
      <c r="D53" s="808">
        <v>1828</v>
      </c>
      <c r="E53" s="808">
        <v>1830</v>
      </c>
      <c r="F53" s="808">
        <v>1926</v>
      </c>
      <c r="G53" s="808">
        <v>2242</v>
      </c>
      <c r="H53" s="808">
        <v>2832</v>
      </c>
      <c r="I53" s="808">
        <v>3315</v>
      </c>
      <c r="J53" s="808">
        <v>3822</v>
      </c>
      <c r="K53" s="809">
        <v>4260</v>
      </c>
      <c r="M53" s="796">
        <f>K53/'Poverty_All ages'!AA53</f>
        <v>2.5896656534954405</v>
      </c>
    </row>
    <row r="54" spans="1:13" ht="15.75">
      <c r="A54" s="801" t="s">
        <v>127</v>
      </c>
      <c r="B54" s="804" t="s">
        <v>128</v>
      </c>
      <c r="C54" s="864" t="s">
        <v>273</v>
      </c>
      <c r="D54" s="808">
        <v>1259</v>
      </c>
      <c r="E54" s="808">
        <v>1362</v>
      </c>
      <c r="F54" s="808">
        <v>1392</v>
      </c>
      <c r="G54" s="808">
        <v>1457</v>
      </c>
      <c r="H54" s="808">
        <v>1795</v>
      </c>
      <c r="I54" s="808">
        <v>2337</v>
      </c>
      <c r="J54" s="808">
        <v>2603</v>
      </c>
      <c r="K54" s="809">
        <v>2831</v>
      </c>
      <c r="M54" s="796">
        <f>K54/'Poverty_All ages'!AA54</f>
        <v>2.0410958904109591</v>
      </c>
    </row>
    <row r="55" spans="1:13" ht="15.75">
      <c r="A55" s="801" t="s">
        <v>129</v>
      </c>
      <c r="B55" s="804" t="s">
        <v>130</v>
      </c>
      <c r="C55" s="864" t="s">
        <v>273</v>
      </c>
      <c r="D55" s="808">
        <v>1757</v>
      </c>
      <c r="E55" s="808">
        <v>1835</v>
      </c>
      <c r="F55" s="808">
        <v>1717</v>
      </c>
      <c r="G55" s="808">
        <v>1682</v>
      </c>
      <c r="H55" s="808">
        <v>1887</v>
      </c>
      <c r="I55" s="808">
        <v>2164</v>
      </c>
      <c r="J55" s="808">
        <v>2306</v>
      </c>
      <c r="K55" s="809">
        <v>2430</v>
      </c>
      <c r="M55" s="796">
        <f>K55/'Poverty_All ages'!AA55</f>
        <v>1.3957495692130959</v>
      </c>
    </row>
    <row r="56" spans="1:13" ht="15.75">
      <c r="A56" s="801" t="s">
        <v>131</v>
      </c>
      <c r="B56" s="804" t="s">
        <v>132</v>
      </c>
      <c r="C56" s="864" t="s">
        <v>275</v>
      </c>
      <c r="D56" s="808">
        <v>6577</v>
      </c>
      <c r="E56" s="808">
        <v>6638</v>
      </c>
      <c r="F56" s="808">
        <v>6627</v>
      </c>
      <c r="G56" s="808">
        <v>6715</v>
      </c>
      <c r="H56" s="808">
        <v>7032</v>
      </c>
      <c r="I56" s="808">
        <v>7489</v>
      </c>
      <c r="J56" s="808">
        <v>7843</v>
      </c>
      <c r="K56" s="809">
        <v>8103</v>
      </c>
      <c r="M56" s="796">
        <f>K56/'Poverty_All ages'!AA56</f>
        <v>1.2555004648280137</v>
      </c>
    </row>
    <row r="57" spans="1:13" ht="15.75">
      <c r="A57" s="801" t="s">
        <v>133</v>
      </c>
      <c r="B57" s="804" t="s">
        <v>134</v>
      </c>
      <c r="C57" s="864" t="s">
        <v>274</v>
      </c>
      <c r="D57" s="808">
        <v>5415</v>
      </c>
      <c r="E57" s="808">
        <v>5994</v>
      </c>
      <c r="F57" s="808">
        <v>6245</v>
      </c>
      <c r="G57" s="808">
        <v>6936</v>
      </c>
      <c r="H57" s="808">
        <v>9270</v>
      </c>
      <c r="I57" s="808">
        <v>12053</v>
      </c>
      <c r="J57" s="808">
        <v>14047</v>
      </c>
      <c r="K57" s="809">
        <v>15347</v>
      </c>
      <c r="M57" s="796">
        <f>K57/'Poverty_All ages'!AA57</f>
        <v>1.1809018159433673</v>
      </c>
    </row>
    <row r="58" spans="1:13" ht="15.75">
      <c r="A58" s="801" t="s">
        <v>135</v>
      </c>
      <c r="B58" s="804" t="s">
        <v>136</v>
      </c>
      <c r="C58" s="864" t="s">
        <v>274</v>
      </c>
      <c r="D58" s="808">
        <v>3067</v>
      </c>
      <c r="E58" s="808">
        <v>3288</v>
      </c>
      <c r="F58" s="808">
        <v>3284</v>
      </c>
      <c r="G58" s="808">
        <v>3448</v>
      </c>
      <c r="H58" s="808">
        <v>4394</v>
      </c>
      <c r="I58" s="808">
        <v>5443</v>
      </c>
      <c r="J58" s="808">
        <v>6130</v>
      </c>
      <c r="K58" s="809">
        <v>6446</v>
      </c>
      <c r="M58" s="796">
        <f>K58/'Poverty_All ages'!AA58</f>
        <v>1.7920489296636086</v>
      </c>
    </row>
    <row r="59" spans="1:13" ht="15.75">
      <c r="A59" s="801" t="s">
        <v>137</v>
      </c>
      <c r="B59" s="804" t="s">
        <v>138</v>
      </c>
      <c r="C59" s="864" t="s">
        <v>273</v>
      </c>
      <c r="D59" s="808">
        <v>2340</v>
      </c>
      <c r="E59" s="808">
        <v>2500</v>
      </c>
      <c r="F59" s="808">
        <v>2477</v>
      </c>
      <c r="G59" s="808">
        <v>2636</v>
      </c>
      <c r="H59" s="808">
        <v>2906</v>
      </c>
      <c r="I59" s="808">
        <v>3282</v>
      </c>
      <c r="J59" s="808">
        <v>3460</v>
      </c>
      <c r="K59" s="809">
        <v>3575</v>
      </c>
      <c r="M59" s="796">
        <f>K59/'Poverty_All ages'!AA59</f>
        <v>1.3562215477996966</v>
      </c>
    </row>
    <row r="60" spans="1:13" ht="15.75">
      <c r="A60" s="801" t="s">
        <v>141</v>
      </c>
      <c r="B60" s="804" t="s">
        <v>142</v>
      </c>
      <c r="C60" s="864" t="s">
        <v>274</v>
      </c>
      <c r="D60" s="808">
        <v>1043</v>
      </c>
      <c r="E60" s="808">
        <v>1023</v>
      </c>
      <c r="F60" s="808">
        <v>1067</v>
      </c>
      <c r="G60" s="808">
        <v>1191</v>
      </c>
      <c r="H60" s="808">
        <v>1572</v>
      </c>
      <c r="I60" s="808">
        <v>1991</v>
      </c>
      <c r="J60" s="808">
        <v>2203</v>
      </c>
      <c r="K60" s="809">
        <v>2360</v>
      </c>
      <c r="M60" s="796">
        <f>K60/'Poverty_All ages'!AA60</f>
        <v>1.5235635894125241</v>
      </c>
    </row>
    <row r="61" spans="1:13" ht="15.75">
      <c r="A61" s="801" t="s">
        <v>147</v>
      </c>
      <c r="B61" s="804" t="s">
        <v>148</v>
      </c>
      <c r="C61" s="864" t="s">
        <v>271</v>
      </c>
      <c r="D61" s="808">
        <v>839</v>
      </c>
      <c r="E61" s="808">
        <v>889</v>
      </c>
      <c r="F61" s="808">
        <v>881</v>
      </c>
      <c r="G61" s="808">
        <v>918</v>
      </c>
      <c r="H61" s="808">
        <v>1057</v>
      </c>
      <c r="I61" s="808">
        <v>1286</v>
      </c>
      <c r="J61" s="808">
        <v>1413</v>
      </c>
      <c r="K61" s="809">
        <v>1458</v>
      </c>
      <c r="M61" s="796">
        <f>K61/'Poverty_All ages'!AA61</f>
        <v>1.6418918918918919</v>
      </c>
    </row>
    <row r="62" spans="1:13" ht="15.75">
      <c r="A62" s="801" t="s">
        <v>149</v>
      </c>
      <c r="B62" s="804" t="s">
        <v>150</v>
      </c>
      <c r="C62" s="864" t="s">
        <v>272</v>
      </c>
      <c r="D62" s="808">
        <v>4961</v>
      </c>
      <c r="E62" s="808">
        <v>5123</v>
      </c>
      <c r="F62" s="808">
        <v>5061</v>
      </c>
      <c r="G62" s="808">
        <v>5189</v>
      </c>
      <c r="H62" s="808">
        <v>5792</v>
      </c>
      <c r="I62" s="808">
        <v>6849</v>
      </c>
      <c r="J62" s="808">
        <v>7227</v>
      </c>
      <c r="K62" s="809">
        <v>7611</v>
      </c>
      <c r="M62" s="796">
        <f>K62/'Poverty_All ages'!AA62</f>
        <v>1.2965928449744464</v>
      </c>
    </row>
    <row r="63" spans="1:13" ht="15.75">
      <c r="A63" s="801" t="s">
        <v>151</v>
      </c>
      <c r="B63" s="804" t="s">
        <v>152</v>
      </c>
      <c r="C63" s="864" t="s">
        <v>273</v>
      </c>
      <c r="D63" s="808">
        <v>1263</v>
      </c>
      <c r="E63" s="808">
        <v>1345</v>
      </c>
      <c r="F63" s="808">
        <v>1301</v>
      </c>
      <c r="G63" s="808">
        <v>1324</v>
      </c>
      <c r="H63" s="808">
        <v>1549</v>
      </c>
      <c r="I63" s="808">
        <v>1867</v>
      </c>
      <c r="J63" s="808">
        <v>2041</v>
      </c>
      <c r="K63" s="809">
        <v>2294</v>
      </c>
      <c r="M63" s="796">
        <f>K63/'Poverty_All ages'!AA63</f>
        <v>1.7081161578555473</v>
      </c>
    </row>
    <row r="64" spans="1:13" ht="15.75">
      <c r="A64" s="801" t="s">
        <v>153</v>
      </c>
      <c r="B64" s="804" t="s">
        <v>154</v>
      </c>
      <c r="C64" s="864" t="s">
        <v>275</v>
      </c>
      <c r="D64" s="808">
        <v>7069</v>
      </c>
      <c r="E64" s="808">
        <v>7516</v>
      </c>
      <c r="F64" s="808">
        <v>7813</v>
      </c>
      <c r="G64" s="808">
        <v>8317</v>
      </c>
      <c r="H64" s="808">
        <v>9107</v>
      </c>
      <c r="I64" s="808">
        <v>10238</v>
      </c>
      <c r="J64" s="808">
        <v>10993</v>
      </c>
      <c r="K64" s="809">
        <v>11445</v>
      </c>
      <c r="M64" s="796">
        <f>K64/'Poverty_All ages'!AA64</f>
        <v>0.59705774949136625</v>
      </c>
    </row>
    <row r="65" spans="1:13" ht="15.75">
      <c r="A65" s="801" t="s">
        <v>155</v>
      </c>
      <c r="B65" s="804" t="s">
        <v>156</v>
      </c>
      <c r="C65" s="864" t="s">
        <v>272</v>
      </c>
      <c r="D65" s="808">
        <v>1493</v>
      </c>
      <c r="E65" s="808">
        <v>1609</v>
      </c>
      <c r="F65" s="808">
        <v>1895</v>
      </c>
      <c r="G65" s="808">
        <v>2047</v>
      </c>
      <c r="H65" s="808">
        <v>2516</v>
      </c>
      <c r="I65" s="808">
        <v>2912</v>
      </c>
      <c r="J65" s="808">
        <v>3081</v>
      </c>
      <c r="K65" s="809">
        <v>3318</v>
      </c>
      <c r="M65" s="796">
        <f>K65/'Poverty_All ages'!AA65</f>
        <v>1.6296660117878192</v>
      </c>
    </row>
    <row r="66" spans="1:13" ht="15.75">
      <c r="A66" s="801" t="s">
        <v>157</v>
      </c>
      <c r="B66" s="804" t="s">
        <v>158</v>
      </c>
      <c r="C66" s="864" t="s">
        <v>273</v>
      </c>
      <c r="D66" s="808">
        <v>791</v>
      </c>
      <c r="E66" s="808">
        <v>819</v>
      </c>
      <c r="F66" s="808">
        <v>772</v>
      </c>
      <c r="G66" s="808">
        <v>898</v>
      </c>
      <c r="H66" s="808">
        <v>1097</v>
      </c>
      <c r="I66" s="808">
        <v>1427</v>
      </c>
      <c r="J66" s="808">
        <v>1722</v>
      </c>
      <c r="K66" s="809">
        <v>1933</v>
      </c>
      <c r="M66" s="796">
        <f>K66/'Poverty_All ages'!AA66</f>
        <v>1.537788385043755</v>
      </c>
    </row>
    <row r="67" spans="1:13" ht="15.75">
      <c r="A67" s="801" t="s">
        <v>163</v>
      </c>
      <c r="B67" s="804" t="s">
        <v>164</v>
      </c>
      <c r="C67" s="864" t="s">
        <v>271</v>
      </c>
      <c r="D67" s="808">
        <v>2991</v>
      </c>
      <c r="E67" s="808">
        <v>3211</v>
      </c>
      <c r="F67" s="808">
        <v>3193</v>
      </c>
      <c r="G67" s="808">
        <v>3131</v>
      </c>
      <c r="H67" s="808">
        <v>3392</v>
      </c>
      <c r="I67" s="808">
        <v>3682</v>
      </c>
      <c r="J67" s="808">
        <v>4028</v>
      </c>
      <c r="K67" s="809">
        <v>4062</v>
      </c>
      <c r="M67" s="796">
        <f>K67/'Poverty_All ages'!AA67</f>
        <v>1.4803206997084548</v>
      </c>
    </row>
    <row r="68" spans="1:13" ht="15.75">
      <c r="A68" s="801" t="s">
        <v>165</v>
      </c>
      <c r="B68" s="804" t="s">
        <v>166</v>
      </c>
      <c r="C68" s="864" t="s">
        <v>273</v>
      </c>
      <c r="D68" s="808">
        <v>1609</v>
      </c>
      <c r="E68" s="808">
        <v>1582</v>
      </c>
      <c r="F68" s="808">
        <v>1580</v>
      </c>
      <c r="G68" s="808">
        <v>1609</v>
      </c>
      <c r="H68" s="808">
        <v>1759</v>
      </c>
      <c r="I68" s="808">
        <v>2043</v>
      </c>
      <c r="J68" s="808">
        <v>2243</v>
      </c>
      <c r="K68" s="809">
        <v>2371</v>
      </c>
      <c r="M68" s="796">
        <f>K68/'Poverty_All ages'!AA68</f>
        <v>1.3792902850494473</v>
      </c>
    </row>
    <row r="69" spans="1:13" ht="15.75">
      <c r="A69" s="801" t="s">
        <v>169</v>
      </c>
      <c r="B69" s="804" t="s">
        <v>170</v>
      </c>
      <c r="C69" s="864" t="s">
        <v>273</v>
      </c>
      <c r="D69" s="808">
        <v>2913</v>
      </c>
      <c r="E69" s="808">
        <v>3042</v>
      </c>
      <c r="F69" s="808">
        <v>3026</v>
      </c>
      <c r="G69" s="808">
        <v>3238</v>
      </c>
      <c r="H69" s="808">
        <v>3771</v>
      </c>
      <c r="I69" s="808">
        <v>4257</v>
      </c>
      <c r="J69" s="808">
        <v>4696</v>
      </c>
      <c r="K69" s="809">
        <v>5003</v>
      </c>
      <c r="M69" s="796">
        <f>K69/'Poverty_All ages'!AA69</f>
        <v>1.6217179902755268</v>
      </c>
    </row>
    <row r="70" spans="1:13" ht="15.75">
      <c r="A70" s="801" t="s">
        <v>171</v>
      </c>
      <c r="B70" s="804" t="s">
        <v>172</v>
      </c>
      <c r="C70" s="864" t="s">
        <v>274</v>
      </c>
      <c r="D70" s="808">
        <v>2459</v>
      </c>
      <c r="E70" s="808">
        <v>2480</v>
      </c>
      <c r="F70" s="808">
        <v>2549</v>
      </c>
      <c r="G70" s="808">
        <v>2966</v>
      </c>
      <c r="H70" s="808">
        <v>3782</v>
      </c>
      <c r="I70" s="808">
        <v>4512</v>
      </c>
      <c r="J70" s="808">
        <v>4983</v>
      </c>
      <c r="K70" s="809">
        <v>5279</v>
      </c>
      <c r="M70" s="796">
        <f>K70/'Poverty_All ages'!AA70</f>
        <v>1.3364556962025316</v>
      </c>
    </row>
    <row r="71" spans="1:13" ht="15.75">
      <c r="A71" s="801" t="s">
        <v>173</v>
      </c>
      <c r="B71" s="804" t="s">
        <v>174</v>
      </c>
      <c r="C71" s="864" t="s">
        <v>274</v>
      </c>
      <c r="D71" s="808">
        <v>2891</v>
      </c>
      <c r="E71" s="808">
        <v>3166</v>
      </c>
      <c r="F71" s="808">
        <v>3418</v>
      </c>
      <c r="G71" s="808">
        <v>3698</v>
      </c>
      <c r="H71" s="808">
        <v>4426</v>
      </c>
      <c r="I71" s="808">
        <v>5111</v>
      </c>
      <c r="J71" s="808">
        <v>5336</v>
      </c>
      <c r="K71" s="809">
        <v>5652</v>
      </c>
      <c r="M71" s="796">
        <f>K71/'Poverty_All ages'!AA71</f>
        <v>1.3938347718865598</v>
      </c>
    </row>
    <row r="72" spans="1:13" ht="15.75">
      <c r="A72" s="801" t="s">
        <v>175</v>
      </c>
      <c r="B72" s="804" t="s">
        <v>176</v>
      </c>
      <c r="C72" s="864" t="s">
        <v>275</v>
      </c>
      <c r="D72" s="808">
        <v>3537</v>
      </c>
      <c r="E72" s="808">
        <v>3620</v>
      </c>
      <c r="F72" s="808">
        <v>3705</v>
      </c>
      <c r="G72" s="808">
        <v>3966</v>
      </c>
      <c r="H72" s="808">
        <v>4407</v>
      </c>
      <c r="I72" s="808">
        <v>4742</v>
      </c>
      <c r="J72" s="808">
        <v>4999</v>
      </c>
      <c r="K72" s="809">
        <v>5094</v>
      </c>
      <c r="M72" s="796">
        <f>K72/'Poverty_All ages'!AA72</f>
        <v>1.5625766871165645</v>
      </c>
    </row>
    <row r="73" spans="1:13" ht="15.75">
      <c r="A73" s="801" t="s">
        <v>179</v>
      </c>
      <c r="B73" s="804" t="s">
        <v>180</v>
      </c>
      <c r="C73" s="864" t="s">
        <v>272</v>
      </c>
      <c r="D73" s="808">
        <v>8896</v>
      </c>
      <c r="E73" s="808">
        <v>9645</v>
      </c>
      <c r="F73" s="808">
        <v>10085</v>
      </c>
      <c r="G73" s="808">
        <v>10607</v>
      </c>
      <c r="H73" s="808">
        <v>11901</v>
      </c>
      <c r="I73" s="808">
        <v>13191</v>
      </c>
      <c r="J73" s="808">
        <v>13999</v>
      </c>
      <c r="K73" s="809">
        <v>14316</v>
      </c>
      <c r="M73" s="796">
        <f>K73/'Poverty_All ages'!AA73</f>
        <v>1.5709426094590146</v>
      </c>
    </row>
    <row r="74" spans="1:13" ht="15.75">
      <c r="A74" s="801" t="s">
        <v>183</v>
      </c>
      <c r="B74" s="804" t="s">
        <v>184</v>
      </c>
      <c r="C74" s="864" t="s">
        <v>273</v>
      </c>
      <c r="D74" s="808">
        <v>903</v>
      </c>
      <c r="E74" s="808">
        <v>932</v>
      </c>
      <c r="F74" s="808">
        <v>1049</v>
      </c>
      <c r="G74" s="808">
        <v>1120</v>
      </c>
      <c r="H74" s="808">
        <v>1409</v>
      </c>
      <c r="I74" s="808">
        <v>1829</v>
      </c>
      <c r="J74" s="808">
        <v>2061</v>
      </c>
      <c r="K74" s="809">
        <v>2295</v>
      </c>
      <c r="M74" s="796">
        <f>K74/'Poverty_All ages'!AA74</f>
        <v>1.2117212249208025</v>
      </c>
    </row>
    <row r="75" spans="1:13" ht="15.75">
      <c r="A75" s="801" t="s">
        <v>185</v>
      </c>
      <c r="B75" s="804" t="s">
        <v>186</v>
      </c>
      <c r="C75" s="864" t="s">
        <v>273</v>
      </c>
      <c r="D75" s="808">
        <v>3363</v>
      </c>
      <c r="E75" s="808">
        <v>3633</v>
      </c>
      <c r="F75" s="808">
        <v>3631</v>
      </c>
      <c r="G75" s="808">
        <v>3814</v>
      </c>
      <c r="H75" s="808">
        <v>4162</v>
      </c>
      <c r="I75" s="808">
        <v>4684</v>
      </c>
      <c r="J75" s="808">
        <v>5034</v>
      </c>
      <c r="K75" s="809">
        <v>5286</v>
      </c>
      <c r="M75" s="796">
        <f>K75/'Poverty_All ages'!AA75</f>
        <v>1.1133108677337826</v>
      </c>
    </row>
    <row r="76" spans="1:13" ht="15.75">
      <c r="A76" s="801" t="s">
        <v>187</v>
      </c>
      <c r="B76" s="804" t="s">
        <v>188</v>
      </c>
      <c r="C76" s="864" t="s">
        <v>271</v>
      </c>
      <c r="D76" s="808">
        <v>2279</v>
      </c>
      <c r="E76" s="808">
        <v>2452</v>
      </c>
      <c r="F76" s="808">
        <v>2648</v>
      </c>
      <c r="G76" s="808">
        <v>2805</v>
      </c>
      <c r="H76" s="808">
        <v>3044</v>
      </c>
      <c r="I76" s="808">
        <v>3637</v>
      </c>
      <c r="J76" s="808">
        <v>4023</v>
      </c>
      <c r="K76" s="809">
        <v>4340</v>
      </c>
      <c r="M76" s="796">
        <f>K76/'Poverty_All ages'!AA76</f>
        <v>1.2749706227967097</v>
      </c>
    </row>
    <row r="77" spans="1:13" ht="15.75">
      <c r="A77" s="801" t="s">
        <v>189</v>
      </c>
      <c r="B77" s="804" t="s">
        <v>190</v>
      </c>
      <c r="C77" s="864" t="s">
        <v>274</v>
      </c>
      <c r="D77" s="808">
        <v>18234</v>
      </c>
      <c r="E77" s="808">
        <v>20079</v>
      </c>
      <c r="F77" s="808">
        <v>21242</v>
      </c>
      <c r="G77" s="808">
        <v>23240</v>
      </c>
      <c r="H77" s="808">
        <v>29717</v>
      </c>
      <c r="I77" s="808">
        <v>37357</v>
      </c>
      <c r="J77" s="808">
        <v>42476</v>
      </c>
      <c r="K77" s="809">
        <v>46592</v>
      </c>
      <c r="M77" s="796">
        <f>K77/'Poverty_All ages'!AA77</f>
        <v>1.6268724466636404</v>
      </c>
    </row>
    <row r="78" spans="1:13" ht="15.75">
      <c r="A78" s="801" t="s">
        <v>191</v>
      </c>
      <c r="B78" s="804" t="s">
        <v>192</v>
      </c>
      <c r="C78" s="864" t="s">
        <v>275</v>
      </c>
      <c r="D78" s="808">
        <v>5607</v>
      </c>
      <c r="E78" s="808">
        <v>5931</v>
      </c>
      <c r="F78" s="808">
        <v>6074</v>
      </c>
      <c r="G78" s="808">
        <v>6296</v>
      </c>
      <c r="H78" s="808">
        <v>7096</v>
      </c>
      <c r="I78" s="808">
        <v>8075</v>
      </c>
      <c r="J78" s="808">
        <v>8499</v>
      </c>
      <c r="K78" s="809">
        <v>8385</v>
      </c>
      <c r="M78" s="796">
        <f>K78/'Poverty_All ages'!AA78</f>
        <v>1.515452738116754</v>
      </c>
    </row>
    <row r="79" spans="1:13" ht="15.75">
      <c r="A79" s="801" t="s">
        <v>195</v>
      </c>
      <c r="B79" s="804" t="s">
        <v>196</v>
      </c>
      <c r="C79" s="864" t="s">
        <v>274</v>
      </c>
      <c r="D79" s="808">
        <v>288</v>
      </c>
      <c r="E79" s="808">
        <v>339</v>
      </c>
      <c r="F79" s="808">
        <v>355</v>
      </c>
      <c r="G79" s="808">
        <v>407</v>
      </c>
      <c r="H79" s="808">
        <v>583</v>
      </c>
      <c r="I79" s="808">
        <v>706</v>
      </c>
      <c r="J79" s="808">
        <v>793</v>
      </c>
      <c r="K79" s="809">
        <v>894</v>
      </c>
      <c r="M79" s="796">
        <f>K79/'Poverty_All ages'!AA79</f>
        <v>1.2048517520215634</v>
      </c>
    </row>
    <row r="80" spans="1:13" ht="15.75">
      <c r="A80" s="801" t="s">
        <v>199</v>
      </c>
      <c r="B80" s="804" t="s">
        <v>279</v>
      </c>
      <c r="C80" s="864" t="s">
        <v>273</v>
      </c>
      <c r="D80" s="808">
        <v>1300</v>
      </c>
      <c r="E80" s="808">
        <v>1399</v>
      </c>
      <c r="F80" s="808">
        <v>1351</v>
      </c>
      <c r="G80" s="808">
        <v>1395</v>
      </c>
      <c r="H80" s="808">
        <v>1642</v>
      </c>
      <c r="I80" s="808">
        <v>1911</v>
      </c>
      <c r="J80" s="808">
        <v>2044</v>
      </c>
      <c r="K80" s="809">
        <v>2144</v>
      </c>
      <c r="M80" s="796">
        <f>K80/'Poverty_All ages'!AA80</f>
        <v>1.4198675496688742</v>
      </c>
    </row>
    <row r="81" spans="1:13" ht="15.75">
      <c r="A81" s="801" t="s">
        <v>203</v>
      </c>
      <c r="B81" s="804" t="s">
        <v>311</v>
      </c>
      <c r="C81" s="864" t="s">
        <v>272</v>
      </c>
      <c r="D81" s="808">
        <v>6822</v>
      </c>
      <c r="E81" s="808">
        <v>7586</v>
      </c>
      <c r="F81" s="808">
        <v>7840</v>
      </c>
      <c r="G81" s="808">
        <v>7974</v>
      </c>
      <c r="H81" s="808">
        <v>9054</v>
      </c>
      <c r="I81" s="808">
        <v>11141</v>
      </c>
      <c r="J81" s="808">
        <v>12248</v>
      </c>
      <c r="K81" s="809">
        <v>12726</v>
      </c>
      <c r="M81" s="796">
        <f>K81/'Poverty_All ages'!AA81</f>
        <v>1.2917174177831912</v>
      </c>
    </row>
    <row r="82" spans="1:13" ht="15.75">
      <c r="A82" s="801" t="s">
        <v>205</v>
      </c>
      <c r="B82" s="804" t="s">
        <v>303</v>
      </c>
      <c r="C82" s="864" t="s">
        <v>272</v>
      </c>
      <c r="D82" s="808">
        <v>3053</v>
      </c>
      <c r="E82" s="808">
        <v>3199</v>
      </c>
      <c r="F82" s="808">
        <v>3305</v>
      </c>
      <c r="G82" s="808">
        <v>3568</v>
      </c>
      <c r="H82" s="808">
        <v>4480</v>
      </c>
      <c r="I82" s="808">
        <v>5243</v>
      </c>
      <c r="J82" s="808">
        <v>5698</v>
      </c>
      <c r="K82" s="809">
        <v>5967</v>
      </c>
      <c r="M82" s="796">
        <f>K82/'Poverty_All ages'!AA82</f>
        <v>1.2418314255983351</v>
      </c>
    </row>
    <row r="83" spans="1:13" ht="15.75">
      <c r="A83" s="801" t="s">
        <v>207</v>
      </c>
      <c r="B83" s="804" t="s">
        <v>304</v>
      </c>
      <c r="C83" s="864" t="s">
        <v>274</v>
      </c>
      <c r="D83" s="808">
        <v>10200</v>
      </c>
      <c r="E83" s="808">
        <v>10962</v>
      </c>
      <c r="F83" s="808">
        <v>11116</v>
      </c>
      <c r="G83" s="808">
        <v>11547</v>
      </c>
      <c r="H83" s="808">
        <v>13416</v>
      </c>
      <c r="I83" s="808">
        <v>16264</v>
      </c>
      <c r="J83" s="808">
        <v>18232</v>
      </c>
      <c r="K83" s="809">
        <v>19012</v>
      </c>
      <c r="M83" s="796">
        <f>K83/'Poverty_All ages'!AA83</f>
        <v>1.0178820002141558</v>
      </c>
    </row>
    <row r="84" spans="1:13" ht="15.75">
      <c r="A84" s="801" t="s">
        <v>209</v>
      </c>
      <c r="B84" s="804" t="s">
        <v>210</v>
      </c>
      <c r="C84" s="864" t="s">
        <v>275</v>
      </c>
      <c r="D84" s="808">
        <v>6442</v>
      </c>
      <c r="E84" s="808">
        <v>6448</v>
      </c>
      <c r="F84" s="808">
        <v>6597</v>
      </c>
      <c r="G84" s="808">
        <v>6759</v>
      </c>
      <c r="H84" s="808">
        <v>7059</v>
      </c>
      <c r="I84" s="808">
        <v>7694</v>
      </c>
      <c r="J84" s="808">
        <v>7896</v>
      </c>
      <c r="K84" s="809">
        <v>7958</v>
      </c>
      <c r="M84" s="796">
        <f>K84/'Poverty_All ages'!AA84</f>
        <v>1.1870525059665871</v>
      </c>
    </row>
    <row r="85" spans="1:13" ht="15.75">
      <c r="A85" s="801" t="s">
        <v>211</v>
      </c>
      <c r="B85" s="804" t="s">
        <v>212</v>
      </c>
      <c r="C85" s="864" t="s">
        <v>275</v>
      </c>
      <c r="D85" s="808">
        <v>3591</v>
      </c>
      <c r="E85" s="808">
        <v>3779</v>
      </c>
      <c r="F85" s="808">
        <v>3886</v>
      </c>
      <c r="G85" s="808">
        <v>3856</v>
      </c>
      <c r="H85" s="808">
        <v>4327</v>
      </c>
      <c r="I85" s="808">
        <v>4929</v>
      </c>
      <c r="J85" s="808">
        <v>5312</v>
      </c>
      <c r="K85" s="809">
        <v>5580</v>
      </c>
      <c r="M85" s="796">
        <f>K85/'Poverty_All ages'!AA85</f>
        <v>1.3307894109229668</v>
      </c>
    </row>
    <row r="86" spans="1:13" ht="15.75">
      <c r="A86" s="801" t="s">
        <v>213</v>
      </c>
      <c r="B86" s="804" t="s">
        <v>214</v>
      </c>
      <c r="C86" s="864" t="s">
        <v>274</v>
      </c>
      <c r="D86" s="808">
        <v>3450</v>
      </c>
      <c r="E86" s="808">
        <v>3711</v>
      </c>
      <c r="F86" s="808">
        <v>3919</v>
      </c>
      <c r="G86" s="808">
        <v>4544</v>
      </c>
      <c r="H86" s="808">
        <v>5894</v>
      </c>
      <c r="I86" s="808">
        <v>7133</v>
      </c>
      <c r="J86" s="808">
        <v>7536</v>
      </c>
      <c r="K86" s="809">
        <v>8240</v>
      </c>
      <c r="M86" s="796">
        <f>K86/'Poverty_All ages'!AA86</f>
        <v>1.4661921708185053</v>
      </c>
    </row>
    <row r="87" spans="1:13" ht="15.75">
      <c r="A87" s="801" t="s">
        <v>215</v>
      </c>
      <c r="B87" s="804" t="s">
        <v>216</v>
      </c>
      <c r="C87" s="864" t="s">
        <v>275</v>
      </c>
      <c r="D87" s="808">
        <v>5860</v>
      </c>
      <c r="E87" s="808">
        <v>6278</v>
      </c>
      <c r="F87" s="808">
        <v>6640</v>
      </c>
      <c r="G87" s="808">
        <v>7005</v>
      </c>
      <c r="H87" s="808">
        <v>7745</v>
      </c>
      <c r="I87" s="808">
        <v>8433</v>
      </c>
      <c r="J87" s="808">
        <v>8932</v>
      </c>
      <c r="K87" s="809">
        <v>9201</v>
      </c>
      <c r="M87" s="796">
        <f>K87/'Poverty_All ages'!AA87</f>
        <v>1.5120788824979459</v>
      </c>
    </row>
    <row r="88" spans="1:13" ht="15.75">
      <c r="A88" s="801" t="s">
        <v>217</v>
      </c>
      <c r="B88" s="804" t="s">
        <v>218</v>
      </c>
      <c r="C88" s="864" t="s">
        <v>271</v>
      </c>
      <c r="D88" s="808">
        <v>2811</v>
      </c>
      <c r="E88" s="808">
        <v>3041</v>
      </c>
      <c r="F88" s="808">
        <v>3172</v>
      </c>
      <c r="G88" s="808">
        <v>3318</v>
      </c>
      <c r="H88" s="808">
        <v>3549</v>
      </c>
      <c r="I88" s="808">
        <v>3784</v>
      </c>
      <c r="J88" s="808">
        <v>3972</v>
      </c>
      <c r="K88" s="809">
        <v>4294</v>
      </c>
      <c r="M88" s="796">
        <f>K88/'Poverty_All ages'!AA88</f>
        <v>1.5927299703264095</v>
      </c>
    </row>
    <row r="89" spans="1:13" ht="15.75">
      <c r="A89" s="801" t="s">
        <v>219</v>
      </c>
      <c r="B89" s="804" t="s">
        <v>220</v>
      </c>
      <c r="C89" s="864" t="s">
        <v>274</v>
      </c>
      <c r="D89" s="808">
        <v>6868</v>
      </c>
      <c r="E89" s="808">
        <v>7494</v>
      </c>
      <c r="F89" s="808">
        <v>8348</v>
      </c>
      <c r="G89" s="808">
        <v>9931</v>
      </c>
      <c r="H89" s="808">
        <v>12903</v>
      </c>
      <c r="I89" s="808">
        <v>15463</v>
      </c>
      <c r="J89" s="808">
        <v>17402</v>
      </c>
      <c r="K89" s="809">
        <v>18439</v>
      </c>
      <c r="M89" s="796">
        <f>K89/'Poverty_All ages'!AA89</f>
        <v>1.9708208636169302</v>
      </c>
    </row>
    <row r="90" spans="1:13" ht="15.75">
      <c r="A90" s="801" t="s">
        <v>221</v>
      </c>
      <c r="B90" s="804" t="s">
        <v>222</v>
      </c>
      <c r="C90" s="864" t="s">
        <v>274</v>
      </c>
      <c r="D90" s="808">
        <v>6097</v>
      </c>
      <c r="E90" s="808">
        <v>6771</v>
      </c>
      <c r="F90" s="808">
        <v>7609</v>
      </c>
      <c r="G90" s="808">
        <v>8638</v>
      </c>
      <c r="H90" s="808">
        <v>10376</v>
      </c>
      <c r="I90" s="808">
        <v>12571</v>
      </c>
      <c r="J90" s="808">
        <v>13923</v>
      </c>
      <c r="K90" s="809">
        <v>14746</v>
      </c>
      <c r="M90" s="796">
        <f>K90/'Poverty_All ages'!AA90</f>
        <v>1.8272614622057002</v>
      </c>
    </row>
    <row r="91" spans="1:13" ht="15.75">
      <c r="A91" s="801" t="s">
        <v>225</v>
      </c>
      <c r="B91" s="804" t="s">
        <v>226</v>
      </c>
      <c r="C91" s="864" t="s">
        <v>271</v>
      </c>
      <c r="D91" s="808">
        <v>957</v>
      </c>
      <c r="E91" s="808">
        <v>1028</v>
      </c>
      <c r="F91" s="808">
        <v>1009</v>
      </c>
      <c r="G91" s="808">
        <v>952</v>
      </c>
      <c r="H91" s="808">
        <v>1083</v>
      </c>
      <c r="I91" s="808">
        <v>1345</v>
      </c>
      <c r="J91" s="808">
        <v>1412</v>
      </c>
      <c r="K91" s="809">
        <v>1421</v>
      </c>
      <c r="M91" s="796">
        <f>K91/'Poverty_All ages'!AA91</f>
        <v>1.6074660633484164</v>
      </c>
    </row>
    <row r="92" spans="1:13" ht="15.75">
      <c r="A92" s="801" t="s">
        <v>227</v>
      </c>
      <c r="B92" s="804" t="s">
        <v>228</v>
      </c>
      <c r="C92" s="864" t="s">
        <v>271</v>
      </c>
      <c r="D92" s="808">
        <v>1873</v>
      </c>
      <c r="E92" s="808">
        <v>2072</v>
      </c>
      <c r="F92" s="808">
        <v>2049</v>
      </c>
      <c r="G92" s="808">
        <v>2029</v>
      </c>
      <c r="H92" s="808">
        <v>2222</v>
      </c>
      <c r="I92" s="808">
        <v>2521</v>
      </c>
      <c r="J92" s="808">
        <v>2666</v>
      </c>
      <c r="K92" s="809">
        <v>2746</v>
      </c>
      <c r="M92" s="796">
        <f>K92/'Poverty_All ages'!AA92</f>
        <v>1.3967446592065107</v>
      </c>
    </row>
    <row r="93" spans="1:13" ht="15.75">
      <c r="A93" s="801" t="s">
        <v>229</v>
      </c>
      <c r="B93" s="804" t="s">
        <v>230</v>
      </c>
      <c r="C93" s="864" t="s">
        <v>275</v>
      </c>
      <c r="D93" s="808">
        <v>8509</v>
      </c>
      <c r="E93" s="808">
        <v>8628</v>
      </c>
      <c r="F93" s="808">
        <v>8828</v>
      </c>
      <c r="G93" s="808">
        <v>8512</v>
      </c>
      <c r="H93" s="808">
        <v>8652</v>
      </c>
      <c r="I93" s="808">
        <v>9799</v>
      </c>
      <c r="J93" s="808">
        <v>10221</v>
      </c>
      <c r="K93" s="809">
        <v>10664</v>
      </c>
      <c r="M93" s="796">
        <f>K93/'Poverty_All ages'!AA93</f>
        <v>1.4068601583113456</v>
      </c>
    </row>
    <row r="94" spans="1:13" ht="15.75">
      <c r="A94" s="801" t="s">
        <v>233</v>
      </c>
      <c r="B94" s="804" t="s">
        <v>234</v>
      </c>
      <c r="C94" s="864" t="s">
        <v>274</v>
      </c>
      <c r="D94" s="808">
        <v>3306</v>
      </c>
      <c r="E94" s="808">
        <v>3409</v>
      </c>
      <c r="F94" s="808">
        <v>3630</v>
      </c>
      <c r="G94" s="808">
        <v>4186</v>
      </c>
      <c r="H94" s="808">
        <v>5407</v>
      </c>
      <c r="I94" s="808">
        <v>6542</v>
      </c>
      <c r="J94" s="808">
        <v>7176</v>
      </c>
      <c r="K94" s="809">
        <v>7403</v>
      </c>
      <c r="M94" s="796">
        <f>K94/'Poverty_All ages'!AA94</f>
        <v>1.9188698807672369</v>
      </c>
    </row>
    <row r="95" spans="1:13" ht="15.75">
      <c r="A95" s="801" t="s">
        <v>235</v>
      </c>
      <c r="B95" s="804" t="s">
        <v>236</v>
      </c>
      <c r="C95" s="864" t="s">
        <v>275</v>
      </c>
      <c r="D95" s="808">
        <v>6606</v>
      </c>
      <c r="E95" s="808">
        <v>7053</v>
      </c>
      <c r="F95" s="808">
        <v>7290</v>
      </c>
      <c r="G95" s="808">
        <v>7722</v>
      </c>
      <c r="H95" s="808">
        <v>8728</v>
      </c>
      <c r="I95" s="808">
        <v>9895</v>
      </c>
      <c r="J95" s="808">
        <v>10532</v>
      </c>
      <c r="K95" s="809">
        <v>10928</v>
      </c>
      <c r="M95" s="796">
        <f>K95/'Poverty_All ages'!AA95</f>
        <v>1.5997657736788171</v>
      </c>
    </row>
    <row r="96" spans="1:13" ht="15.75">
      <c r="A96" s="801" t="s">
        <v>237</v>
      </c>
      <c r="B96" s="804" t="s">
        <v>238</v>
      </c>
      <c r="C96" s="864" t="s">
        <v>273</v>
      </c>
      <c r="D96" s="808">
        <v>2827</v>
      </c>
      <c r="E96" s="808">
        <v>2759</v>
      </c>
      <c r="F96" s="808">
        <v>2667</v>
      </c>
      <c r="G96" s="808">
        <v>2810</v>
      </c>
      <c r="H96" s="808">
        <v>3368</v>
      </c>
      <c r="I96" s="808">
        <v>3969</v>
      </c>
      <c r="J96" s="808">
        <v>4431</v>
      </c>
      <c r="K96" s="809">
        <v>4655</v>
      </c>
      <c r="M96" s="796">
        <f>K96/'Poverty_All ages'!AA96</f>
        <v>1.5413907284768211</v>
      </c>
    </row>
    <row r="97" spans="1:13" ht="15.75">
      <c r="A97" s="801" t="s">
        <v>243</v>
      </c>
      <c r="B97" s="804" t="s">
        <v>244</v>
      </c>
      <c r="C97" s="864" t="s">
        <v>275</v>
      </c>
      <c r="D97" s="808">
        <v>10226</v>
      </c>
      <c r="E97" s="808">
        <v>10129</v>
      </c>
      <c r="F97" s="808">
        <v>10211</v>
      </c>
      <c r="G97" s="808">
        <v>10166</v>
      </c>
      <c r="H97" s="808">
        <v>10486</v>
      </c>
      <c r="I97" s="808">
        <v>11048</v>
      </c>
      <c r="J97" s="808">
        <v>11480</v>
      </c>
      <c r="K97" s="809">
        <v>12027</v>
      </c>
      <c r="M97" s="796">
        <f>K97/'Poverty_All ages'!AA97</f>
        <v>1.3695058073331816</v>
      </c>
    </row>
    <row r="98" spans="1:13" ht="15.75">
      <c r="A98" s="801" t="s">
        <v>245</v>
      </c>
      <c r="B98" s="804" t="s">
        <v>246</v>
      </c>
      <c r="C98" s="864" t="s">
        <v>275</v>
      </c>
      <c r="D98" s="808">
        <v>4160</v>
      </c>
      <c r="E98" s="808">
        <v>4403</v>
      </c>
      <c r="F98" s="808">
        <v>4582</v>
      </c>
      <c r="G98" s="808">
        <v>4900</v>
      </c>
      <c r="H98" s="808">
        <v>5560</v>
      </c>
      <c r="I98" s="808">
        <v>6315</v>
      </c>
      <c r="J98" s="808">
        <v>6660</v>
      </c>
      <c r="K98" s="809">
        <v>6687</v>
      </c>
      <c r="M98" s="796">
        <f>K98/'Poverty_All ages'!AA98</f>
        <v>1.6121022179363549</v>
      </c>
    </row>
    <row r="99" spans="1:13" ht="15.75">
      <c r="A99" s="801" t="s">
        <v>247</v>
      </c>
      <c r="B99" s="804" t="s">
        <v>248</v>
      </c>
      <c r="C99" s="864" t="s">
        <v>271</v>
      </c>
      <c r="D99" s="808">
        <v>2531</v>
      </c>
      <c r="E99" s="808">
        <v>2706</v>
      </c>
      <c r="F99" s="808">
        <v>2733</v>
      </c>
      <c r="G99" s="808">
        <v>2796</v>
      </c>
      <c r="H99" s="808">
        <v>3473</v>
      </c>
      <c r="I99" s="808">
        <v>4195</v>
      </c>
      <c r="J99" s="808">
        <v>4936</v>
      </c>
      <c r="K99" s="809">
        <v>5297</v>
      </c>
      <c r="M99" s="796">
        <f>K99/'Poverty_All ages'!AA99</f>
        <v>1.2635973282442747</v>
      </c>
    </row>
    <row r="100" spans="1:13" ht="15.75">
      <c r="A100" s="801" t="s">
        <v>14</v>
      </c>
      <c r="B100" s="804" t="s">
        <v>15</v>
      </c>
      <c r="C100" s="864" t="s">
        <v>274</v>
      </c>
      <c r="D100" s="808">
        <v>8617</v>
      </c>
      <c r="E100" s="808">
        <v>8531</v>
      </c>
      <c r="F100" s="808">
        <v>8415</v>
      </c>
      <c r="G100" s="808">
        <v>8784</v>
      </c>
      <c r="H100" s="808">
        <v>10378</v>
      </c>
      <c r="I100" s="808">
        <v>12461</v>
      </c>
      <c r="J100" s="808">
        <v>13844</v>
      </c>
      <c r="K100" s="809">
        <v>14793</v>
      </c>
      <c r="M100" s="796">
        <f>K100/'Poverty_All ages'!AA100</f>
        <v>1.2838916854712723</v>
      </c>
    </row>
    <row r="101" spans="1:13" ht="15.75">
      <c r="A101" s="801" t="s">
        <v>35</v>
      </c>
      <c r="B101" s="804" t="s">
        <v>36</v>
      </c>
      <c r="C101" s="864" t="s">
        <v>275</v>
      </c>
      <c r="D101" s="808">
        <v>4478</v>
      </c>
      <c r="E101" s="808">
        <v>4811</v>
      </c>
      <c r="F101" s="808">
        <v>4980</v>
      </c>
      <c r="G101" s="808">
        <v>5320</v>
      </c>
      <c r="H101" s="808">
        <v>6079</v>
      </c>
      <c r="I101" s="808">
        <v>6477</v>
      </c>
      <c r="J101" s="808">
        <v>6655</v>
      </c>
      <c r="K101" s="809">
        <v>6821</v>
      </c>
      <c r="M101" s="796">
        <f>K101/'Poverty_All ages'!AA101</f>
        <v>1.5273175100761307</v>
      </c>
    </row>
    <row r="102" spans="1:13" ht="15.75">
      <c r="A102" s="801" t="s">
        <v>53</v>
      </c>
      <c r="B102" s="804" t="s">
        <v>54</v>
      </c>
      <c r="C102" s="864" t="s">
        <v>272</v>
      </c>
      <c r="D102" s="808">
        <v>6119</v>
      </c>
      <c r="E102" s="808">
        <v>6225</v>
      </c>
      <c r="F102" s="808">
        <v>6016</v>
      </c>
      <c r="G102" s="808">
        <v>6105</v>
      </c>
      <c r="H102" s="808">
        <v>6948</v>
      </c>
      <c r="I102" s="808">
        <v>7945</v>
      </c>
      <c r="J102" s="808">
        <v>8336</v>
      </c>
      <c r="K102" s="809">
        <v>8599</v>
      </c>
      <c r="M102" s="796">
        <f>K102/'Poverty_All ages'!AA102</f>
        <v>0.90439629785443831</v>
      </c>
    </row>
    <row r="103" spans="1:13" ht="15.75">
      <c r="A103" s="801" t="s">
        <v>55</v>
      </c>
      <c r="B103" s="804" t="s">
        <v>56</v>
      </c>
      <c r="C103" s="864" t="s">
        <v>271</v>
      </c>
      <c r="D103" s="808">
        <v>18719</v>
      </c>
      <c r="E103" s="808">
        <v>19669</v>
      </c>
      <c r="F103" s="808">
        <v>19177</v>
      </c>
      <c r="G103" s="808">
        <v>20156</v>
      </c>
      <c r="H103" s="808">
        <v>23807</v>
      </c>
      <c r="I103" s="808">
        <v>28721</v>
      </c>
      <c r="J103" s="808">
        <v>31946</v>
      </c>
      <c r="K103" s="809">
        <v>34473</v>
      </c>
      <c r="M103" s="796">
        <f>K103/'Poverty_All ages'!AA103</f>
        <v>1.6774366210889982</v>
      </c>
    </row>
    <row r="104" spans="1:13" ht="15.75">
      <c r="A104" s="801" t="s">
        <v>67</v>
      </c>
      <c r="B104" s="804" t="s">
        <v>68</v>
      </c>
      <c r="C104" s="864" t="s">
        <v>272</v>
      </c>
      <c r="D104" s="808">
        <v>12334</v>
      </c>
      <c r="E104" s="808">
        <v>13141</v>
      </c>
      <c r="F104" s="808">
        <v>13765</v>
      </c>
      <c r="G104" s="808">
        <v>14215</v>
      </c>
      <c r="H104" s="808">
        <v>15223</v>
      </c>
      <c r="I104" s="808">
        <v>16775</v>
      </c>
      <c r="J104" s="808">
        <v>17554</v>
      </c>
      <c r="K104" s="809">
        <v>18260</v>
      </c>
      <c r="M104" s="796">
        <f>K104/'Poverty_All ages'!AA104</f>
        <v>1.6624180626365623</v>
      </c>
    </row>
    <row r="105" spans="1:13" ht="15.75">
      <c r="A105" s="801" t="s">
        <v>83</v>
      </c>
      <c r="B105" s="804" t="s">
        <v>84</v>
      </c>
      <c r="C105" s="864" t="s">
        <v>271</v>
      </c>
      <c r="D105" s="808">
        <v>2389</v>
      </c>
      <c r="E105" s="808">
        <v>2571</v>
      </c>
      <c r="F105" s="808">
        <v>2429</v>
      </c>
      <c r="G105" s="808">
        <v>2414</v>
      </c>
      <c r="H105" s="808">
        <v>2663</v>
      </c>
      <c r="I105" s="808">
        <v>3097</v>
      </c>
      <c r="J105" s="808">
        <v>3422</v>
      </c>
      <c r="K105" s="809">
        <v>3686</v>
      </c>
      <c r="M105" s="796">
        <f>K105/'Poverty_All ages'!AA105</f>
        <v>2</v>
      </c>
    </row>
    <row r="106" spans="1:13" ht="15.75">
      <c r="A106" s="801" t="s">
        <v>89</v>
      </c>
      <c r="B106" s="804" t="s">
        <v>90</v>
      </c>
      <c r="C106" s="864" t="s">
        <v>274</v>
      </c>
      <c r="D106" s="808">
        <v>3824</v>
      </c>
      <c r="E106" s="808">
        <v>4088</v>
      </c>
      <c r="F106" s="808">
        <v>4156</v>
      </c>
      <c r="G106" s="808">
        <v>4570</v>
      </c>
      <c r="H106" s="808">
        <v>5232</v>
      </c>
      <c r="I106" s="808">
        <v>6129</v>
      </c>
      <c r="J106" s="808">
        <v>6956</v>
      </c>
      <c r="K106" s="809">
        <v>7545</v>
      </c>
      <c r="M106" s="796">
        <f>K106/'Poverty_All ages'!AA106</f>
        <v>2.0497147514262428</v>
      </c>
    </row>
    <row r="107" spans="1:13" ht="15.75">
      <c r="A107" s="801" t="s">
        <v>91</v>
      </c>
      <c r="B107" s="804" t="s">
        <v>92</v>
      </c>
      <c r="C107" s="864" t="s">
        <v>275</v>
      </c>
      <c r="D107" s="808">
        <v>1984</v>
      </c>
      <c r="E107" s="808">
        <v>2105</v>
      </c>
      <c r="F107" s="808">
        <v>2157</v>
      </c>
      <c r="G107" s="808">
        <v>2353</v>
      </c>
      <c r="H107" s="808">
        <v>2567</v>
      </c>
      <c r="I107" s="808">
        <v>2723</v>
      </c>
      <c r="J107" s="808">
        <v>2793</v>
      </c>
      <c r="K107" s="809">
        <v>2935</v>
      </c>
      <c r="M107" s="796">
        <f>K107/'Poverty_All ages'!AA107</f>
        <v>1.9183006535947713</v>
      </c>
    </row>
    <row r="108" spans="1:13" ht="15.75">
      <c r="A108" s="801" t="s">
        <v>107</v>
      </c>
      <c r="B108" s="804" t="s">
        <v>108</v>
      </c>
      <c r="C108" s="864" t="s">
        <v>271</v>
      </c>
      <c r="D108" s="808">
        <v>20801</v>
      </c>
      <c r="E108" s="808">
        <v>21510</v>
      </c>
      <c r="F108" s="808">
        <v>20751</v>
      </c>
      <c r="G108" s="808">
        <v>20617</v>
      </c>
      <c r="H108" s="808">
        <v>22560</v>
      </c>
      <c r="I108" s="808">
        <v>25894</v>
      </c>
      <c r="J108" s="808">
        <v>29642</v>
      </c>
      <c r="K108" s="809">
        <v>32575</v>
      </c>
      <c r="M108" s="796">
        <f>K108/'Poverty_All ages'!AA108</f>
        <v>1.6163846573711109</v>
      </c>
    </row>
    <row r="109" spans="1:13" ht="15.75">
      <c r="A109" s="801" t="s">
        <v>117</v>
      </c>
      <c r="B109" s="804" t="s">
        <v>118</v>
      </c>
      <c r="C109" s="864" t="s">
        <v>273</v>
      </c>
      <c r="D109" s="808">
        <v>6080</v>
      </c>
      <c r="E109" s="808">
        <v>6473</v>
      </c>
      <c r="F109" s="808">
        <v>6519</v>
      </c>
      <c r="G109" s="808">
        <v>6980</v>
      </c>
      <c r="H109" s="808">
        <v>7634</v>
      </c>
      <c r="I109" s="808">
        <v>8487</v>
      </c>
      <c r="J109" s="808">
        <v>9238</v>
      </c>
      <c r="K109" s="809">
        <v>9773</v>
      </c>
      <c r="M109" s="796">
        <f>K109/'Poverty_All ages'!AA109</f>
        <v>2.3976938174681059</v>
      </c>
    </row>
    <row r="110" spans="1:13" ht="15.75">
      <c r="A110" s="801" t="s">
        <v>139</v>
      </c>
      <c r="B110" s="804" t="s">
        <v>140</v>
      </c>
      <c r="C110" s="864" t="s">
        <v>272</v>
      </c>
      <c r="D110" s="808">
        <v>11871</v>
      </c>
      <c r="E110" s="808">
        <v>12443</v>
      </c>
      <c r="F110" s="808">
        <v>12733</v>
      </c>
      <c r="G110" s="808">
        <v>12854</v>
      </c>
      <c r="H110" s="808">
        <v>14305</v>
      </c>
      <c r="I110" s="808">
        <v>16187</v>
      </c>
      <c r="J110" s="808">
        <v>17521</v>
      </c>
      <c r="K110" s="809">
        <v>18989</v>
      </c>
      <c r="M110" s="796">
        <f>K110/'Poverty_All ages'!AA110</f>
        <v>1.2943221320973348</v>
      </c>
    </row>
    <row r="111" spans="1:13" ht="15.75">
      <c r="A111" s="801" t="s">
        <v>143</v>
      </c>
      <c r="B111" s="804" t="s">
        <v>144</v>
      </c>
      <c r="C111" s="864" t="s">
        <v>274</v>
      </c>
      <c r="D111" s="808">
        <v>2747</v>
      </c>
      <c r="E111" s="808">
        <v>2921</v>
      </c>
      <c r="F111" s="808">
        <v>3291</v>
      </c>
      <c r="G111" s="808">
        <v>3873</v>
      </c>
      <c r="H111" s="808">
        <v>5113</v>
      </c>
      <c r="I111" s="808">
        <v>6487</v>
      </c>
      <c r="J111" s="808">
        <v>7188</v>
      </c>
      <c r="K111" s="809">
        <v>7480</v>
      </c>
      <c r="M111" s="796">
        <f>K111/'Poverty_All ages'!AA111</f>
        <v>1.8537794299876085</v>
      </c>
    </row>
    <row r="112" spans="1:13" ht="15.75">
      <c r="A112" s="801" t="s">
        <v>145</v>
      </c>
      <c r="B112" s="804" t="s">
        <v>146</v>
      </c>
      <c r="C112" s="864" t="s">
        <v>274</v>
      </c>
      <c r="D112" s="808">
        <v>764</v>
      </c>
      <c r="E112" s="808">
        <v>1055</v>
      </c>
      <c r="F112" s="808">
        <v>1218</v>
      </c>
      <c r="G112" s="808">
        <v>1456</v>
      </c>
      <c r="H112" s="808">
        <v>1865</v>
      </c>
      <c r="I112" s="808">
        <v>2197</v>
      </c>
      <c r="J112" s="808">
        <v>2241</v>
      </c>
      <c r="K112" s="809">
        <v>2222</v>
      </c>
      <c r="M112" s="796">
        <f>K112/'Poverty_All ages'!AA112</f>
        <v>1.8303130148270181</v>
      </c>
    </row>
    <row r="113" spans="1:13" ht="15.75">
      <c r="A113" s="801" t="s">
        <v>159</v>
      </c>
      <c r="B113" s="804" t="s">
        <v>160</v>
      </c>
      <c r="C113" s="864" t="s">
        <v>271</v>
      </c>
      <c r="D113" s="808">
        <v>31185</v>
      </c>
      <c r="E113" s="808">
        <v>32205</v>
      </c>
      <c r="F113" s="808">
        <v>31668</v>
      </c>
      <c r="G113" s="808">
        <v>32874</v>
      </c>
      <c r="H113" s="808">
        <v>37452</v>
      </c>
      <c r="I113" s="808">
        <v>43763</v>
      </c>
      <c r="J113" s="808">
        <v>48328</v>
      </c>
      <c r="K113" s="809">
        <v>50910</v>
      </c>
      <c r="M113" s="796">
        <f>K113/'Poverty_All ages'!AA113</f>
        <v>1.9058849955076371</v>
      </c>
    </row>
    <row r="114" spans="1:13" ht="15.75">
      <c r="A114" s="801" t="s">
        <v>161</v>
      </c>
      <c r="B114" s="804" t="s">
        <v>162</v>
      </c>
      <c r="C114" s="864" t="s">
        <v>271</v>
      </c>
      <c r="D114" s="808">
        <v>46884</v>
      </c>
      <c r="E114" s="808">
        <v>47455</v>
      </c>
      <c r="F114" s="808">
        <v>46778</v>
      </c>
      <c r="G114" s="808">
        <v>47861</v>
      </c>
      <c r="H114" s="808">
        <v>52024</v>
      </c>
      <c r="I114" s="808">
        <v>59460</v>
      </c>
      <c r="J114" s="808">
        <v>64233</v>
      </c>
      <c r="K114" s="809">
        <v>68281</v>
      </c>
      <c r="M114" s="796">
        <f>K114/'Poverty_All ages'!AA114</f>
        <v>1.5989743109383416</v>
      </c>
    </row>
    <row r="115" spans="1:13" ht="15.75">
      <c r="A115" s="801" t="s">
        <v>167</v>
      </c>
      <c r="B115" s="804" t="s">
        <v>168</v>
      </c>
      <c r="C115" s="864" t="s">
        <v>275</v>
      </c>
      <c r="D115" s="808">
        <v>1214</v>
      </c>
      <c r="E115" s="808">
        <v>1273</v>
      </c>
      <c r="F115" s="808">
        <v>1341</v>
      </c>
      <c r="G115" s="808">
        <v>1371</v>
      </c>
      <c r="H115" s="808">
        <v>1414</v>
      </c>
      <c r="I115" s="808">
        <v>1412</v>
      </c>
      <c r="J115" s="808">
        <v>1477</v>
      </c>
      <c r="K115" s="809">
        <v>1593</v>
      </c>
      <c r="M115" s="796">
        <f>K115/'Poverty_All ages'!AA115</f>
        <v>1.945054945054945</v>
      </c>
    </row>
    <row r="116" spans="1:13" ht="15.75">
      <c r="A116" s="801" t="s">
        <v>177</v>
      </c>
      <c r="B116" s="804" t="s">
        <v>178</v>
      </c>
      <c r="C116" s="864" t="s">
        <v>273</v>
      </c>
      <c r="D116" s="808">
        <v>9981</v>
      </c>
      <c r="E116" s="808">
        <v>10336</v>
      </c>
      <c r="F116" s="808">
        <v>10560</v>
      </c>
      <c r="G116" s="808">
        <v>10768</v>
      </c>
      <c r="H116" s="808">
        <v>11894</v>
      </c>
      <c r="I116" s="808">
        <v>13458</v>
      </c>
      <c r="J116" s="808">
        <v>14705</v>
      </c>
      <c r="K116" s="809">
        <v>15321</v>
      </c>
      <c r="M116" s="796">
        <f>K116/'Poverty_All ages'!AA116</f>
        <v>1.9905157853709237</v>
      </c>
    </row>
    <row r="117" spans="1:13" ht="15.75">
      <c r="A117" s="801" t="s">
        <v>181</v>
      </c>
      <c r="B117" s="804" t="s">
        <v>182</v>
      </c>
      <c r="C117" s="864" t="s">
        <v>271</v>
      </c>
      <c r="D117" s="808">
        <v>20721</v>
      </c>
      <c r="E117" s="808">
        <v>21598</v>
      </c>
      <c r="F117" s="808">
        <v>21494</v>
      </c>
      <c r="G117" s="808">
        <v>21648</v>
      </c>
      <c r="H117" s="808">
        <v>23781</v>
      </c>
      <c r="I117" s="808">
        <v>27393</v>
      </c>
      <c r="J117" s="808">
        <v>29895</v>
      </c>
      <c r="K117" s="809">
        <v>32371</v>
      </c>
      <c r="M117" s="796">
        <f>K117/'Poverty_All ages'!AA117</f>
        <v>1.9453725961538462</v>
      </c>
    </row>
    <row r="118" spans="1:13" ht="15.75">
      <c r="A118" s="801" t="s">
        <v>193</v>
      </c>
      <c r="B118" s="804" t="s">
        <v>194</v>
      </c>
      <c r="C118" s="864" t="s">
        <v>275</v>
      </c>
      <c r="D118" s="808">
        <v>1823</v>
      </c>
      <c r="E118" s="808">
        <v>1952</v>
      </c>
      <c r="F118" s="808">
        <v>1993</v>
      </c>
      <c r="G118" s="808">
        <v>2066</v>
      </c>
      <c r="H118" s="808">
        <v>2353</v>
      </c>
      <c r="I118" s="808">
        <v>2553</v>
      </c>
      <c r="J118" s="808">
        <v>2647</v>
      </c>
      <c r="K118" s="809">
        <v>2701</v>
      </c>
      <c r="M118" s="796">
        <f>K118/'Poverty_All ages'!AA118</f>
        <v>0.7329715061058345</v>
      </c>
    </row>
    <row r="119" spans="1:13" ht="15.75">
      <c r="A119" s="801" t="s">
        <v>197</v>
      </c>
      <c r="B119" s="804" t="s">
        <v>198</v>
      </c>
      <c r="C119" s="864" t="s">
        <v>273</v>
      </c>
      <c r="D119" s="808">
        <v>49423</v>
      </c>
      <c r="E119" s="808">
        <v>50881</v>
      </c>
      <c r="F119" s="808">
        <v>51055</v>
      </c>
      <c r="G119" s="808">
        <v>51410</v>
      </c>
      <c r="H119" s="808">
        <v>54498</v>
      </c>
      <c r="I119" s="808">
        <v>62669</v>
      </c>
      <c r="J119" s="808">
        <v>67984</v>
      </c>
      <c r="K119" s="809">
        <v>72853</v>
      </c>
      <c r="M119" s="796">
        <f>K119/'Poverty_All ages'!AA119</f>
        <v>1.425220572412309</v>
      </c>
    </row>
    <row r="120" spans="1:13" ht="15.75">
      <c r="A120" s="801" t="s">
        <v>201</v>
      </c>
      <c r="B120" s="804" t="s">
        <v>202</v>
      </c>
      <c r="C120" s="864" t="s">
        <v>272</v>
      </c>
      <c r="D120" s="808">
        <v>19436</v>
      </c>
      <c r="E120" s="808">
        <v>20626</v>
      </c>
      <c r="F120" s="808">
        <v>21476</v>
      </c>
      <c r="G120" s="808">
        <v>22766</v>
      </c>
      <c r="H120" s="808">
        <v>25844</v>
      </c>
      <c r="I120" s="808">
        <v>29553</v>
      </c>
      <c r="J120" s="808">
        <v>31978</v>
      </c>
      <c r="K120" s="809">
        <v>34163</v>
      </c>
      <c r="M120" s="796">
        <f>K120/'Poverty_All ages'!AA120</f>
        <v>1.8401831403178024</v>
      </c>
    </row>
    <row r="121" spans="1:13" ht="15.75">
      <c r="A121" s="801" t="s">
        <v>223</v>
      </c>
      <c r="B121" s="804" t="s">
        <v>224</v>
      </c>
      <c r="C121" s="864" t="s">
        <v>271</v>
      </c>
      <c r="D121" s="808">
        <v>11261</v>
      </c>
      <c r="E121" s="808">
        <v>11423</v>
      </c>
      <c r="F121" s="808">
        <v>11272</v>
      </c>
      <c r="G121" s="808">
        <v>11546</v>
      </c>
      <c r="H121" s="808">
        <v>12901</v>
      </c>
      <c r="I121" s="808">
        <v>14826</v>
      </c>
      <c r="J121" s="808">
        <v>16549</v>
      </c>
      <c r="K121" s="809">
        <v>17699</v>
      </c>
      <c r="M121" s="796">
        <f>K121/'Poverty_All ages'!AA121</f>
        <v>1.732817701194439</v>
      </c>
    </row>
    <row r="122" spans="1:13" ht="15.75">
      <c r="A122" s="801" t="s">
        <v>231</v>
      </c>
      <c r="B122" s="804" t="s">
        <v>232</v>
      </c>
      <c r="C122" s="864" t="s">
        <v>271</v>
      </c>
      <c r="D122" s="808">
        <v>28215</v>
      </c>
      <c r="E122" s="808">
        <v>28835</v>
      </c>
      <c r="F122" s="808">
        <v>27798</v>
      </c>
      <c r="G122" s="808">
        <v>29065</v>
      </c>
      <c r="H122" s="808">
        <v>34361</v>
      </c>
      <c r="I122" s="808">
        <v>43390</v>
      </c>
      <c r="J122" s="808">
        <v>48822</v>
      </c>
      <c r="K122" s="809">
        <v>53014</v>
      </c>
      <c r="M122" s="796">
        <f>K122/'Poverty_All ages'!AA122</f>
        <v>1.3770585484960258</v>
      </c>
    </row>
    <row r="123" spans="1:13" ht="15.75">
      <c r="A123" s="801" t="s">
        <v>239</v>
      </c>
      <c r="B123" s="804" t="s">
        <v>240</v>
      </c>
      <c r="C123" s="864" t="s">
        <v>271</v>
      </c>
      <c r="D123" s="808">
        <v>857</v>
      </c>
      <c r="E123" s="808">
        <v>991</v>
      </c>
      <c r="F123" s="808">
        <v>953</v>
      </c>
      <c r="G123" s="808">
        <v>1015</v>
      </c>
      <c r="H123" s="808">
        <v>1223</v>
      </c>
      <c r="I123" s="808">
        <v>1515</v>
      </c>
      <c r="J123" s="808">
        <v>1885</v>
      </c>
      <c r="K123" s="809">
        <v>1929</v>
      </c>
      <c r="M123" s="796">
        <f>K123/'Poverty_All ages'!AA123</f>
        <v>0.98318042813455653</v>
      </c>
    </row>
    <row r="124" spans="1:13" ht="15.75">
      <c r="A124" s="802" t="s">
        <v>241</v>
      </c>
      <c r="B124" s="805" t="s">
        <v>242</v>
      </c>
      <c r="C124" s="805" t="s">
        <v>274</v>
      </c>
      <c r="D124" s="810">
        <v>3348</v>
      </c>
      <c r="E124" s="810">
        <v>3421</v>
      </c>
      <c r="F124" s="810">
        <v>3674</v>
      </c>
      <c r="G124" s="810">
        <v>4204</v>
      </c>
      <c r="H124" s="810">
        <v>5543</v>
      </c>
      <c r="I124" s="810">
        <v>6779</v>
      </c>
      <c r="J124" s="810">
        <v>7511</v>
      </c>
      <c r="K124" s="811">
        <v>7682</v>
      </c>
      <c r="M124" s="796">
        <f>K124/'Poverty_All ages'!AA124</f>
        <v>1.6902090209020901</v>
      </c>
    </row>
    <row r="126" spans="1:13" ht="12.75" customHeight="1">
      <c r="A126" s="791" t="s">
        <v>1129</v>
      </c>
    </row>
    <row r="128" spans="1:13" s="542" customFormat="1" ht="15.75">
      <c r="A128" s="542" t="s">
        <v>249</v>
      </c>
    </row>
    <row r="129" spans="1:3" s="542" customFormat="1" ht="15.75">
      <c r="A129" s="543" t="s">
        <v>250</v>
      </c>
      <c r="B129" s="544" t="s">
        <v>251</v>
      </c>
      <c r="C129" s="544"/>
    </row>
  </sheetData>
  <autoFilter ref="A3:C3"/>
  <hyperlinks>
    <hyperlink ref="B129" r:id="rId1"/>
  </hyperlink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sheetPr>
    <tabColor rgb="FFFFFF00"/>
  </sheetPr>
  <dimension ref="A1:M129"/>
  <sheetViews>
    <sheetView workbookViewId="0">
      <pane ySplit="4" topLeftCell="A99" activePane="bottomLeft" state="frozen"/>
      <selection pane="bottomLeft" activeCell="C5" sqref="C5:C124"/>
    </sheetView>
  </sheetViews>
  <sheetFormatPr defaultRowHeight="15.75"/>
  <cols>
    <col min="1" max="1" width="5.875" style="791" customWidth="1"/>
    <col min="2" max="2" width="30.25" style="791" customWidth="1"/>
    <col min="3" max="3" width="12.375" style="791" customWidth="1"/>
    <col min="4" max="11" width="10.875" style="791" customWidth="1"/>
    <col min="12" max="12" width="2.5" style="791" customWidth="1"/>
    <col min="13" max="13" width="16.75" style="791" customWidth="1"/>
    <col min="14" max="16384" width="9" style="791"/>
  </cols>
  <sheetData>
    <row r="1" spans="1:13">
      <c r="A1" s="264" t="s">
        <v>998</v>
      </c>
    </row>
    <row r="3" spans="1:13" ht="47.25">
      <c r="A3" s="820" t="s">
        <v>4</v>
      </c>
      <c r="B3" s="798" t="s">
        <v>5</v>
      </c>
      <c r="C3" s="861" t="s">
        <v>252</v>
      </c>
      <c r="D3" s="821" t="s">
        <v>700</v>
      </c>
      <c r="E3" s="821" t="s">
        <v>701</v>
      </c>
      <c r="F3" s="821" t="s">
        <v>702</v>
      </c>
      <c r="G3" s="821" t="s">
        <v>703</v>
      </c>
      <c r="H3" s="821" t="s">
        <v>704</v>
      </c>
      <c r="I3" s="821" t="s">
        <v>705</v>
      </c>
      <c r="J3" s="821" t="s">
        <v>771</v>
      </c>
      <c r="K3" s="792" t="s">
        <v>997</v>
      </c>
      <c r="M3" s="799" t="s">
        <v>809</v>
      </c>
    </row>
    <row r="4" spans="1:13">
      <c r="A4" s="866">
        <v>999</v>
      </c>
      <c r="B4" s="865" t="s">
        <v>9</v>
      </c>
      <c r="C4" s="862"/>
      <c r="D4" s="822">
        <f>SUM(D5:D124)</f>
        <v>180378</v>
      </c>
      <c r="E4" s="822">
        <f>SUM(E5:E124)</f>
        <v>179388</v>
      </c>
      <c r="F4" s="822">
        <f>SUM(F5:F124)</f>
        <v>168934</v>
      </c>
      <c r="G4" s="822">
        <f>SUM(G5:G124)</f>
        <v>161280</v>
      </c>
      <c r="H4" s="822">
        <f>SUM(H5:H124)</f>
        <v>176984</v>
      </c>
      <c r="I4" s="822">
        <v>194547</v>
      </c>
      <c r="J4" s="822">
        <f>SUM(J5:J124)</f>
        <v>195548</v>
      </c>
      <c r="K4" s="823">
        <f>SUM(K5:K124)</f>
        <v>185238</v>
      </c>
      <c r="M4" s="796">
        <f>K4/'Poverty_All ages'!AA4</f>
        <v>0.20293849880420123</v>
      </c>
    </row>
    <row r="5" spans="1:13">
      <c r="A5" s="814" t="s">
        <v>10</v>
      </c>
      <c r="B5" s="803" t="s">
        <v>11</v>
      </c>
      <c r="C5" s="863" t="s">
        <v>271</v>
      </c>
      <c r="D5" s="806">
        <v>1056</v>
      </c>
      <c r="E5" s="806">
        <v>1003</v>
      </c>
      <c r="F5" s="806">
        <v>878</v>
      </c>
      <c r="G5" s="806">
        <v>898</v>
      </c>
      <c r="H5" s="806">
        <v>946</v>
      </c>
      <c r="I5" s="806">
        <v>1098</v>
      </c>
      <c r="J5" s="806">
        <v>1096</v>
      </c>
      <c r="K5" s="815">
        <v>1127</v>
      </c>
      <c r="M5" s="796">
        <f>K5/'Poverty_All ages'!AA5</f>
        <v>0.1772291240761126</v>
      </c>
    </row>
    <row r="6" spans="1:13">
      <c r="A6" s="816" t="s">
        <v>12</v>
      </c>
      <c r="B6" s="804" t="s">
        <v>13</v>
      </c>
      <c r="C6" s="864" t="s">
        <v>272</v>
      </c>
      <c r="D6" s="808">
        <v>703</v>
      </c>
      <c r="E6" s="808">
        <v>797</v>
      </c>
      <c r="F6" s="808">
        <v>664</v>
      </c>
      <c r="G6" s="808">
        <v>611</v>
      </c>
      <c r="H6" s="808">
        <v>809</v>
      </c>
      <c r="I6" s="808">
        <v>921</v>
      </c>
      <c r="J6" s="808">
        <v>855</v>
      </c>
      <c r="K6" s="817">
        <v>746</v>
      </c>
      <c r="M6" s="796">
        <f>K6/'Poverty_All ages'!AA6</f>
        <v>8.1628186891344781E-2</v>
      </c>
    </row>
    <row r="7" spans="1:13">
      <c r="A7" s="816" t="s">
        <v>16</v>
      </c>
      <c r="B7" s="804" t="s">
        <v>307</v>
      </c>
      <c r="C7" s="864" t="s">
        <v>272</v>
      </c>
      <c r="D7" s="808">
        <v>741</v>
      </c>
      <c r="E7" s="808">
        <v>693</v>
      </c>
      <c r="F7" s="808">
        <v>706</v>
      </c>
      <c r="G7" s="808">
        <v>664</v>
      </c>
      <c r="H7" s="808">
        <v>704</v>
      </c>
      <c r="I7" s="808">
        <v>677</v>
      </c>
      <c r="J7" s="808">
        <v>644</v>
      </c>
      <c r="K7" s="817">
        <v>528</v>
      </c>
      <c r="M7" s="796">
        <f>K7/'Poverty_All ages'!AA7</f>
        <v>0.17015791169835642</v>
      </c>
    </row>
    <row r="8" spans="1:13">
      <c r="A8" s="816" t="s">
        <v>18</v>
      </c>
      <c r="B8" s="804" t="s">
        <v>19</v>
      </c>
      <c r="C8" s="864" t="s">
        <v>273</v>
      </c>
      <c r="D8" s="808">
        <v>324</v>
      </c>
      <c r="E8" s="808">
        <v>364</v>
      </c>
      <c r="F8" s="808">
        <v>319</v>
      </c>
      <c r="G8" s="808">
        <v>321</v>
      </c>
      <c r="H8" s="808">
        <v>373</v>
      </c>
      <c r="I8" s="808">
        <v>430</v>
      </c>
      <c r="J8" s="808">
        <v>434</v>
      </c>
      <c r="K8" s="817">
        <v>408</v>
      </c>
      <c r="M8" s="796">
        <f>K8/'Poverty_All ages'!AA8</f>
        <v>0.27145708582834333</v>
      </c>
    </row>
    <row r="9" spans="1:13">
      <c r="A9" s="816" t="s">
        <v>20</v>
      </c>
      <c r="B9" s="804" t="s">
        <v>21</v>
      </c>
      <c r="C9" s="864" t="s">
        <v>272</v>
      </c>
      <c r="D9" s="808">
        <v>608</v>
      </c>
      <c r="E9" s="808">
        <v>613</v>
      </c>
      <c r="F9" s="808">
        <v>443</v>
      </c>
      <c r="G9" s="808">
        <v>449</v>
      </c>
      <c r="H9" s="808">
        <v>533</v>
      </c>
      <c r="I9" s="808">
        <v>645</v>
      </c>
      <c r="J9" s="808">
        <v>573</v>
      </c>
      <c r="K9" s="817">
        <v>538</v>
      </c>
      <c r="M9" s="796">
        <f>K9/'Poverty_All ages'!AA9</f>
        <v>0.13007736943907156</v>
      </c>
    </row>
    <row r="10" spans="1:13">
      <c r="A10" s="816" t="s">
        <v>22</v>
      </c>
      <c r="B10" s="804" t="s">
        <v>23</v>
      </c>
      <c r="C10" s="864" t="s">
        <v>272</v>
      </c>
      <c r="D10" s="808">
        <v>436</v>
      </c>
      <c r="E10" s="808">
        <v>404</v>
      </c>
      <c r="F10" s="808">
        <v>394</v>
      </c>
      <c r="G10" s="808">
        <v>417</v>
      </c>
      <c r="H10" s="808">
        <v>419</v>
      </c>
      <c r="I10" s="808">
        <v>507</v>
      </c>
      <c r="J10" s="808">
        <v>456</v>
      </c>
      <c r="K10" s="817">
        <v>477</v>
      </c>
      <c r="M10" s="796">
        <f>K10/'Poverty_All ages'!AA10</f>
        <v>0.21593481213218652</v>
      </c>
    </row>
    <row r="11" spans="1:13">
      <c r="A11" s="816" t="s">
        <v>24</v>
      </c>
      <c r="B11" s="804" t="s">
        <v>25</v>
      </c>
      <c r="C11" s="864" t="s">
        <v>274</v>
      </c>
      <c r="D11" s="808">
        <v>1469</v>
      </c>
      <c r="E11" s="808">
        <v>1479</v>
      </c>
      <c r="F11" s="808">
        <v>1312</v>
      </c>
      <c r="G11" s="808">
        <v>1233</v>
      </c>
      <c r="H11" s="808">
        <v>1547</v>
      </c>
      <c r="I11" s="808">
        <v>1702</v>
      </c>
      <c r="J11" s="808">
        <v>1633</v>
      </c>
      <c r="K11" s="817">
        <v>1512</v>
      </c>
      <c r="M11" s="796">
        <f>K11/'Poverty_All ages'!AA11</f>
        <v>9.5130237825594557E-2</v>
      </c>
    </row>
    <row r="12" spans="1:13">
      <c r="A12" s="816" t="s">
        <v>26</v>
      </c>
      <c r="B12" s="804" t="s">
        <v>908</v>
      </c>
      <c r="C12" s="864" t="s">
        <v>272</v>
      </c>
      <c r="D12" s="808">
        <v>3004</v>
      </c>
      <c r="E12" s="808">
        <v>3221</v>
      </c>
      <c r="F12" s="808">
        <v>3029</v>
      </c>
      <c r="G12" s="808">
        <v>2946</v>
      </c>
      <c r="H12" s="808">
        <v>3320</v>
      </c>
      <c r="I12" s="808">
        <v>3468</v>
      </c>
      <c r="J12" s="808">
        <v>3345</v>
      </c>
      <c r="K12" s="817">
        <v>3125</v>
      </c>
      <c r="M12" s="796">
        <f>K12/'Poverty_All ages'!AA12</f>
        <v>0.21629291251384275</v>
      </c>
    </row>
    <row r="13" spans="1:13">
      <c r="A13" s="816" t="s">
        <v>27</v>
      </c>
      <c r="B13" s="804" t="s">
        <v>28</v>
      </c>
      <c r="C13" s="864" t="s">
        <v>272</v>
      </c>
      <c r="D13" s="808">
        <v>31</v>
      </c>
      <c r="E13" s="808">
        <v>33</v>
      </c>
      <c r="F13" s="808">
        <v>24</v>
      </c>
      <c r="G13" s="808">
        <v>41</v>
      </c>
      <c r="H13" s="808">
        <v>28</v>
      </c>
      <c r="I13" s="808">
        <v>47</v>
      </c>
      <c r="J13" s="808">
        <v>40</v>
      </c>
      <c r="K13" s="817">
        <v>42</v>
      </c>
      <c r="M13" s="796">
        <f>K13/'Poverty_All ages'!AA13</f>
        <v>8.4337349397590355E-2</v>
      </c>
    </row>
    <row r="14" spans="1:13">
      <c r="A14" s="816" t="s">
        <v>29</v>
      </c>
      <c r="B14" s="804" t="s">
        <v>309</v>
      </c>
      <c r="C14" s="864" t="s">
        <v>272</v>
      </c>
      <c r="D14" s="808">
        <v>1178</v>
      </c>
      <c r="E14" s="808">
        <v>1115</v>
      </c>
      <c r="F14" s="808">
        <v>1092</v>
      </c>
      <c r="G14" s="808">
        <v>953</v>
      </c>
      <c r="H14" s="808">
        <v>1096</v>
      </c>
      <c r="I14" s="808">
        <v>1235</v>
      </c>
      <c r="J14" s="808">
        <v>1269</v>
      </c>
      <c r="K14" s="817">
        <v>1163</v>
      </c>
      <c r="M14" s="796">
        <f>K14/'Poverty_All ages'!AA14</f>
        <v>0.15471597711853133</v>
      </c>
    </row>
    <row r="15" spans="1:13">
      <c r="A15" s="816" t="s">
        <v>31</v>
      </c>
      <c r="B15" s="804" t="s">
        <v>32</v>
      </c>
      <c r="C15" s="864" t="s">
        <v>275</v>
      </c>
      <c r="D15" s="808">
        <v>131</v>
      </c>
      <c r="E15" s="808">
        <v>147</v>
      </c>
      <c r="F15" s="808">
        <v>127</v>
      </c>
      <c r="G15" s="808">
        <v>110</v>
      </c>
      <c r="H15" s="808">
        <v>115</v>
      </c>
      <c r="I15" s="808">
        <v>86</v>
      </c>
      <c r="J15" s="808">
        <v>120</v>
      </c>
      <c r="K15" s="817">
        <v>103</v>
      </c>
      <c r="M15" s="796">
        <f>K15/'Poverty_All ages'!AA15</f>
        <v>0.11717861205915814</v>
      </c>
    </row>
    <row r="16" spans="1:13">
      <c r="A16" s="816" t="s">
        <v>33</v>
      </c>
      <c r="B16" s="804" t="s">
        <v>34</v>
      </c>
      <c r="C16" s="864" t="s">
        <v>272</v>
      </c>
      <c r="D16" s="808">
        <v>198</v>
      </c>
      <c r="E16" s="808">
        <v>200</v>
      </c>
      <c r="F16" s="808">
        <v>155</v>
      </c>
      <c r="G16" s="808">
        <v>158</v>
      </c>
      <c r="H16" s="808">
        <v>175</v>
      </c>
      <c r="I16" s="808">
        <v>219</v>
      </c>
      <c r="J16" s="808">
        <v>223</v>
      </c>
      <c r="K16" s="817">
        <v>238</v>
      </c>
      <c r="M16" s="796">
        <f>K16/'Poverty_All ages'!AA16</f>
        <v>9.7861842105263164E-2</v>
      </c>
    </row>
    <row r="17" spans="1:13">
      <c r="A17" s="816" t="s">
        <v>37</v>
      </c>
      <c r="B17" s="804" t="s">
        <v>38</v>
      </c>
      <c r="C17" s="864" t="s">
        <v>271</v>
      </c>
      <c r="D17" s="808">
        <v>680</v>
      </c>
      <c r="E17" s="808">
        <v>752</v>
      </c>
      <c r="F17" s="808">
        <v>712</v>
      </c>
      <c r="G17" s="808">
        <v>598</v>
      </c>
      <c r="H17" s="808">
        <v>597</v>
      </c>
      <c r="I17" s="808">
        <v>646</v>
      </c>
      <c r="J17" s="808">
        <v>609</v>
      </c>
      <c r="K17" s="817">
        <v>595</v>
      </c>
      <c r="M17" s="796">
        <f>K17/'Poverty_All ages'!AA17</f>
        <v>0.15494791666666666</v>
      </c>
    </row>
    <row r="18" spans="1:13">
      <c r="A18" s="816" t="s">
        <v>39</v>
      </c>
      <c r="B18" s="804" t="s">
        <v>40</v>
      </c>
      <c r="C18" s="864" t="s">
        <v>275</v>
      </c>
      <c r="D18" s="808">
        <v>1375</v>
      </c>
      <c r="E18" s="808">
        <v>1260</v>
      </c>
      <c r="F18" s="808">
        <v>1119</v>
      </c>
      <c r="G18" s="808">
        <v>1027</v>
      </c>
      <c r="H18" s="808">
        <v>971</v>
      </c>
      <c r="I18" s="808">
        <v>906</v>
      </c>
      <c r="J18" s="808">
        <v>743</v>
      </c>
      <c r="K18" s="817">
        <v>611</v>
      </c>
      <c r="M18" s="796">
        <f>K18/'Poverty_All ages'!AA18</f>
        <v>0.11192526103681993</v>
      </c>
    </row>
    <row r="19" spans="1:13">
      <c r="A19" s="816" t="s">
        <v>41</v>
      </c>
      <c r="B19" s="804" t="s">
        <v>42</v>
      </c>
      <c r="C19" s="864" t="s">
        <v>273</v>
      </c>
      <c r="D19" s="808">
        <v>590</v>
      </c>
      <c r="E19" s="808">
        <v>451</v>
      </c>
      <c r="F19" s="808">
        <v>480</v>
      </c>
      <c r="G19" s="808">
        <v>432</v>
      </c>
      <c r="H19" s="808">
        <v>500</v>
      </c>
      <c r="I19" s="808">
        <v>532</v>
      </c>
      <c r="J19" s="808">
        <v>432</v>
      </c>
      <c r="K19" s="817">
        <v>430</v>
      </c>
      <c r="M19" s="796">
        <f>K19/'Poverty_All ages'!AA19</f>
        <v>0.13479623824451412</v>
      </c>
    </row>
    <row r="20" spans="1:13">
      <c r="A20" s="816" t="s">
        <v>43</v>
      </c>
      <c r="B20" s="804" t="s">
        <v>44</v>
      </c>
      <c r="C20" s="864" t="s">
        <v>272</v>
      </c>
      <c r="D20" s="808">
        <v>1481</v>
      </c>
      <c r="E20" s="808">
        <v>1340</v>
      </c>
      <c r="F20" s="808">
        <v>1344</v>
      </c>
      <c r="G20" s="808">
        <v>1258</v>
      </c>
      <c r="H20" s="808">
        <v>1366</v>
      </c>
      <c r="I20" s="808">
        <v>1511</v>
      </c>
      <c r="J20" s="808">
        <v>1498</v>
      </c>
      <c r="K20" s="817">
        <v>1562</v>
      </c>
      <c r="M20" s="796">
        <f>K20/'Poverty_All ages'!AA20</f>
        <v>0.18812477417800794</v>
      </c>
    </row>
    <row r="21" spans="1:13">
      <c r="A21" s="816" t="s">
        <v>45</v>
      </c>
      <c r="B21" s="804" t="s">
        <v>46</v>
      </c>
      <c r="C21" s="864" t="s">
        <v>273</v>
      </c>
      <c r="D21" s="808">
        <v>686</v>
      </c>
      <c r="E21" s="808">
        <v>640</v>
      </c>
      <c r="F21" s="808">
        <v>613</v>
      </c>
      <c r="G21" s="808">
        <v>634</v>
      </c>
      <c r="H21" s="808">
        <v>915</v>
      </c>
      <c r="I21" s="808">
        <v>1096</v>
      </c>
      <c r="J21" s="808">
        <v>1148</v>
      </c>
      <c r="K21" s="817">
        <v>1048</v>
      </c>
      <c r="M21" s="796">
        <f>K21/'Poverty_All ages'!AA21</f>
        <v>0.30625365283459965</v>
      </c>
    </row>
    <row r="22" spans="1:13">
      <c r="A22" s="816" t="s">
        <v>47</v>
      </c>
      <c r="B22" s="804" t="s">
        <v>48</v>
      </c>
      <c r="C22" s="864" t="s">
        <v>275</v>
      </c>
      <c r="D22" s="808">
        <v>802</v>
      </c>
      <c r="E22" s="808">
        <v>707</v>
      </c>
      <c r="F22" s="808">
        <v>662</v>
      </c>
      <c r="G22" s="808">
        <v>617</v>
      </c>
      <c r="H22" s="808">
        <v>702</v>
      </c>
      <c r="I22" s="808">
        <v>746</v>
      </c>
      <c r="J22" s="808">
        <v>675</v>
      </c>
      <c r="K22" s="817">
        <v>704</v>
      </c>
      <c r="M22" s="796">
        <f>K22/'Poverty_All ages'!AA22</f>
        <v>0.11873840445269017</v>
      </c>
    </row>
    <row r="23" spans="1:13">
      <c r="A23" s="816" t="s">
        <v>49</v>
      </c>
      <c r="B23" s="804" t="s">
        <v>276</v>
      </c>
      <c r="C23" s="864" t="s">
        <v>273</v>
      </c>
      <c r="D23" s="808">
        <v>118</v>
      </c>
      <c r="E23" s="808">
        <v>108</v>
      </c>
      <c r="F23" s="808">
        <v>113</v>
      </c>
      <c r="G23" s="808">
        <v>135</v>
      </c>
      <c r="H23" s="808">
        <v>118</v>
      </c>
      <c r="I23" s="808">
        <v>99</v>
      </c>
      <c r="J23" s="808">
        <v>145</v>
      </c>
      <c r="K23" s="817">
        <v>125</v>
      </c>
      <c r="M23" s="796">
        <f>K23/'Poverty_All ages'!AA23</f>
        <v>0.14827995255041518</v>
      </c>
    </row>
    <row r="24" spans="1:13">
      <c r="A24" s="816" t="s">
        <v>51</v>
      </c>
      <c r="B24" s="804" t="s">
        <v>52</v>
      </c>
      <c r="C24" s="864" t="s">
        <v>272</v>
      </c>
      <c r="D24" s="808">
        <v>452</v>
      </c>
      <c r="E24" s="808">
        <v>491</v>
      </c>
      <c r="F24" s="808">
        <v>405</v>
      </c>
      <c r="G24" s="808">
        <v>310</v>
      </c>
      <c r="H24" s="808">
        <v>422</v>
      </c>
      <c r="I24" s="808">
        <v>472</v>
      </c>
      <c r="J24" s="808">
        <v>452</v>
      </c>
      <c r="K24" s="817">
        <v>508</v>
      </c>
      <c r="M24" s="796">
        <f>K24/'Poverty_All ages'!AA24</f>
        <v>0.19751166407465007</v>
      </c>
    </row>
    <row r="25" spans="1:13">
      <c r="A25" s="816" t="s">
        <v>57</v>
      </c>
      <c r="B25" s="804" t="s">
        <v>305</v>
      </c>
      <c r="C25" s="864" t="s">
        <v>273</v>
      </c>
      <c r="D25" s="808">
        <v>4958</v>
      </c>
      <c r="E25" s="808">
        <v>4835</v>
      </c>
      <c r="F25" s="808">
        <v>4528</v>
      </c>
      <c r="G25" s="808">
        <v>4450</v>
      </c>
      <c r="H25" s="808">
        <v>5198</v>
      </c>
      <c r="I25" s="808">
        <v>5833</v>
      </c>
      <c r="J25" s="808">
        <v>6002</v>
      </c>
      <c r="K25" s="817">
        <v>5765</v>
      </c>
      <c r="M25" s="796">
        <f>K25/'Poverty_All ages'!AA25</f>
        <v>0.23791836903140606</v>
      </c>
    </row>
    <row r="26" spans="1:13">
      <c r="A26" s="816" t="s">
        <v>59</v>
      </c>
      <c r="B26" s="804" t="s">
        <v>60</v>
      </c>
      <c r="C26" s="864" t="s">
        <v>274</v>
      </c>
      <c r="D26" s="808">
        <v>70</v>
      </c>
      <c r="E26" s="808">
        <v>72</v>
      </c>
      <c r="F26" s="808">
        <v>67</v>
      </c>
      <c r="G26" s="808">
        <v>63</v>
      </c>
      <c r="H26" s="808">
        <v>101</v>
      </c>
      <c r="I26" s="808">
        <v>110</v>
      </c>
      <c r="J26" s="808">
        <v>121</v>
      </c>
      <c r="K26" s="817">
        <v>117</v>
      </c>
      <c r="M26" s="796">
        <f>K26/'Poverty_All ages'!AA26</f>
        <v>0.10218340611353711</v>
      </c>
    </row>
    <row r="27" spans="1:13">
      <c r="A27" s="816" t="s">
        <v>61</v>
      </c>
      <c r="B27" s="804" t="s">
        <v>62</v>
      </c>
      <c r="C27" s="864" t="s">
        <v>272</v>
      </c>
      <c r="D27" s="808">
        <v>57</v>
      </c>
      <c r="E27" s="808">
        <v>55</v>
      </c>
      <c r="F27" s="808">
        <v>46</v>
      </c>
      <c r="G27" s="808">
        <v>45</v>
      </c>
      <c r="H27" s="808">
        <v>55</v>
      </c>
      <c r="I27" s="808">
        <v>59</v>
      </c>
      <c r="J27" s="808">
        <v>67</v>
      </c>
      <c r="K27" s="817">
        <v>78</v>
      </c>
      <c r="M27" s="796">
        <f>K27/'Poverty_All ages'!AA27</f>
        <v>0.12600969305331181</v>
      </c>
    </row>
    <row r="28" spans="1:13">
      <c r="A28" s="816" t="s">
        <v>63</v>
      </c>
      <c r="B28" s="804" t="s">
        <v>64</v>
      </c>
      <c r="C28" s="864" t="s">
        <v>274</v>
      </c>
      <c r="D28" s="808">
        <v>836</v>
      </c>
      <c r="E28" s="808">
        <v>801</v>
      </c>
      <c r="F28" s="808">
        <v>818</v>
      </c>
      <c r="G28" s="808">
        <v>841</v>
      </c>
      <c r="H28" s="808">
        <v>995</v>
      </c>
      <c r="I28" s="808">
        <v>1105</v>
      </c>
      <c r="J28" s="808">
        <v>1059</v>
      </c>
      <c r="K28" s="817">
        <v>932</v>
      </c>
      <c r="M28" s="796">
        <f>K28/'Poverty_All ages'!AA28</f>
        <v>0.17469540768509842</v>
      </c>
    </row>
    <row r="29" spans="1:13">
      <c r="A29" s="816" t="s">
        <v>65</v>
      </c>
      <c r="B29" s="804" t="s">
        <v>66</v>
      </c>
      <c r="C29" s="864" t="s">
        <v>273</v>
      </c>
      <c r="D29" s="808">
        <v>378</v>
      </c>
      <c r="E29" s="808">
        <v>307</v>
      </c>
      <c r="F29" s="808">
        <v>309</v>
      </c>
      <c r="G29" s="808">
        <v>313</v>
      </c>
      <c r="H29" s="808">
        <v>361</v>
      </c>
      <c r="I29" s="808">
        <v>354</v>
      </c>
      <c r="J29" s="808">
        <v>346</v>
      </c>
      <c r="K29" s="817">
        <v>336</v>
      </c>
      <c r="M29" s="796">
        <f>K29/'Poverty_All ages'!AA29</f>
        <v>0.18855218855218855</v>
      </c>
    </row>
    <row r="30" spans="1:13">
      <c r="A30" s="816" t="s">
        <v>69</v>
      </c>
      <c r="B30" s="804" t="s">
        <v>70</v>
      </c>
      <c r="C30" s="864" t="s">
        <v>275</v>
      </c>
      <c r="D30" s="808">
        <v>722</v>
      </c>
      <c r="E30" s="808">
        <v>666</v>
      </c>
      <c r="F30" s="808">
        <v>604</v>
      </c>
      <c r="G30" s="808">
        <v>595</v>
      </c>
      <c r="H30" s="808">
        <v>524</v>
      </c>
      <c r="I30" s="808">
        <v>547</v>
      </c>
      <c r="J30" s="808">
        <v>480</v>
      </c>
      <c r="K30" s="817">
        <v>440</v>
      </c>
      <c r="M30" s="796">
        <f>K30/'Poverty_All ages'!AA30</f>
        <v>0.13106940720881741</v>
      </c>
    </row>
    <row r="31" spans="1:13">
      <c r="A31" s="816" t="s">
        <v>71</v>
      </c>
      <c r="B31" s="804" t="s">
        <v>72</v>
      </c>
      <c r="C31" s="864" t="s">
        <v>271</v>
      </c>
      <c r="D31" s="808">
        <v>714</v>
      </c>
      <c r="E31" s="808">
        <v>761</v>
      </c>
      <c r="F31" s="808">
        <v>644</v>
      </c>
      <c r="G31" s="808">
        <v>581</v>
      </c>
      <c r="H31" s="808">
        <v>662</v>
      </c>
      <c r="I31" s="808">
        <v>772</v>
      </c>
      <c r="J31" s="808">
        <v>773</v>
      </c>
      <c r="K31" s="817">
        <v>726</v>
      </c>
      <c r="M31" s="796">
        <f>K31/'Poverty_All ages'!AA31</f>
        <v>0.20027586206896553</v>
      </c>
    </row>
    <row r="32" spans="1:13">
      <c r="A32" s="816" t="s">
        <v>73</v>
      </c>
      <c r="B32" s="804" t="s">
        <v>74</v>
      </c>
      <c r="C32" s="864" t="s">
        <v>273</v>
      </c>
      <c r="D32" s="808">
        <v>341</v>
      </c>
      <c r="E32" s="808">
        <v>355</v>
      </c>
      <c r="F32" s="808">
        <v>325</v>
      </c>
      <c r="G32" s="808">
        <v>415</v>
      </c>
      <c r="H32" s="808">
        <v>462</v>
      </c>
      <c r="I32" s="808">
        <v>529</v>
      </c>
      <c r="J32" s="808">
        <v>466</v>
      </c>
      <c r="K32" s="817">
        <v>480</v>
      </c>
      <c r="M32" s="796">
        <f>K32/'Poverty_All ages'!AA32</f>
        <v>0.2916160388821385</v>
      </c>
    </row>
    <row r="33" spans="1:13">
      <c r="A33" s="816" t="s">
        <v>75</v>
      </c>
      <c r="B33" s="804" t="s">
        <v>306</v>
      </c>
      <c r="C33" s="864" t="s">
        <v>274</v>
      </c>
      <c r="D33" s="808">
        <v>6971</v>
      </c>
      <c r="E33" s="808">
        <v>7215</v>
      </c>
      <c r="F33" s="808">
        <v>7034</v>
      </c>
      <c r="G33" s="808">
        <v>6735</v>
      </c>
      <c r="H33" s="808">
        <v>7822</v>
      </c>
      <c r="I33" s="808">
        <v>8890</v>
      </c>
      <c r="J33" s="808">
        <v>9227</v>
      </c>
      <c r="K33" s="817">
        <v>8654</v>
      </c>
      <c r="M33" s="796">
        <f>K33/'Poverty_All ages'!AA33</f>
        <v>0.1141944763337424</v>
      </c>
    </row>
    <row r="34" spans="1:13">
      <c r="A34" s="816" t="s">
        <v>77</v>
      </c>
      <c r="B34" s="804" t="s">
        <v>78</v>
      </c>
      <c r="C34" s="864" t="s">
        <v>274</v>
      </c>
      <c r="D34" s="808">
        <v>567</v>
      </c>
      <c r="E34" s="808">
        <v>550</v>
      </c>
      <c r="F34" s="808">
        <v>560</v>
      </c>
      <c r="G34" s="808">
        <v>577</v>
      </c>
      <c r="H34" s="808">
        <v>681</v>
      </c>
      <c r="I34" s="808">
        <v>684</v>
      </c>
      <c r="J34" s="808">
        <v>646</v>
      </c>
      <c r="K34" s="817">
        <v>631</v>
      </c>
      <c r="M34" s="796">
        <f>K34/'Poverty_All ages'!AA34</f>
        <v>0.15212150433944069</v>
      </c>
    </row>
    <row r="35" spans="1:13">
      <c r="A35" s="816" t="s">
        <v>79</v>
      </c>
      <c r="B35" s="804" t="s">
        <v>80</v>
      </c>
      <c r="C35" s="864" t="s">
        <v>275</v>
      </c>
      <c r="D35" s="808">
        <v>227</v>
      </c>
      <c r="E35" s="808">
        <v>286</v>
      </c>
      <c r="F35" s="808">
        <v>230</v>
      </c>
      <c r="G35" s="808">
        <v>212</v>
      </c>
      <c r="H35" s="808">
        <v>247</v>
      </c>
      <c r="I35" s="808">
        <v>280</v>
      </c>
      <c r="J35" s="808">
        <v>317</v>
      </c>
      <c r="K35" s="817">
        <v>336</v>
      </c>
      <c r="M35" s="796">
        <f>K35/'Poverty_All ages'!AA35</f>
        <v>0.16342412451361868</v>
      </c>
    </row>
    <row r="36" spans="1:13">
      <c r="A36" s="816" t="s">
        <v>81</v>
      </c>
      <c r="B36" s="804" t="s">
        <v>82</v>
      </c>
      <c r="C36" s="864" t="s">
        <v>273</v>
      </c>
      <c r="D36" s="808">
        <v>154</v>
      </c>
      <c r="E36" s="808">
        <v>142</v>
      </c>
      <c r="F36" s="808">
        <v>122</v>
      </c>
      <c r="G36" s="808">
        <v>131</v>
      </c>
      <c r="H36" s="808">
        <v>146</v>
      </c>
      <c r="I36" s="808">
        <v>168</v>
      </c>
      <c r="J36" s="808">
        <v>239</v>
      </c>
      <c r="K36" s="817">
        <v>286</v>
      </c>
      <c r="M36" s="796">
        <f>K36/'Poverty_All ages'!AA36</f>
        <v>0.15245202558635396</v>
      </c>
    </row>
    <row r="37" spans="1:13">
      <c r="A37" s="816" t="s">
        <v>85</v>
      </c>
      <c r="B37" s="804" t="s">
        <v>86</v>
      </c>
      <c r="C37" s="864" t="s">
        <v>272</v>
      </c>
      <c r="D37" s="808">
        <v>1106</v>
      </c>
      <c r="E37" s="808">
        <v>1147</v>
      </c>
      <c r="F37" s="808">
        <v>1015</v>
      </c>
      <c r="G37" s="808">
        <v>1048</v>
      </c>
      <c r="H37" s="808">
        <v>1291</v>
      </c>
      <c r="I37" s="808">
        <v>1302</v>
      </c>
      <c r="J37" s="808">
        <v>1398</v>
      </c>
      <c r="K37" s="817">
        <v>1319</v>
      </c>
      <c r="M37" s="796">
        <f>K37/'Poverty_All ages'!AA37</f>
        <v>0.1839352949379445</v>
      </c>
    </row>
    <row r="38" spans="1:13">
      <c r="A38" s="816" t="s">
        <v>87</v>
      </c>
      <c r="B38" s="804" t="s">
        <v>88</v>
      </c>
      <c r="C38" s="864" t="s">
        <v>274</v>
      </c>
      <c r="D38" s="808">
        <v>444</v>
      </c>
      <c r="E38" s="808">
        <v>505</v>
      </c>
      <c r="F38" s="808">
        <v>543</v>
      </c>
      <c r="G38" s="808">
        <v>603</v>
      </c>
      <c r="H38" s="808">
        <v>841</v>
      </c>
      <c r="I38" s="808">
        <v>1006</v>
      </c>
      <c r="J38" s="808">
        <v>1133</v>
      </c>
      <c r="K38" s="817">
        <v>1048</v>
      </c>
      <c r="M38" s="796">
        <f>K38/'Poverty_All ages'!AA38</f>
        <v>0.14916026188442927</v>
      </c>
    </row>
    <row r="39" spans="1:13">
      <c r="A39" s="816" t="s">
        <v>93</v>
      </c>
      <c r="B39" s="804" t="s">
        <v>94</v>
      </c>
      <c r="C39" s="864" t="s">
        <v>275</v>
      </c>
      <c r="D39" s="808">
        <v>293</v>
      </c>
      <c r="E39" s="808">
        <v>237</v>
      </c>
      <c r="F39" s="808">
        <v>241</v>
      </c>
      <c r="G39" s="808">
        <v>214</v>
      </c>
      <c r="H39" s="808">
        <v>272</v>
      </c>
      <c r="I39" s="808">
        <v>282</v>
      </c>
      <c r="J39" s="808">
        <v>325</v>
      </c>
      <c r="K39" s="817">
        <v>284</v>
      </c>
      <c r="M39" s="796">
        <f>K39/'Poverty_All ages'!AA39</f>
        <v>0.13295880149812733</v>
      </c>
    </row>
    <row r="40" spans="1:13">
      <c r="A40" s="816" t="s">
        <v>95</v>
      </c>
      <c r="B40" s="804" t="s">
        <v>96</v>
      </c>
      <c r="C40" s="864" t="s">
        <v>271</v>
      </c>
      <c r="D40" s="808">
        <v>530</v>
      </c>
      <c r="E40" s="808">
        <v>530</v>
      </c>
      <c r="F40" s="808">
        <v>518</v>
      </c>
      <c r="G40" s="808">
        <v>543</v>
      </c>
      <c r="H40" s="808">
        <v>567</v>
      </c>
      <c r="I40" s="808">
        <v>668</v>
      </c>
      <c r="J40" s="808">
        <v>593</v>
      </c>
      <c r="K40" s="817">
        <v>543</v>
      </c>
      <c r="M40" s="796">
        <f>K40/'Poverty_All ages'!AA40</f>
        <v>0.14592851384036548</v>
      </c>
    </row>
    <row r="41" spans="1:13">
      <c r="A41" s="816" t="s">
        <v>97</v>
      </c>
      <c r="B41" s="804" t="s">
        <v>98</v>
      </c>
      <c r="C41" s="864" t="s">
        <v>273</v>
      </c>
      <c r="D41" s="808">
        <v>117</v>
      </c>
      <c r="E41" s="808">
        <v>166</v>
      </c>
      <c r="F41" s="808">
        <v>158</v>
      </c>
      <c r="G41" s="808">
        <v>178</v>
      </c>
      <c r="H41" s="808">
        <v>162</v>
      </c>
      <c r="I41" s="808">
        <v>222</v>
      </c>
      <c r="J41" s="808">
        <v>265</v>
      </c>
      <c r="K41" s="817">
        <v>230</v>
      </c>
      <c r="M41" s="796">
        <f>K41/'Poverty_All ages'!AA41</f>
        <v>0.13847080072245635</v>
      </c>
    </row>
    <row r="42" spans="1:13">
      <c r="A42" s="816" t="s">
        <v>99</v>
      </c>
      <c r="B42" s="804" t="s">
        <v>100</v>
      </c>
      <c r="C42" s="864" t="s">
        <v>275</v>
      </c>
      <c r="D42" s="808">
        <v>465</v>
      </c>
      <c r="E42" s="808">
        <v>481</v>
      </c>
      <c r="F42" s="808">
        <v>377</v>
      </c>
      <c r="G42" s="808">
        <v>253</v>
      </c>
      <c r="H42" s="808">
        <v>294</v>
      </c>
      <c r="I42" s="808">
        <v>312</v>
      </c>
      <c r="J42" s="808">
        <v>274</v>
      </c>
      <c r="K42" s="817">
        <v>263</v>
      </c>
      <c r="M42" s="796">
        <f>K42/'Poverty_All ages'!AA42</f>
        <v>9.336173233936812E-2</v>
      </c>
    </row>
    <row r="43" spans="1:13">
      <c r="A43" s="816" t="s">
        <v>101</v>
      </c>
      <c r="B43" s="804" t="s">
        <v>102</v>
      </c>
      <c r="C43" s="864" t="s">
        <v>274</v>
      </c>
      <c r="D43" s="808">
        <v>269</v>
      </c>
      <c r="E43" s="808">
        <v>305</v>
      </c>
      <c r="F43" s="808">
        <v>308</v>
      </c>
      <c r="G43" s="808">
        <v>248</v>
      </c>
      <c r="H43" s="808">
        <v>313</v>
      </c>
      <c r="I43" s="808">
        <v>328</v>
      </c>
      <c r="J43" s="808">
        <v>303</v>
      </c>
      <c r="K43" s="817">
        <v>286</v>
      </c>
      <c r="M43" s="796">
        <f>K43/'Poverty_All ages'!AA43</f>
        <v>0.16893089190785587</v>
      </c>
    </row>
    <row r="44" spans="1:13">
      <c r="A44" s="816" t="s">
        <v>103</v>
      </c>
      <c r="B44" s="804" t="s">
        <v>290</v>
      </c>
      <c r="C44" s="864" t="s">
        <v>271</v>
      </c>
      <c r="D44" s="808">
        <v>674</v>
      </c>
      <c r="E44" s="808">
        <v>824</v>
      </c>
      <c r="F44" s="808">
        <v>792</v>
      </c>
      <c r="G44" s="808">
        <v>851</v>
      </c>
      <c r="H44" s="808">
        <v>801</v>
      </c>
      <c r="I44" s="808">
        <v>824</v>
      </c>
      <c r="J44" s="808">
        <v>893</v>
      </c>
      <c r="K44" s="817">
        <v>803</v>
      </c>
      <c r="M44" s="796">
        <f>K44/'Poverty_All ages'!AA44</f>
        <v>0.23645465253239104</v>
      </c>
    </row>
    <row r="45" spans="1:13">
      <c r="A45" s="816" t="s">
        <v>105</v>
      </c>
      <c r="B45" s="804" t="s">
        <v>106</v>
      </c>
      <c r="C45" s="864" t="s">
        <v>272</v>
      </c>
      <c r="D45" s="808">
        <v>1533</v>
      </c>
      <c r="E45" s="808">
        <v>1532</v>
      </c>
      <c r="F45" s="808">
        <v>1472</v>
      </c>
      <c r="G45" s="808">
        <v>1418</v>
      </c>
      <c r="H45" s="808">
        <v>1374</v>
      </c>
      <c r="I45" s="808">
        <v>1362</v>
      </c>
      <c r="J45" s="808">
        <v>1324</v>
      </c>
      <c r="K45" s="817">
        <v>1150</v>
      </c>
      <c r="M45" s="796">
        <f>K45/'Poverty_All ages'!AA45</f>
        <v>0.16924208977189109</v>
      </c>
    </row>
    <row r="46" spans="1:13">
      <c r="A46" s="816" t="s">
        <v>109</v>
      </c>
      <c r="B46" s="804" t="s">
        <v>110</v>
      </c>
      <c r="C46" s="864" t="s">
        <v>273</v>
      </c>
      <c r="D46" s="808">
        <v>794</v>
      </c>
      <c r="E46" s="808">
        <v>737</v>
      </c>
      <c r="F46" s="808">
        <v>708</v>
      </c>
      <c r="G46" s="808">
        <v>723</v>
      </c>
      <c r="H46" s="808">
        <v>820</v>
      </c>
      <c r="I46" s="808">
        <v>965</v>
      </c>
      <c r="J46" s="808">
        <v>988</v>
      </c>
      <c r="K46" s="817">
        <v>834</v>
      </c>
      <c r="M46" s="796">
        <f>K46/'Poverty_All ages'!AA46</f>
        <v>0.13897683719380102</v>
      </c>
    </row>
    <row r="47" spans="1:13">
      <c r="A47" s="816" t="s">
        <v>111</v>
      </c>
      <c r="B47" s="804" t="s">
        <v>112</v>
      </c>
      <c r="C47" s="864" t="s">
        <v>273</v>
      </c>
      <c r="D47" s="808">
        <v>6186</v>
      </c>
      <c r="E47" s="808">
        <v>6388</v>
      </c>
      <c r="F47" s="808">
        <v>6032</v>
      </c>
      <c r="G47" s="808">
        <v>5646</v>
      </c>
      <c r="H47" s="808">
        <v>6393</v>
      </c>
      <c r="I47" s="808">
        <v>7706</v>
      </c>
      <c r="J47" s="808">
        <v>7953</v>
      </c>
      <c r="K47" s="817">
        <v>7735</v>
      </c>
      <c r="M47" s="796">
        <f>K47/'Poverty_All ages'!AA47</f>
        <v>0.23352353349636204</v>
      </c>
    </row>
    <row r="48" spans="1:13">
      <c r="A48" s="816" t="s">
        <v>113</v>
      </c>
      <c r="B48" s="804" t="s">
        <v>310</v>
      </c>
      <c r="C48" s="864" t="s">
        <v>272</v>
      </c>
      <c r="D48" s="808">
        <v>2840</v>
      </c>
      <c r="E48" s="808">
        <v>2769</v>
      </c>
      <c r="F48" s="808">
        <v>2605</v>
      </c>
      <c r="G48" s="808">
        <v>2515</v>
      </c>
      <c r="H48" s="808">
        <v>2783</v>
      </c>
      <c r="I48" s="808">
        <v>2992</v>
      </c>
      <c r="J48" s="808">
        <v>2932</v>
      </c>
      <c r="K48" s="817">
        <v>2620</v>
      </c>
      <c r="M48" s="796">
        <f>K48/'Poverty_All ages'!AA48</f>
        <v>0.18519827525270374</v>
      </c>
    </row>
    <row r="49" spans="1:13">
      <c r="A49" s="816" t="s">
        <v>115</v>
      </c>
      <c r="B49" s="804" t="s">
        <v>116</v>
      </c>
      <c r="C49" s="864" t="s">
        <v>272</v>
      </c>
      <c r="D49" s="808">
        <v>21</v>
      </c>
      <c r="E49" s="808">
        <v>19</v>
      </c>
      <c r="F49" s="808">
        <v>11</v>
      </c>
      <c r="G49" s="808">
        <v>4</v>
      </c>
      <c r="H49" s="808">
        <v>4</v>
      </c>
      <c r="I49" s="808">
        <v>1</v>
      </c>
      <c r="J49" s="808">
        <v>6</v>
      </c>
      <c r="K49" s="817">
        <v>8</v>
      </c>
      <c r="M49" s="796">
        <f>K49/'Poverty_All ages'!AA49</f>
        <v>2.564102564102564E-2</v>
      </c>
    </row>
    <row r="50" spans="1:13">
      <c r="A50" s="816" t="s">
        <v>119</v>
      </c>
      <c r="B50" s="804" t="s">
        <v>277</v>
      </c>
      <c r="C50" s="864" t="s">
        <v>271</v>
      </c>
      <c r="D50" s="808">
        <v>655</v>
      </c>
      <c r="E50" s="808">
        <v>681</v>
      </c>
      <c r="F50" s="808">
        <v>635</v>
      </c>
      <c r="G50" s="808">
        <v>615</v>
      </c>
      <c r="H50" s="808">
        <v>711</v>
      </c>
      <c r="I50" s="808">
        <v>812</v>
      </c>
      <c r="J50" s="808">
        <v>832</v>
      </c>
      <c r="K50" s="817">
        <v>709</v>
      </c>
      <c r="M50" s="796">
        <f>K50/'Poverty_All ages'!AA50</f>
        <v>0.18114460909555441</v>
      </c>
    </row>
    <row r="51" spans="1:13">
      <c r="A51" s="816" t="s">
        <v>121</v>
      </c>
      <c r="B51" s="804" t="s">
        <v>122</v>
      </c>
      <c r="C51" s="864" t="s">
        <v>271</v>
      </c>
      <c r="D51" s="808">
        <v>624</v>
      </c>
      <c r="E51" s="808">
        <v>606</v>
      </c>
      <c r="F51" s="808">
        <v>522</v>
      </c>
      <c r="G51" s="808">
        <v>522</v>
      </c>
      <c r="H51" s="808">
        <v>624</v>
      </c>
      <c r="I51" s="808">
        <v>791</v>
      </c>
      <c r="J51" s="808">
        <v>820</v>
      </c>
      <c r="K51" s="817">
        <v>836</v>
      </c>
      <c r="M51" s="796">
        <f>K51/'Poverty_All ages'!AA51</f>
        <v>0.16750150270486877</v>
      </c>
    </row>
    <row r="52" spans="1:13">
      <c r="A52" s="816" t="s">
        <v>123</v>
      </c>
      <c r="B52" s="804" t="s">
        <v>296</v>
      </c>
      <c r="C52" s="864" t="s">
        <v>273</v>
      </c>
      <c r="D52" s="808">
        <v>163</v>
      </c>
      <c r="E52" s="808">
        <v>153</v>
      </c>
      <c r="F52" s="808">
        <v>130</v>
      </c>
      <c r="G52" s="808">
        <v>128</v>
      </c>
      <c r="H52" s="808">
        <v>147</v>
      </c>
      <c r="I52" s="808">
        <v>178</v>
      </c>
      <c r="J52" s="808">
        <v>162</v>
      </c>
      <c r="K52" s="817">
        <v>145</v>
      </c>
      <c r="M52" s="796">
        <f>K52/'Poverty_All ages'!AA52</f>
        <v>0.15778019586507072</v>
      </c>
    </row>
    <row r="53" spans="1:13">
      <c r="A53" s="816" t="s">
        <v>125</v>
      </c>
      <c r="B53" s="804" t="s">
        <v>126</v>
      </c>
      <c r="C53" s="864" t="s">
        <v>274</v>
      </c>
      <c r="D53" s="808">
        <v>176</v>
      </c>
      <c r="E53" s="808">
        <v>183</v>
      </c>
      <c r="F53" s="808">
        <v>209</v>
      </c>
      <c r="G53" s="808">
        <v>249</v>
      </c>
      <c r="H53" s="808">
        <v>234</v>
      </c>
      <c r="I53" s="808">
        <v>292</v>
      </c>
      <c r="J53" s="808">
        <v>330</v>
      </c>
      <c r="K53" s="817">
        <v>338</v>
      </c>
      <c r="M53" s="796">
        <f>K53/'Poverty_All ages'!AA53</f>
        <v>0.20547112462006079</v>
      </c>
    </row>
    <row r="54" spans="1:13">
      <c r="A54" s="816" t="s">
        <v>127</v>
      </c>
      <c r="B54" s="804" t="s">
        <v>128</v>
      </c>
      <c r="C54" s="864" t="s">
        <v>273</v>
      </c>
      <c r="D54" s="808">
        <v>241</v>
      </c>
      <c r="E54" s="808">
        <v>189</v>
      </c>
      <c r="F54" s="808">
        <v>193</v>
      </c>
      <c r="G54" s="808">
        <v>164</v>
      </c>
      <c r="H54" s="808">
        <v>215</v>
      </c>
      <c r="I54" s="808">
        <v>296</v>
      </c>
      <c r="J54" s="808">
        <v>295</v>
      </c>
      <c r="K54" s="817">
        <v>246</v>
      </c>
      <c r="M54" s="796">
        <f>K54/'Poverty_All ages'!AA54</f>
        <v>0.17736121124729631</v>
      </c>
    </row>
    <row r="55" spans="1:13">
      <c r="A55" s="816" t="s">
        <v>129</v>
      </c>
      <c r="B55" s="804" t="s">
        <v>130</v>
      </c>
      <c r="C55" s="864" t="s">
        <v>273</v>
      </c>
      <c r="D55" s="808">
        <v>286</v>
      </c>
      <c r="E55" s="808">
        <v>268</v>
      </c>
      <c r="F55" s="808">
        <v>216</v>
      </c>
      <c r="G55" s="808">
        <v>195</v>
      </c>
      <c r="H55" s="808">
        <v>250</v>
      </c>
      <c r="I55" s="808">
        <v>236</v>
      </c>
      <c r="J55" s="808">
        <v>250</v>
      </c>
      <c r="K55" s="817">
        <v>295</v>
      </c>
      <c r="M55" s="796">
        <f>K55/'Poverty_All ages'!AA55</f>
        <v>0.16944284893739231</v>
      </c>
    </row>
    <row r="56" spans="1:13">
      <c r="A56" s="816" t="s">
        <v>131</v>
      </c>
      <c r="B56" s="804" t="s">
        <v>132</v>
      </c>
      <c r="C56" s="864" t="s">
        <v>275</v>
      </c>
      <c r="D56" s="808">
        <v>1634</v>
      </c>
      <c r="E56" s="808">
        <v>1562</v>
      </c>
      <c r="F56" s="808">
        <v>1426</v>
      </c>
      <c r="G56" s="808">
        <v>1267</v>
      </c>
      <c r="H56" s="808">
        <v>1288</v>
      </c>
      <c r="I56" s="808">
        <v>1422</v>
      </c>
      <c r="J56" s="808">
        <v>1426</v>
      </c>
      <c r="K56" s="817">
        <v>1403</v>
      </c>
      <c r="M56" s="796">
        <f>K56/'Poverty_All ages'!AA56</f>
        <v>0.21738456770994732</v>
      </c>
    </row>
    <row r="57" spans="1:13">
      <c r="A57" s="816" t="s">
        <v>133</v>
      </c>
      <c r="B57" s="804" t="s">
        <v>134</v>
      </c>
      <c r="C57" s="864" t="s">
        <v>274</v>
      </c>
      <c r="D57" s="808">
        <v>1331</v>
      </c>
      <c r="E57" s="808">
        <v>1415</v>
      </c>
      <c r="F57" s="808">
        <v>1409</v>
      </c>
      <c r="G57" s="808">
        <v>1550</v>
      </c>
      <c r="H57" s="808">
        <v>1690</v>
      </c>
      <c r="I57" s="808">
        <v>1838</v>
      </c>
      <c r="J57" s="808">
        <v>1554</v>
      </c>
      <c r="K57" s="817">
        <v>1523</v>
      </c>
      <c r="M57" s="796">
        <f>K57/'Poverty_All ages'!AA57</f>
        <v>0.11718990458602647</v>
      </c>
    </row>
    <row r="58" spans="1:13">
      <c r="A58" s="816" t="s">
        <v>135</v>
      </c>
      <c r="B58" s="804" t="s">
        <v>136</v>
      </c>
      <c r="C58" s="864" t="s">
        <v>274</v>
      </c>
      <c r="D58" s="808">
        <v>558</v>
      </c>
      <c r="E58" s="808">
        <v>568</v>
      </c>
      <c r="F58" s="808">
        <v>558</v>
      </c>
      <c r="G58" s="808">
        <v>503</v>
      </c>
      <c r="H58" s="808">
        <v>578</v>
      </c>
      <c r="I58" s="808">
        <v>621</v>
      </c>
      <c r="J58" s="808">
        <v>651</v>
      </c>
      <c r="K58" s="817">
        <v>567</v>
      </c>
      <c r="M58" s="796">
        <f>K58/'Poverty_All ages'!AA58</f>
        <v>0.15763135946622187</v>
      </c>
    </row>
    <row r="59" spans="1:13">
      <c r="A59" s="816" t="s">
        <v>137</v>
      </c>
      <c r="B59" s="804" t="s">
        <v>138</v>
      </c>
      <c r="C59" s="864" t="s">
        <v>273</v>
      </c>
      <c r="D59" s="808">
        <v>225</v>
      </c>
      <c r="E59" s="808">
        <v>210</v>
      </c>
      <c r="F59" s="808">
        <v>187</v>
      </c>
      <c r="G59" s="808">
        <v>216</v>
      </c>
      <c r="H59" s="808">
        <v>229</v>
      </c>
      <c r="I59" s="808">
        <v>285</v>
      </c>
      <c r="J59" s="808">
        <v>349</v>
      </c>
      <c r="K59" s="817">
        <v>412</v>
      </c>
      <c r="M59" s="796">
        <f>K59/'Poverty_All ages'!AA59</f>
        <v>0.15629742033383914</v>
      </c>
    </row>
    <row r="60" spans="1:13">
      <c r="A60" s="816" t="s">
        <v>141</v>
      </c>
      <c r="B60" s="804" t="s">
        <v>142</v>
      </c>
      <c r="C60" s="864" t="s">
        <v>274</v>
      </c>
      <c r="D60" s="808">
        <v>182</v>
      </c>
      <c r="E60" s="808">
        <v>154</v>
      </c>
      <c r="F60" s="808">
        <v>187</v>
      </c>
      <c r="G60" s="808">
        <v>161</v>
      </c>
      <c r="H60" s="808">
        <v>197</v>
      </c>
      <c r="I60" s="808">
        <v>199</v>
      </c>
      <c r="J60" s="808">
        <v>173</v>
      </c>
      <c r="K60" s="817">
        <v>152</v>
      </c>
      <c r="M60" s="796">
        <f>K60/'Poverty_All ages'!AA60</f>
        <v>9.8127824402840541E-2</v>
      </c>
    </row>
    <row r="61" spans="1:13">
      <c r="A61" s="816" t="s">
        <v>147</v>
      </c>
      <c r="B61" s="804" t="s">
        <v>148</v>
      </c>
      <c r="C61" s="864" t="s">
        <v>271</v>
      </c>
      <c r="D61" s="808">
        <v>118</v>
      </c>
      <c r="E61" s="808">
        <v>108</v>
      </c>
      <c r="F61" s="808">
        <v>110</v>
      </c>
      <c r="G61" s="808">
        <v>83</v>
      </c>
      <c r="H61" s="808">
        <v>107</v>
      </c>
      <c r="I61" s="808">
        <v>115</v>
      </c>
      <c r="J61" s="808">
        <v>121</v>
      </c>
      <c r="K61" s="817">
        <v>113</v>
      </c>
      <c r="M61" s="796">
        <f>K61/'Poverty_All ages'!AA61</f>
        <v>0.12725225225225226</v>
      </c>
    </row>
    <row r="62" spans="1:13">
      <c r="A62" s="816" t="s">
        <v>149</v>
      </c>
      <c r="B62" s="804" t="s">
        <v>150</v>
      </c>
      <c r="C62" s="864" t="s">
        <v>272</v>
      </c>
      <c r="D62" s="808">
        <v>932</v>
      </c>
      <c r="E62" s="808">
        <v>969</v>
      </c>
      <c r="F62" s="808">
        <v>862</v>
      </c>
      <c r="G62" s="808">
        <v>862</v>
      </c>
      <c r="H62" s="808">
        <v>930</v>
      </c>
      <c r="I62" s="808">
        <v>1009</v>
      </c>
      <c r="J62" s="808">
        <v>920</v>
      </c>
      <c r="K62" s="817">
        <v>814</v>
      </c>
      <c r="M62" s="796">
        <f>K62/'Poverty_All ages'!AA62</f>
        <v>0.13867120954003406</v>
      </c>
    </row>
    <row r="63" spans="1:13">
      <c r="A63" s="816" t="s">
        <v>151</v>
      </c>
      <c r="B63" s="804" t="s">
        <v>152</v>
      </c>
      <c r="C63" s="864" t="s">
        <v>273</v>
      </c>
      <c r="D63" s="808">
        <v>178</v>
      </c>
      <c r="E63" s="808">
        <v>215</v>
      </c>
      <c r="F63" s="808">
        <v>195</v>
      </c>
      <c r="G63" s="808">
        <v>146</v>
      </c>
      <c r="H63" s="808">
        <v>221</v>
      </c>
      <c r="I63" s="808">
        <v>258</v>
      </c>
      <c r="J63" s="808">
        <v>222</v>
      </c>
      <c r="K63" s="817">
        <v>253</v>
      </c>
      <c r="M63" s="796">
        <f>K63/'Poverty_All ages'!AA63</f>
        <v>0.18838421444527179</v>
      </c>
    </row>
    <row r="64" spans="1:13">
      <c r="A64" s="816" t="s">
        <v>153</v>
      </c>
      <c r="B64" s="804" t="s">
        <v>154</v>
      </c>
      <c r="C64" s="864" t="s">
        <v>275</v>
      </c>
      <c r="D64" s="808">
        <v>1868</v>
      </c>
      <c r="E64" s="808">
        <v>1987</v>
      </c>
      <c r="F64" s="808">
        <v>1890</v>
      </c>
      <c r="G64" s="808">
        <v>1717</v>
      </c>
      <c r="H64" s="808">
        <v>1897</v>
      </c>
      <c r="I64" s="808">
        <v>2045</v>
      </c>
      <c r="J64" s="808">
        <v>2069</v>
      </c>
      <c r="K64" s="817">
        <v>1851</v>
      </c>
      <c r="M64" s="796">
        <f>K64/'Poverty_All ages'!AA64</f>
        <v>9.6562157650373001E-2</v>
      </c>
    </row>
    <row r="65" spans="1:13">
      <c r="A65" s="816" t="s">
        <v>155</v>
      </c>
      <c r="B65" s="804" t="s">
        <v>156</v>
      </c>
      <c r="C65" s="864" t="s">
        <v>272</v>
      </c>
      <c r="D65" s="808">
        <v>173</v>
      </c>
      <c r="E65" s="808">
        <v>182</v>
      </c>
      <c r="F65" s="808">
        <v>225</v>
      </c>
      <c r="G65" s="808">
        <v>172</v>
      </c>
      <c r="H65" s="808">
        <v>214</v>
      </c>
      <c r="I65" s="808">
        <v>229</v>
      </c>
      <c r="J65" s="808">
        <v>212</v>
      </c>
      <c r="K65" s="817">
        <v>241</v>
      </c>
      <c r="M65" s="796">
        <f>K65/'Poverty_All ages'!AA65</f>
        <v>0.11836935166994106</v>
      </c>
    </row>
    <row r="66" spans="1:13">
      <c r="A66" s="816" t="s">
        <v>157</v>
      </c>
      <c r="B66" s="804" t="s">
        <v>158</v>
      </c>
      <c r="C66" s="864" t="s">
        <v>273</v>
      </c>
      <c r="D66" s="808">
        <v>219</v>
      </c>
      <c r="E66" s="808">
        <v>197</v>
      </c>
      <c r="F66" s="808">
        <v>159</v>
      </c>
      <c r="G66" s="808">
        <v>166</v>
      </c>
      <c r="H66" s="808">
        <v>197</v>
      </c>
      <c r="I66" s="808">
        <v>198</v>
      </c>
      <c r="J66" s="808">
        <v>238</v>
      </c>
      <c r="K66" s="817">
        <v>266</v>
      </c>
      <c r="M66" s="796">
        <f>K66/'Poverty_All ages'!AA66</f>
        <v>0.21161495624502785</v>
      </c>
    </row>
    <row r="67" spans="1:13">
      <c r="A67" s="816" t="s">
        <v>163</v>
      </c>
      <c r="B67" s="804" t="s">
        <v>164</v>
      </c>
      <c r="C67" s="864" t="s">
        <v>271</v>
      </c>
      <c r="D67" s="808">
        <v>587</v>
      </c>
      <c r="E67" s="808">
        <v>621</v>
      </c>
      <c r="F67" s="808">
        <v>596</v>
      </c>
      <c r="G67" s="808">
        <v>557</v>
      </c>
      <c r="H67" s="808">
        <v>560</v>
      </c>
      <c r="I67" s="808">
        <v>561</v>
      </c>
      <c r="J67" s="808">
        <v>615</v>
      </c>
      <c r="K67" s="817">
        <v>552</v>
      </c>
      <c r="M67" s="796">
        <f>K67/'Poverty_All ages'!AA67</f>
        <v>0.20116618075801748</v>
      </c>
    </row>
    <row r="68" spans="1:13">
      <c r="A68" s="816" t="s">
        <v>165</v>
      </c>
      <c r="B68" s="804" t="s">
        <v>166</v>
      </c>
      <c r="C68" s="864" t="s">
        <v>273</v>
      </c>
      <c r="D68" s="808">
        <v>199</v>
      </c>
      <c r="E68" s="808">
        <v>187</v>
      </c>
      <c r="F68" s="808">
        <v>186</v>
      </c>
      <c r="G68" s="808">
        <v>174</v>
      </c>
      <c r="H68" s="808">
        <v>147</v>
      </c>
      <c r="I68" s="808">
        <v>144</v>
      </c>
      <c r="J68" s="808">
        <v>168</v>
      </c>
      <c r="K68" s="817">
        <v>168</v>
      </c>
      <c r="M68" s="796">
        <f>K68/'Poverty_All ages'!AA68</f>
        <v>9.7731239092495634E-2</v>
      </c>
    </row>
    <row r="69" spans="1:13">
      <c r="A69" s="816" t="s">
        <v>169</v>
      </c>
      <c r="B69" s="804" t="s">
        <v>170</v>
      </c>
      <c r="C69" s="864" t="s">
        <v>273</v>
      </c>
      <c r="D69" s="808">
        <v>572</v>
      </c>
      <c r="E69" s="808">
        <v>683</v>
      </c>
      <c r="F69" s="808">
        <v>754</v>
      </c>
      <c r="G69" s="808">
        <v>692</v>
      </c>
      <c r="H69" s="808">
        <v>686</v>
      </c>
      <c r="I69" s="808">
        <v>652</v>
      </c>
      <c r="J69" s="808">
        <v>719</v>
      </c>
      <c r="K69" s="817">
        <v>730</v>
      </c>
      <c r="M69" s="796">
        <f>K69/'Poverty_All ages'!AA69</f>
        <v>0.23662884927066449</v>
      </c>
    </row>
    <row r="70" spans="1:13">
      <c r="A70" s="816" t="s">
        <v>171</v>
      </c>
      <c r="B70" s="804" t="s">
        <v>172</v>
      </c>
      <c r="C70" s="864" t="s">
        <v>274</v>
      </c>
      <c r="D70" s="808">
        <v>475</v>
      </c>
      <c r="E70" s="808">
        <v>447</v>
      </c>
      <c r="F70" s="808">
        <v>404</v>
      </c>
      <c r="G70" s="808">
        <v>421</v>
      </c>
      <c r="H70" s="808">
        <v>434</v>
      </c>
      <c r="I70" s="808">
        <v>463</v>
      </c>
      <c r="J70" s="808">
        <v>466</v>
      </c>
      <c r="K70" s="817">
        <v>433</v>
      </c>
      <c r="M70" s="796">
        <f>K70/'Poverty_All ages'!AA70</f>
        <v>0.10962025316455697</v>
      </c>
    </row>
    <row r="71" spans="1:13">
      <c r="A71" s="816" t="s">
        <v>173</v>
      </c>
      <c r="B71" s="804" t="s">
        <v>174</v>
      </c>
      <c r="C71" s="864" t="s">
        <v>274</v>
      </c>
      <c r="D71" s="808">
        <v>384</v>
      </c>
      <c r="E71" s="808">
        <v>396</v>
      </c>
      <c r="F71" s="808">
        <v>326</v>
      </c>
      <c r="G71" s="808">
        <v>289</v>
      </c>
      <c r="H71" s="808">
        <v>428</v>
      </c>
      <c r="I71" s="808">
        <v>555</v>
      </c>
      <c r="J71" s="808">
        <v>522</v>
      </c>
      <c r="K71" s="817">
        <v>443</v>
      </c>
      <c r="M71" s="796">
        <f>K71/'Poverty_All ages'!AA71</f>
        <v>0.1092478421701603</v>
      </c>
    </row>
    <row r="72" spans="1:13">
      <c r="A72" s="816" t="s">
        <v>175</v>
      </c>
      <c r="B72" s="804" t="s">
        <v>176</v>
      </c>
      <c r="C72" s="864" t="s">
        <v>275</v>
      </c>
      <c r="D72" s="808">
        <v>749</v>
      </c>
      <c r="E72" s="808">
        <v>780</v>
      </c>
      <c r="F72" s="808">
        <v>731</v>
      </c>
      <c r="G72" s="808">
        <v>664</v>
      </c>
      <c r="H72" s="808">
        <v>653</v>
      </c>
      <c r="I72" s="808">
        <v>614</v>
      </c>
      <c r="J72" s="808">
        <v>623</v>
      </c>
      <c r="K72" s="817">
        <v>664</v>
      </c>
      <c r="M72" s="796">
        <f>K72/'Poverty_All ages'!AA72</f>
        <v>0.20368098159509201</v>
      </c>
    </row>
    <row r="73" spans="1:13">
      <c r="A73" s="816" t="s">
        <v>179</v>
      </c>
      <c r="B73" s="804" t="s">
        <v>180</v>
      </c>
      <c r="C73" s="864" t="s">
        <v>272</v>
      </c>
      <c r="D73" s="808">
        <v>1510</v>
      </c>
      <c r="E73" s="808">
        <v>1453</v>
      </c>
      <c r="F73" s="808">
        <v>1360</v>
      </c>
      <c r="G73" s="808">
        <v>1292</v>
      </c>
      <c r="H73" s="808">
        <v>1380</v>
      </c>
      <c r="I73" s="808">
        <v>1418</v>
      </c>
      <c r="J73" s="808">
        <v>1355</v>
      </c>
      <c r="K73" s="817">
        <v>1273</v>
      </c>
      <c r="M73" s="796">
        <f>K73/'Poverty_All ages'!AA73</f>
        <v>0.13969055195874025</v>
      </c>
    </row>
    <row r="74" spans="1:13">
      <c r="A74" s="816" t="s">
        <v>183</v>
      </c>
      <c r="B74" s="804" t="s">
        <v>184</v>
      </c>
      <c r="C74" s="864" t="s">
        <v>273</v>
      </c>
      <c r="D74" s="808">
        <v>186</v>
      </c>
      <c r="E74" s="808">
        <v>217</v>
      </c>
      <c r="F74" s="808">
        <v>169</v>
      </c>
      <c r="G74" s="808">
        <v>183</v>
      </c>
      <c r="H74" s="808">
        <v>192</v>
      </c>
      <c r="I74" s="808">
        <v>188</v>
      </c>
      <c r="J74" s="808">
        <v>268</v>
      </c>
      <c r="K74" s="817">
        <v>244</v>
      </c>
      <c r="M74" s="796">
        <f>K74/'Poverty_All ages'!AA74</f>
        <v>0.12882787750791974</v>
      </c>
    </row>
    <row r="75" spans="1:13">
      <c r="A75" s="816" t="s">
        <v>185</v>
      </c>
      <c r="B75" s="804" t="s">
        <v>186</v>
      </c>
      <c r="C75" s="864" t="s">
        <v>273</v>
      </c>
      <c r="D75" s="808">
        <v>687</v>
      </c>
      <c r="E75" s="808">
        <v>799</v>
      </c>
      <c r="F75" s="808">
        <v>779</v>
      </c>
      <c r="G75" s="808">
        <v>726</v>
      </c>
      <c r="H75" s="808">
        <v>729</v>
      </c>
      <c r="I75" s="808">
        <v>822</v>
      </c>
      <c r="J75" s="808">
        <v>795</v>
      </c>
      <c r="K75" s="817">
        <v>700</v>
      </c>
      <c r="M75" s="796">
        <f>K75/'Poverty_All ages'!AA75</f>
        <v>0.14743049705139005</v>
      </c>
    </row>
    <row r="76" spans="1:13">
      <c r="A76" s="816" t="s">
        <v>187</v>
      </c>
      <c r="B76" s="804" t="s">
        <v>188</v>
      </c>
      <c r="C76" s="864" t="s">
        <v>271</v>
      </c>
      <c r="D76" s="808">
        <v>472</v>
      </c>
      <c r="E76" s="808">
        <v>535</v>
      </c>
      <c r="F76" s="808">
        <v>522</v>
      </c>
      <c r="G76" s="808">
        <v>508</v>
      </c>
      <c r="H76" s="808">
        <v>558</v>
      </c>
      <c r="I76" s="808">
        <v>546</v>
      </c>
      <c r="J76" s="808">
        <v>502</v>
      </c>
      <c r="K76" s="817">
        <v>465</v>
      </c>
      <c r="M76" s="796">
        <f>K76/'Poverty_All ages'!AA76</f>
        <v>0.13660399529964748</v>
      </c>
    </row>
    <row r="77" spans="1:13">
      <c r="A77" s="816" t="s">
        <v>189</v>
      </c>
      <c r="B77" s="804" t="s">
        <v>190</v>
      </c>
      <c r="C77" s="864" t="s">
        <v>274</v>
      </c>
      <c r="D77" s="808">
        <v>6216</v>
      </c>
      <c r="E77" s="808">
        <v>6226</v>
      </c>
      <c r="F77" s="808">
        <v>5952</v>
      </c>
      <c r="G77" s="808">
        <v>5958</v>
      </c>
      <c r="H77" s="808">
        <v>6898</v>
      </c>
      <c r="I77" s="808">
        <v>7959</v>
      </c>
      <c r="J77" s="808">
        <v>7876</v>
      </c>
      <c r="K77" s="817">
        <v>7093</v>
      </c>
      <c r="M77" s="796">
        <f>K77/'Poverty_All ages'!AA77</f>
        <v>0.24766926219490903</v>
      </c>
    </row>
    <row r="78" spans="1:13">
      <c r="A78" s="816" t="s">
        <v>191</v>
      </c>
      <c r="B78" s="804" t="s">
        <v>192</v>
      </c>
      <c r="C78" s="864" t="s">
        <v>275</v>
      </c>
      <c r="D78" s="808">
        <v>1078</v>
      </c>
      <c r="E78" s="808">
        <v>988</v>
      </c>
      <c r="F78" s="808">
        <v>1030</v>
      </c>
      <c r="G78" s="808">
        <v>954</v>
      </c>
      <c r="H78" s="808">
        <v>992</v>
      </c>
      <c r="I78" s="808">
        <v>1043</v>
      </c>
      <c r="J78" s="808">
        <v>1048</v>
      </c>
      <c r="K78" s="817">
        <v>992</v>
      </c>
      <c r="M78" s="796">
        <f>K78/'Poverty_All ages'!AA78</f>
        <v>0.17928790891017532</v>
      </c>
    </row>
    <row r="79" spans="1:13">
      <c r="A79" s="816" t="s">
        <v>195</v>
      </c>
      <c r="B79" s="804" t="s">
        <v>196</v>
      </c>
      <c r="C79" s="864" t="s">
        <v>274</v>
      </c>
      <c r="D79" s="808">
        <v>41</v>
      </c>
      <c r="E79" s="808">
        <v>26</v>
      </c>
      <c r="F79" s="808">
        <v>26</v>
      </c>
      <c r="G79" s="808">
        <v>51</v>
      </c>
      <c r="H79" s="808">
        <v>54</v>
      </c>
      <c r="I79" s="808">
        <v>29</v>
      </c>
      <c r="J79" s="808">
        <v>38</v>
      </c>
      <c r="K79" s="817">
        <v>47</v>
      </c>
      <c r="M79" s="796">
        <f>K79/'Poverty_All ages'!AA79</f>
        <v>6.3342318059299185E-2</v>
      </c>
    </row>
    <row r="80" spans="1:13">
      <c r="A80" s="816" t="s">
        <v>199</v>
      </c>
      <c r="B80" s="804" t="s">
        <v>279</v>
      </c>
      <c r="C80" s="864" t="s">
        <v>273</v>
      </c>
      <c r="D80" s="808">
        <v>255</v>
      </c>
      <c r="E80" s="808">
        <v>236</v>
      </c>
      <c r="F80" s="808">
        <v>218</v>
      </c>
      <c r="G80" s="808">
        <v>190</v>
      </c>
      <c r="H80" s="808">
        <v>213</v>
      </c>
      <c r="I80" s="808">
        <v>212</v>
      </c>
      <c r="J80" s="808">
        <v>198</v>
      </c>
      <c r="K80" s="817">
        <v>208</v>
      </c>
      <c r="M80" s="796">
        <f>K80/'Poverty_All ages'!AA80</f>
        <v>0.13774834437086092</v>
      </c>
    </row>
    <row r="81" spans="1:13">
      <c r="A81" s="816" t="s">
        <v>203</v>
      </c>
      <c r="B81" s="804" t="s">
        <v>311</v>
      </c>
      <c r="C81" s="864" t="s">
        <v>272</v>
      </c>
      <c r="D81" s="808">
        <v>1383</v>
      </c>
      <c r="E81" s="808">
        <v>1386</v>
      </c>
      <c r="F81" s="808">
        <v>1438</v>
      </c>
      <c r="G81" s="808">
        <v>1467</v>
      </c>
      <c r="H81" s="808">
        <v>1623</v>
      </c>
      <c r="I81" s="808">
        <v>1762</v>
      </c>
      <c r="J81" s="808">
        <v>1720</v>
      </c>
      <c r="K81" s="817">
        <v>1527</v>
      </c>
      <c r="M81" s="796">
        <f>K81/'Poverty_All ages'!AA81</f>
        <v>0.15499390986601705</v>
      </c>
    </row>
    <row r="82" spans="1:13">
      <c r="A82" s="816" t="s">
        <v>205</v>
      </c>
      <c r="B82" s="804" t="s">
        <v>303</v>
      </c>
      <c r="C82" s="864" t="s">
        <v>272</v>
      </c>
      <c r="D82" s="808">
        <v>470</v>
      </c>
      <c r="E82" s="808">
        <v>430</v>
      </c>
      <c r="F82" s="808">
        <v>383</v>
      </c>
      <c r="G82" s="808">
        <v>330</v>
      </c>
      <c r="H82" s="808">
        <v>434</v>
      </c>
      <c r="I82" s="808">
        <v>443</v>
      </c>
      <c r="J82" s="808">
        <v>529</v>
      </c>
      <c r="K82" s="817">
        <v>420</v>
      </c>
      <c r="M82" s="796">
        <f>K82/'Poverty_All ages'!AA82</f>
        <v>8.7408949011446413E-2</v>
      </c>
    </row>
    <row r="83" spans="1:13">
      <c r="A83" s="816" t="s">
        <v>207</v>
      </c>
      <c r="B83" s="804" t="s">
        <v>304</v>
      </c>
      <c r="C83" s="864" t="s">
        <v>274</v>
      </c>
      <c r="D83" s="808">
        <v>1680</v>
      </c>
      <c r="E83" s="808">
        <v>1967</v>
      </c>
      <c r="F83" s="808">
        <v>1842</v>
      </c>
      <c r="G83" s="808">
        <v>1676</v>
      </c>
      <c r="H83" s="808">
        <v>1758</v>
      </c>
      <c r="I83" s="808">
        <v>2208</v>
      </c>
      <c r="J83" s="808">
        <v>2243</v>
      </c>
      <c r="K83" s="817">
        <v>2001</v>
      </c>
      <c r="M83" s="796">
        <f>K83/'Poverty_All ages'!AA83</f>
        <v>0.10713138451654353</v>
      </c>
    </row>
    <row r="84" spans="1:13">
      <c r="A84" s="816" t="s">
        <v>209</v>
      </c>
      <c r="B84" s="804" t="s">
        <v>210</v>
      </c>
      <c r="C84" s="864" t="s">
        <v>275</v>
      </c>
      <c r="D84" s="808">
        <v>1511</v>
      </c>
      <c r="E84" s="808">
        <v>1462</v>
      </c>
      <c r="F84" s="808">
        <v>1360</v>
      </c>
      <c r="G84" s="808">
        <v>1245</v>
      </c>
      <c r="H84" s="808">
        <v>1306</v>
      </c>
      <c r="I84" s="808">
        <v>1411</v>
      </c>
      <c r="J84" s="808">
        <v>1293</v>
      </c>
      <c r="K84" s="817">
        <v>1113</v>
      </c>
      <c r="M84" s="796">
        <f>K84/'Poverty_All ages'!AA84</f>
        <v>0.16602028639618138</v>
      </c>
    </row>
    <row r="85" spans="1:13">
      <c r="A85" s="816" t="s">
        <v>211</v>
      </c>
      <c r="B85" s="804" t="s">
        <v>212</v>
      </c>
      <c r="C85" s="864" t="s">
        <v>275</v>
      </c>
      <c r="D85" s="808">
        <v>1054</v>
      </c>
      <c r="E85" s="808">
        <v>983</v>
      </c>
      <c r="F85" s="808">
        <v>991</v>
      </c>
      <c r="G85" s="808">
        <v>916</v>
      </c>
      <c r="H85" s="808">
        <v>1020</v>
      </c>
      <c r="I85" s="808">
        <v>1100</v>
      </c>
      <c r="J85" s="808">
        <v>1051</v>
      </c>
      <c r="K85" s="817">
        <v>963</v>
      </c>
      <c r="M85" s="796">
        <f>K85/'Poverty_All ages'!AA85</f>
        <v>0.22966849511089912</v>
      </c>
    </row>
    <row r="86" spans="1:13">
      <c r="A86" s="816" t="s">
        <v>213</v>
      </c>
      <c r="B86" s="804" t="s">
        <v>214</v>
      </c>
      <c r="C86" s="864" t="s">
        <v>274</v>
      </c>
      <c r="D86" s="808">
        <v>244</v>
      </c>
      <c r="E86" s="808">
        <v>287</v>
      </c>
      <c r="F86" s="808">
        <v>227</v>
      </c>
      <c r="G86" s="808">
        <v>244</v>
      </c>
      <c r="H86" s="808">
        <v>358</v>
      </c>
      <c r="I86" s="808">
        <v>320</v>
      </c>
      <c r="J86" s="808">
        <v>386</v>
      </c>
      <c r="K86" s="817">
        <v>397</v>
      </c>
      <c r="M86" s="796">
        <f>K86/'Poverty_All ages'!AA86</f>
        <v>7.0640569395017797E-2</v>
      </c>
    </row>
    <row r="87" spans="1:13">
      <c r="A87" s="816" t="s">
        <v>215</v>
      </c>
      <c r="B87" s="804" t="s">
        <v>216</v>
      </c>
      <c r="C87" s="864" t="s">
        <v>275</v>
      </c>
      <c r="D87" s="808">
        <v>925</v>
      </c>
      <c r="E87" s="808">
        <v>967</v>
      </c>
      <c r="F87" s="808">
        <v>907</v>
      </c>
      <c r="G87" s="808">
        <v>867</v>
      </c>
      <c r="H87" s="808">
        <v>1069</v>
      </c>
      <c r="I87" s="808">
        <v>1173</v>
      </c>
      <c r="J87" s="808">
        <v>1214</v>
      </c>
      <c r="K87" s="817">
        <v>1138</v>
      </c>
      <c r="M87" s="796">
        <f>K87/'Poverty_All ages'!AA87</f>
        <v>0.18701725554642565</v>
      </c>
    </row>
    <row r="88" spans="1:13">
      <c r="A88" s="816" t="s">
        <v>217</v>
      </c>
      <c r="B88" s="804" t="s">
        <v>218</v>
      </c>
      <c r="C88" s="864" t="s">
        <v>271</v>
      </c>
      <c r="D88" s="808">
        <v>598</v>
      </c>
      <c r="E88" s="808">
        <v>637</v>
      </c>
      <c r="F88" s="808">
        <v>632</v>
      </c>
      <c r="G88" s="808">
        <v>654</v>
      </c>
      <c r="H88" s="808">
        <v>663</v>
      </c>
      <c r="I88" s="808">
        <v>663</v>
      </c>
      <c r="J88" s="808">
        <v>699</v>
      </c>
      <c r="K88" s="817">
        <v>676</v>
      </c>
      <c r="M88" s="796">
        <f>K88/'Poverty_All ages'!AA88</f>
        <v>0.25074183976261127</v>
      </c>
    </row>
    <row r="89" spans="1:13">
      <c r="A89" s="816" t="s">
        <v>219</v>
      </c>
      <c r="B89" s="804" t="s">
        <v>220</v>
      </c>
      <c r="C89" s="864" t="s">
        <v>274</v>
      </c>
      <c r="D89" s="808">
        <v>1133</v>
      </c>
      <c r="E89" s="808">
        <v>1185</v>
      </c>
      <c r="F89" s="808">
        <v>1321</v>
      </c>
      <c r="G89" s="808">
        <v>1442</v>
      </c>
      <c r="H89" s="808">
        <v>1898</v>
      </c>
      <c r="I89" s="808">
        <v>2280</v>
      </c>
      <c r="J89" s="808">
        <v>2468</v>
      </c>
      <c r="K89" s="817">
        <v>2343</v>
      </c>
      <c r="M89" s="796">
        <f>K89/'Poverty_All ages'!AA89</f>
        <v>0.25042753313381788</v>
      </c>
    </row>
    <row r="90" spans="1:13">
      <c r="A90" s="816" t="s">
        <v>221</v>
      </c>
      <c r="B90" s="804" t="s">
        <v>222</v>
      </c>
      <c r="C90" s="864" t="s">
        <v>274</v>
      </c>
      <c r="D90" s="808">
        <v>1124</v>
      </c>
      <c r="E90" s="808">
        <v>1355</v>
      </c>
      <c r="F90" s="808">
        <v>1465</v>
      </c>
      <c r="G90" s="808">
        <v>1623</v>
      </c>
      <c r="H90" s="808">
        <v>1803</v>
      </c>
      <c r="I90" s="808">
        <v>1842</v>
      </c>
      <c r="J90" s="808">
        <v>1799</v>
      </c>
      <c r="K90" s="817">
        <v>1866</v>
      </c>
      <c r="M90" s="796">
        <f>K90/'Poverty_All ages'!AA90</f>
        <v>0.2312267657992565</v>
      </c>
    </row>
    <row r="91" spans="1:13">
      <c r="A91" s="816" t="s">
        <v>225</v>
      </c>
      <c r="B91" s="804" t="s">
        <v>226</v>
      </c>
      <c r="C91" s="864" t="s">
        <v>271</v>
      </c>
      <c r="D91" s="808">
        <v>179</v>
      </c>
      <c r="E91" s="808">
        <v>218</v>
      </c>
      <c r="F91" s="808">
        <v>181</v>
      </c>
      <c r="G91" s="808">
        <v>145</v>
      </c>
      <c r="H91" s="808">
        <v>221</v>
      </c>
      <c r="I91" s="808">
        <v>290</v>
      </c>
      <c r="J91" s="808">
        <v>261</v>
      </c>
      <c r="K91" s="817">
        <v>237</v>
      </c>
      <c r="M91" s="796">
        <f>K91/'Poverty_All ages'!AA91</f>
        <v>0.26809954751131221</v>
      </c>
    </row>
    <row r="92" spans="1:13">
      <c r="A92" s="816" t="s">
        <v>227</v>
      </c>
      <c r="B92" s="804" t="s">
        <v>228</v>
      </c>
      <c r="C92" s="864" t="s">
        <v>271</v>
      </c>
      <c r="D92" s="808">
        <v>410</v>
      </c>
      <c r="E92" s="808">
        <v>443</v>
      </c>
      <c r="F92" s="808">
        <v>451</v>
      </c>
      <c r="G92" s="808">
        <v>443</v>
      </c>
      <c r="H92" s="808">
        <v>414</v>
      </c>
      <c r="I92" s="808">
        <v>434</v>
      </c>
      <c r="J92" s="808">
        <v>433</v>
      </c>
      <c r="K92" s="817">
        <v>406</v>
      </c>
      <c r="M92" s="796">
        <f>K92/'Poverty_All ages'!AA92</f>
        <v>0.20651068158697863</v>
      </c>
    </row>
    <row r="93" spans="1:13">
      <c r="A93" s="816" t="s">
        <v>229</v>
      </c>
      <c r="B93" s="804" t="s">
        <v>230</v>
      </c>
      <c r="C93" s="864" t="s">
        <v>275</v>
      </c>
      <c r="D93" s="808">
        <v>2148</v>
      </c>
      <c r="E93" s="808">
        <v>1963</v>
      </c>
      <c r="F93" s="808">
        <v>1851</v>
      </c>
      <c r="G93" s="808">
        <v>1615</v>
      </c>
      <c r="H93" s="808">
        <v>1584</v>
      </c>
      <c r="I93" s="808">
        <v>1696</v>
      </c>
      <c r="J93" s="808">
        <v>1454</v>
      </c>
      <c r="K93" s="817">
        <v>1398</v>
      </c>
      <c r="M93" s="796">
        <f>K93/'Poverty_All ages'!AA93</f>
        <v>0.18443271767810027</v>
      </c>
    </row>
    <row r="94" spans="1:13">
      <c r="A94" s="816" t="s">
        <v>233</v>
      </c>
      <c r="B94" s="804" t="s">
        <v>234</v>
      </c>
      <c r="C94" s="864" t="s">
        <v>274</v>
      </c>
      <c r="D94" s="808">
        <v>540</v>
      </c>
      <c r="E94" s="808">
        <v>535</v>
      </c>
      <c r="F94" s="808">
        <v>495</v>
      </c>
      <c r="G94" s="808">
        <v>512</v>
      </c>
      <c r="H94" s="808">
        <v>731</v>
      </c>
      <c r="I94" s="808">
        <v>773</v>
      </c>
      <c r="J94" s="808">
        <v>767</v>
      </c>
      <c r="K94" s="817">
        <v>718</v>
      </c>
      <c r="M94" s="796">
        <f>K94/'Poverty_All ages'!AA94</f>
        <v>0.18610679108346292</v>
      </c>
    </row>
    <row r="95" spans="1:13">
      <c r="A95" s="816" t="s">
        <v>235</v>
      </c>
      <c r="B95" s="804" t="s">
        <v>236</v>
      </c>
      <c r="C95" s="864" t="s">
        <v>275</v>
      </c>
      <c r="D95" s="808">
        <v>990</v>
      </c>
      <c r="E95" s="808">
        <v>990</v>
      </c>
      <c r="F95" s="808">
        <v>1042</v>
      </c>
      <c r="G95" s="808">
        <v>945</v>
      </c>
      <c r="H95" s="808">
        <v>1125</v>
      </c>
      <c r="I95" s="808">
        <v>1282</v>
      </c>
      <c r="J95" s="808">
        <v>1188</v>
      </c>
      <c r="K95" s="817">
        <v>1045</v>
      </c>
      <c r="M95" s="796">
        <f>K95/'Poverty_All ages'!AA95</f>
        <v>0.1529790660225443</v>
      </c>
    </row>
    <row r="96" spans="1:13">
      <c r="A96" s="816" t="s">
        <v>237</v>
      </c>
      <c r="B96" s="804" t="s">
        <v>238</v>
      </c>
      <c r="C96" s="864" t="s">
        <v>273</v>
      </c>
      <c r="D96" s="808">
        <v>513</v>
      </c>
      <c r="E96" s="808">
        <v>452</v>
      </c>
      <c r="F96" s="808">
        <v>425</v>
      </c>
      <c r="G96" s="808">
        <v>416</v>
      </c>
      <c r="H96" s="808">
        <v>472</v>
      </c>
      <c r="I96" s="808">
        <v>443</v>
      </c>
      <c r="J96" s="808">
        <v>556</v>
      </c>
      <c r="K96" s="817">
        <v>461</v>
      </c>
      <c r="M96" s="796">
        <f>K96/'Poverty_All ages'!AA96</f>
        <v>0.15264900662251657</v>
      </c>
    </row>
    <row r="97" spans="1:13">
      <c r="A97" s="816" t="s">
        <v>243</v>
      </c>
      <c r="B97" s="804" t="s">
        <v>244</v>
      </c>
      <c r="C97" s="864" t="s">
        <v>275</v>
      </c>
      <c r="D97" s="808">
        <v>2566</v>
      </c>
      <c r="E97" s="808">
        <v>2449</v>
      </c>
      <c r="F97" s="808">
        <v>2297</v>
      </c>
      <c r="G97" s="808">
        <v>2245</v>
      </c>
      <c r="H97" s="808">
        <v>2288</v>
      </c>
      <c r="I97" s="808">
        <v>2402</v>
      </c>
      <c r="J97" s="808">
        <v>2138</v>
      </c>
      <c r="K97" s="817">
        <v>2100</v>
      </c>
      <c r="M97" s="796">
        <f>K97/'Poverty_All ages'!AA97</f>
        <v>0.23912548394443178</v>
      </c>
    </row>
    <row r="98" spans="1:13">
      <c r="A98" s="816" t="s">
        <v>245</v>
      </c>
      <c r="B98" s="804" t="s">
        <v>246</v>
      </c>
      <c r="C98" s="864" t="s">
        <v>275</v>
      </c>
      <c r="D98" s="808">
        <v>785</v>
      </c>
      <c r="E98" s="808">
        <v>845</v>
      </c>
      <c r="F98" s="808">
        <v>772</v>
      </c>
      <c r="G98" s="808">
        <v>724</v>
      </c>
      <c r="H98" s="808">
        <v>744</v>
      </c>
      <c r="I98" s="808">
        <v>812</v>
      </c>
      <c r="J98" s="808">
        <v>812</v>
      </c>
      <c r="K98" s="817">
        <v>706</v>
      </c>
      <c r="M98" s="796">
        <f>K98/'Poverty_All ages'!AA98</f>
        <v>0.17020250723240116</v>
      </c>
    </row>
    <row r="99" spans="1:13">
      <c r="A99" s="816" t="s">
        <v>247</v>
      </c>
      <c r="B99" s="804" t="s">
        <v>248</v>
      </c>
      <c r="C99" s="864" t="s">
        <v>271</v>
      </c>
      <c r="D99" s="808">
        <v>450</v>
      </c>
      <c r="E99" s="808">
        <v>514</v>
      </c>
      <c r="F99" s="808">
        <v>478</v>
      </c>
      <c r="G99" s="808">
        <v>442</v>
      </c>
      <c r="H99" s="808">
        <v>523</v>
      </c>
      <c r="I99" s="808">
        <v>628</v>
      </c>
      <c r="J99" s="808">
        <v>752</v>
      </c>
      <c r="K99" s="817">
        <v>712</v>
      </c>
      <c r="M99" s="796">
        <f>K99/'Poverty_All ages'!AA99</f>
        <v>0.16984732824427481</v>
      </c>
    </row>
    <row r="100" spans="1:13">
      <c r="A100" s="816" t="s">
        <v>14</v>
      </c>
      <c r="B100" s="804" t="s">
        <v>15</v>
      </c>
      <c r="C100" s="864" t="s">
        <v>274</v>
      </c>
      <c r="D100" s="808">
        <v>2564</v>
      </c>
      <c r="E100" s="808">
        <v>2274</v>
      </c>
      <c r="F100" s="808">
        <v>2167</v>
      </c>
      <c r="G100" s="808">
        <v>2154</v>
      </c>
      <c r="H100" s="808">
        <v>2326</v>
      </c>
      <c r="I100" s="808">
        <v>2520</v>
      </c>
      <c r="J100" s="808">
        <v>2596</v>
      </c>
      <c r="K100" s="817">
        <v>2346</v>
      </c>
      <c r="M100" s="796">
        <f>K100/'Poverty_All ages'!AA100</f>
        <v>0.20361048429092171</v>
      </c>
    </row>
    <row r="101" spans="1:13">
      <c r="A101" s="816" t="s">
        <v>35</v>
      </c>
      <c r="B101" s="804" t="s">
        <v>36</v>
      </c>
      <c r="C101" s="864" t="s">
        <v>275</v>
      </c>
      <c r="D101" s="808">
        <v>1224</v>
      </c>
      <c r="E101" s="808">
        <v>1318</v>
      </c>
      <c r="F101" s="808">
        <v>1301</v>
      </c>
      <c r="G101" s="808">
        <v>1284</v>
      </c>
      <c r="H101" s="808">
        <v>1355</v>
      </c>
      <c r="I101" s="808">
        <v>1401</v>
      </c>
      <c r="J101" s="808">
        <v>1517</v>
      </c>
      <c r="K101" s="817">
        <v>1559</v>
      </c>
      <c r="M101" s="796">
        <f>K101/'Poverty_All ages'!AA101</f>
        <v>0.34908195253022839</v>
      </c>
    </row>
    <row r="102" spans="1:13">
      <c r="A102" s="816" t="s">
        <v>53</v>
      </c>
      <c r="B102" s="804" t="s">
        <v>54</v>
      </c>
      <c r="C102" s="864" t="s">
        <v>272</v>
      </c>
      <c r="D102" s="808">
        <v>1699</v>
      </c>
      <c r="E102" s="808">
        <v>1614</v>
      </c>
      <c r="F102" s="808">
        <v>1469</v>
      </c>
      <c r="G102" s="808">
        <v>1451</v>
      </c>
      <c r="H102" s="808">
        <v>1614</v>
      </c>
      <c r="I102" s="808">
        <v>1699</v>
      </c>
      <c r="J102" s="808">
        <v>1691</v>
      </c>
      <c r="K102" s="817">
        <v>1604</v>
      </c>
      <c r="M102" s="796">
        <f>K102/'Poverty_All ages'!AA102</f>
        <v>0.16870004206983594</v>
      </c>
    </row>
    <row r="103" spans="1:13">
      <c r="A103" s="816" t="s">
        <v>55</v>
      </c>
      <c r="B103" s="804" t="s">
        <v>56</v>
      </c>
      <c r="C103" s="864" t="s">
        <v>271</v>
      </c>
      <c r="D103" s="808">
        <v>5474</v>
      </c>
      <c r="E103" s="808">
        <v>5520</v>
      </c>
      <c r="F103" s="808">
        <v>4950</v>
      </c>
      <c r="G103" s="808">
        <v>5052</v>
      </c>
      <c r="H103" s="808">
        <v>5636</v>
      </c>
      <c r="I103" s="808">
        <v>6110</v>
      </c>
      <c r="J103" s="808">
        <v>6029</v>
      </c>
      <c r="K103" s="817">
        <v>5485</v>
      </c>
      <c r="M103" s="796">
        <f>K103/'Poverty_All ages'!AA103</f>
        <v>0.26689698798112016</v>
      </c>
    </row>
    <row r="104" spans="1:13">
      <c r="A104" s="816" t="s">
        <v>67</v>
      </c>
      <c r="B104" s="804" t="s">
        <v>68</v>
      </c>
      <c r="C104" s="864" t="s">
        <v>272</v>
      </c>
      <c r="D104" s="808">
        <v>3276</v>
      </c>
      <c r="E104" s="808">
        <v>3249</v>
      </c>
      <c r="F104" s="808">
        <v>3126</v>
      </c>
      <c r="G104" s="808">
        <v>2779</v>
      </c>
      <c r="H104" s="808">
        <v>2892</v>
      </c>
      <c r="I104" s="808">
        <v>2912</v>
      </c>
      <c r="J104" s="808">
        <v>2697</v>
      </c>
      <c r="K104" s="817">
        <v>2571</v>
      </c>
      <c r="M104" s="796">
        <f>K104/'Poverty_All ages'!AA104</f>
        <v>0.23406773488710853</v>
      </c>
    </row>
    <row r="105" spans="1:13">
      <c r="A105" s="816" t="s">
        <v>83</v>
      </c>
      <c r="B105" s="804" t="s">
        <v>84</v>
      </c>
      <c r="C105" s="864" t="s">
        <v>271</v>
      </c>
      <c r="D105" s="808">
        <v>600</v>
      </c>
      <c r="E105" s="808">
        <v>626</v>
      </c>
      <c r="F105" s="808">
        <v>493</v>
      </c>
      <c r="G105" s="808">
        <v>483</v>
      </c>
      <c r="H105" s="808">
        <v>487</v>
      </c>
      <c r="I105" s="808">
        <v>575</v>
      </c>
      <c r="J105" s="808">
        <v>644</v>
      </c>
      <c r="K105" s="817">
        <v>748</v>
      </c>
      <c r="M105" s="796">
        <f>K105/'Poverty_All ages'!AA105</f>
        <v>0.40586001085187196</v>
      </c>
    </row>
    <row r="106" spans="1:13">
      <c r="A106" s="816" t="s">
        <v>89</v>
      </c>
      <c r="B106" s="804" t="s">
        <v>90</v>
      </c>
      <c r="C106" s="864" t="s">
        <v>274</v>
      </c>
      <c r="D106" s="808">
        <v>827</v>
      </c>
      <c r="E106" s="808">
        <v>874</v>
      </c>
      <c r="F106" s="808">
        <v>851</v>
      </c>
      <c r="G106" s="808">
        <v>904</v>
      </c>
      <c r="H106" s="808">
        <v>1105</v>
      </c>
      <c r="I106" s="808">
        <v>1208</v>
      </c>
      <c r="J106" s="808">
        <v>1219</v>
      </c>
      <c r="K106" s="817">
        <v>1162</v>
      </c>
      <c r="M106" s="796">
        <f>K106/'Poverty_All ages'!AA106</f>
        <v>0.3156750882912252</v>
      </c>
    </row>
    <row r="107" spans="1:13">
      <c r="A107" s="816" t="s">
        <v>91</v>
      </c>
      <c r="B107" s="804" t="s">
        <v>92</v>
      </c>
      <c r="C107" s="864" t="s">
        <v>275</v>
      </c>
      <c r="D107" s="808">
        <v>398</v>
      </c>
      <c r="E107" s="808">
        <v>370</v>
      </c>
      <c r="F107" s="808">
        <v>366</v>
      </c>
      <c r="G107" s="808">
        <v>365</v>
      </c>
      <c r="H107" s="808">
        <v>481</v>
      </c>
      <c r="I107" s="808">
        <v>559</v>
      </c>
      <c r="J107" s="808">
        <v>480</v>
      </c>
      <c r="K107" s="817">
        <v>426</v>
      </c>
      <c r="M107" s="796">
        <f>K107/'Poverty_All ages'!AA107</f>
        <v>0.27843137254901962</v>
      </c>
    </row>
    <row r="108" spans="1:13">
      <c r="A108" s="816" t="s">
        <v>107</v>
      </c>
      <c r="B108" s="804" t="s">
        <v>108</v>
      </c>
      <c r="C108" s="864" t="s">
        <v>271</v>
      </c>
      <c r="D108" s="808">
        <v>6707</v>
      </c>
      <c r="E108" s="808">
        <v>6416</v>
      </c>
      <c r="F108" s="808">
        <v>5896</v>
      </c>
      <c r="G108" s="808">
        <v>5425</v>
      </c>
      <c r="H108" s="808">
        <v>5890</v>
      </c>
      <c r="I108" s="808">
        <v>6335</v>
      </c>
      <c r="J108" s="808">
        <v>6670</v>
      </c>
      <c r="K108" s="817">
        <v>6619</v>
      </c>
      <c r="M108" s="796">
        <f>K108/'Poverty_All ages'!AA108</f>
        <v>0.32843745348087133</v>
      </c>
    </row>
    <row r="109" spans="1:13">
      <c r="A109" s="816" t="s">
        <v>117</v>
      </c>
      <c r="B109" s="804" t="s">
        <v>118</v>
      </c>
      <c r="C109" s="864" t="s">
        <v>273</v>
      </c>
      <c r="D109" s="808">
        <v>1613</v>
      </c>
      <c r="E109" s="808">
        <v>1650</v>
      </c>
      <c r="F109" s="808">
        <v>1472</v>
      </c>
      <c r="G109" s="808">
        <v>1513</v>
      </c>
      <c r="H109" s="808">
        <v>1642</v>
      </c>
      <c r="I109" s="808">
        <v>1726</v>
      </c>
      <c r="J109" s="808">
        <v>1732</v>
      </c>
      <c r="K109" s="817">
        <v>1610</v>
      </c>
      <c r="M109" s="796">
        <f>K109/'Poverty_All ages'!AA109</f>
        <v>0.39499509322865556</v>
      </c>
    </row>
    <row r="110" spans="1:13">
      <c r="A110" s="816" t="s">
        <v>139</v>
      </c>
      <c r="B110" s="804" t="s">
        <v>140</v>
      </c>
      <c r="C110" s="864" t="s">
        <v>272</v>
      </c>
      <c r="D110" s="808">
        <v>3009</v>
      </c>
      <c r="E110" s="808">
        <v>2946</v>
      </c>
      <c r="F110" s="808">
        <v>2805</v>
      </c>
      <c r="G110" s="808">
        <v>2632</v>
      </c>
      <c r="H110" s="808">
        <v>2821</v>
      </c>
      <c r="I110" s="808">
        <v>3316</v>
      </c>
      <c r="J110" s="808">
        <v>3361</v>
      </c>
      <c r="K110" s="817">
        <v>3308</v>
      </c>
      <c r="M110" s="796">
        <f>K110/'Poverty_All ages'!AA110</f>
        <v>0.22547883579851408</v>
      </c>
    </row>
    <row r="111" spans="1:13">
      <c r="A111" s="816" t="s">
        <v>143</v>
      </c>
      <c r="B111" s="804" t="s">
        <v>144</v>
      </c>
      <c r="C111" s="864" t="s">
        <v>274</v>
      </c>
      <c r="D111" s="808">
        <v>912</v>
      </c>
      <c r="E111" s="808">
        <v>882</v>
      </c>
      <c r="F111" s="808">
        <v>876</v>
      </c>
      <c r="G111" s="808">
        <v>1015</v>
      </c>
      <c r="H111" s="808">
        <v>1120</v>
      </c>
      <c r="I111" s="808">
        <v>1298</v>
      </c>
      <c r="J111" s="808">
        <v>1317</v>
      </c>
      <c r="K111" s="817">
        <v>1176</v>
      </c>
      <c r="M111" s="796">
        <f>K111/'Poverty_All ages'!AA111</f>
        <v>0.29144981412639404</v>
      </c>
    </row>
    <row r="112" spans="1:13">
      <c r="A112" s="816" t="s">
        <v>145</v>
      </c>
      <c r="B112" s="804" t="s">
        <v>146</v>
      </c>
      <c r="C112" s="864" t="s">
        <v>274</v>
      </c>
      <c r="D112" s="808">
        <v>270</v>
      </c>
      <c r="E112" s="808">
        <v>337</v>
      </c>
      <c r="F112" s="808">
        <v>312</v>
      </c>
      <c r="G112" s="808">
        <v>334</v>
      </c>
      <c r="H112" s="808">
        <v>336</v>
      </c>
      <c r="I112" s="808">
        <v>337</v>
      </c>
      <c r="J112" s="808">
        <v>250</v>
      </c>
      <c r="K112" s="817">
        <v>274</v>
      </c>
      <c r="M112" s="796">
        <f>K112/'Poverty_All ages'!AA112</f>
        <v>0.2257001647446458</v>
      </c>
    </row>
    <row r="113" spans="1:13">
      <c r="A113" s="816" t="s">
        <v>159</v>
      </c>
      <c r="B113" s="804" t="s">
        <v>160</v>
      </c>
      <c r="C113" s="864" t="s">
        <v>271</v>
      </c>
      <c r="D113" s="808">
        <v>8771</v>
      </c>
      <c r="E113" s="808">
        <v>8922</v>
      </c>
      <c r="F113" s="808">
        <v>8257</v>
      </c>
      <c r="G113" s="808">
        <v>7622</v>
      </c>
      <c r="H113" s="808">
        <v>8469</v>
      </c>
      <c r="I113" s="808">
        <v>9376</v>
      </c>
      <c r="J113" s="808">
        <v>9735</v>
      </c>
      <c r="K113" s="817">
        <v>9540</v>
      </c>
      <c r="M113" s="796">
        <f>K113/'Poverty_All ages'!AA113</f>
        <v>0.35714285714285715</v>
      </c>
    </row>
    <row r="114" spans="1:13">
      <c r="A114" s="816" t="s">
        <v>161</v>
      </c>
      <c r="B114" s="804" t="s">
        <v>162</v>
      </c>
      <c r="C114" s="864" t="s">
        <v>271</v>
      </c>
      <c r="D114" s="808">
        <v>11826</v>
      </c>
      <c r="E114" s="808">
        <v>11398</v>
      </c>
      <c r="F114" s="808">
        <v>10790</v>
      </c>
      <c r="G114" s="808">
        <v>10129</v>
      </c>
      <c r="H114" s="808">
        <v>10847</v>
      </c>
      <c r="I114" s="808">
        <v>11828</v>
      </c>
      <c r="J114" s="808">
        <v>11996</v>
      </c>
      <c r="K114" s="817">
        <v>11553</v>
      </c>
      <c r="M114" s="796">
        <f>K114/'Poverty_All ages'!AA114</f>
        <v>0.27054305318127531</v>
      </c>
    </row>
    <row r="115" spans="1:13">
      <c r="A115" s="816" t="s">
        <v>167</v>
      </c>
      <c r="B115" s="804" t="s">
        <v>168</v>
      </c>
      <c r="C115" s="864" t="s">
        <v>275</v>
      </c>
      <c r="D115" s="808">
        <v>273</v>
      </c>
      <c r="E115" s="808">
        <v>319</v>
      </c>
      <c r="F115" s="808">
        <v>291</v>
      </c>
      <c r="G115" s="808">
        <v>280</v>
      </c>
      <c r="H115" s="808">
        <v>297</v>
      </c>
      <c r="I115" s="808">
        <v>329</v>
      </c>
      <c r="J115" s="808">
        <v>280</v>
      </c>
      <c r="K115" s="817">
        <v>255</v>
      </c>
      <c r="M115" s="796">
        <f>K115/'Poverty_All ages'!AA115</f>
        <v>0.31135531135531136</v>
      </c>
    </row>
    <row r="116" spans="1:13">
      <c r="A116" s="816" t="s">
        <v>177</v>
      </c>
      <c r="B116" s="804" t="s">
        <v>178</v>
      </c>
      <c r="C116" s="864" t="s">
        <v>273</v>
      </c>
      <c r="D116" s="808">
        <v>2982</v>
      </c>
      <c r="E116" s="808">
        <v>2896</v>
      </c>
      <c r="F116" s="808">
        <v>2620</v>
      </c>
      <c r="G116" s="808">
        <v>2508</v>
      </c>
      <c r="H116" s="808">
        <v>2740</v>
      </c>
      <c r="I116" s="808">
        <v>3147</v>
      </c>
      <c r="J116" s="808">
        <v>3158</v>
      </c>
      <c r="K116" s="817">
        <v>2741</v>
      </c>
      <c r="M116" s="796">
        <f>K116/'Poverty_All ages'!AA116</f>
        <v>0.35611277120956214</v>
      </c>
    </row>
    <row r="117" spans="1:13">
      <c r="A117" s="816" t="s">
        <v>181</v>
      </c>
      <c r="B117" s="804" t="s">
        <v>182</v>
      </c>
      <c r="C117" s="864" t="s">
        <v>271</v>
      </c>
      <c r="D117" s="808">
        <v>6846</v>
      </c>
      <c r="E117" s="808">
        <v>6807</v>
      </c>
      <c r="F117" s="808">
        <v>6503</v>
      </c>
      <c r="G117" s="808">
        <v>5774</v>
      </c>
      <c r="H117" s="808">
        <v>5912</v>
      </c>
      <c r="I117" s="808">
        <v>6306</v>
      </c>
      <c r="J117" s="808">
        <v>6221</v>
      </c>
      <c r="K117" s="817">
        <v>5988</v>
      </c>
      <c r="M117" s="796">
        <f>K117/'Poverty_All ages'!AA117</f>
        <v>0.35985576923076923</v>
      </c>
    </row>
    <row r="118" spans="1:13">
      <c r="A118" s="816" t="s">
        <v>193</v>
      </c>
      <c r="B118" s="804" t="s">
        <v>194</v>
      </c>
      <c r="C118" s="864" t="s">
        <v>275</v>
      </c>
      <c r="D118" s="808">
        <v>449</v>
      </c>
      <c r="E118" s="808">
        <v>469</v>
      </c>
      <c r="F118" s="808">
        <v>480</v>
      </c>
      <c r="G118" s="808">
        <v>435</v>
      </c>
      <c r="H118" s="808">
        <v>418</v>
      </c>
      <c r="I118" s="808">
        <v>454</v>
      </c>
      <c r="J118" s="808">
        <v>447</v>
      </c>
      <c r="K118" s="817">
        <v>434</v>
      </c>
      <c r="M118" s="796">
        <f>K118/'Poverty_All ages'!AA118</f>
        <v>0.11777476255088196</v>
      </c>
    </row>
    <row r="119" spans="1:13">
      <c r="A119" s="816" t="s">
        <v>197</v>
      </c>
      <c r="B119" s="804" t="s">
        <v>198</v>
      </c>
      <c r="C119" s="864" t="s">
        <v>273</v>
      </c>
      <c r="D119" s="808">
        <v>15835</v>
      </c>
      <c r="E119" s="808">
        <v>15094</v>
      </c>
      <c r="F119" s="808">
        <v>13822</v>
      </c>
      <c r="G119" s="808">
        <v>12850</v>
      </c>
      <c r="H119" s="808">
        <v>12925</v>
      </c>
      <c r="I119" s="808">
        <v>14142</v>
      </c>
      <c r="J119" s="808">
        <v>14534</v>
      </c>
      <c r="K119" s="817">
        <v>13801</v>
      </c>
      <c r="M119" s="796">
        <f>K119/'Poverty_All ages'!AA119</f>
        <v>0.26998845785159536</v>
      </c>
    </row>
    <row r="120" spans="1:13">
      <c r="A120" s="816" t="s">
        <v>201</v>
      </c>
      <c r="B120" s="804" t="s">
        <v>202</v>
      </c>
      <c r="C120" s="864" t="s">
        <v>272</v>
      </c>
      <c r="D120" s="808">
        <v>6087</v>
      </c>
      <c r="E120" s="808">
        <v>5921</v>
      </c>
      <c r="F120" s="808">
        <v>5611</v>
      </c>
      <c r="G120" s="808">
        <v>5580</v>
      </c>
      <c r="H120" s="808">
        <v>6098</v>
      </c>
      <c r="I120" s="808">
        <v>6773</v>
      </c>
      <c r="J120" s="808">
        <v>6918</v>
      </c>
      <c r="K120" s="817">
        <v>6804</v>
      </c>
      <c r="M120" s="796">
        <f>K120/'Poverty_All ages'!AA120</f>
        <v>0.36649609480204687</v>
      </c>
    </row>
    <row r="121" spans="1:13">
      <c r="A121" s="816" t="s">
        <v>223</v>
      </c>
      <c r="B121" s="804" t="s">
        <v>224</v>
      </c>
      <c r="C121" s="864" t="s">
        <v>271</v>
      </c>
      <c r="D121" s="808">
        <v>2668</v>
      </c>
      <c r="E121" s="808">
        <v>2793</v>
      </c>
      <c r="F121" s="808">
        <v>2567</v>
      </c>
      <c r="G121" s="808">
        <v>2142</v>
      </c>
      <c r="H121" s="808">
        <v>2227</v>
      </c>
      <c r="I121" s="808">
        <v>2401</v>
      </c>
      <c r="J121" s="808">
        <v>2323</v>
      </c>
      <c r="K121" s="817">
        <v>2095</v>
      </c>
      <c r="M121" s="796">
        <f>K121/'Poverty_All ages'!AA121</f>
        <v>0.20511063246524378</v>
      </c>
    </row>
    <row r="122" spans="1:13">
      <c r="A122" s="816" t="s">
        <v>231</v>
      </c>
      <c r="B122" s="804" t="s">
        <v>232</v>
      </c>
      <c r="C122" s="864" t="s">
        <v>271</v>
      </c>
      <c r="D122" s="808">
        <v>6267</v>
      </c>
      <c r="E122" s="808">
        <v>6022</v>
      </c>
      <c r="F122" s="808">
        <v>5708</v>
      </c>
      <c r="G122" s="808">
        <v>5498</v>
      </c>
      <c r="H122" s="808">
        <v>5784</v>
      </c>
      <c r="I122" s="808">
        <v>6268</v>
      </c>
      <c r="J122" s="808">
        <v>6379</v>
      </c>
      <c r="K122" s="817">
        <v>6070</v>
      </c>
      <c r="M122" s="796">
        <f>K122/'Poverty_All ages'!AA122</f>
        <v>0.1576705283391345</v>
      </c>
    </row>
    <row r="123" spans="1:13">
      <c r="A123" s="816" t="s">
        <v>239</v>
      </c>
      <c r="B123" s="804" t="s">
        <v>240</v>
      </c>
      <c r="C123" s="864" t="s">
        <v>271</v>
      </c>
      <c r="D123" s="808">
        <v>166</v>
      </c>
      <c r="E123" s="808">
        <v>229</v>
      </c>
      <c r="F123" s="808">
        <v>184</v>
      </c>
      <c r="G123" s="808">
        <v>156</v>
      </c>
      <c r="H123" s="808">
        <v>217</v>
      </c>
      <c r="I123" s="808">
        <v>258</v>
      </c>
      <c r="J123" s="808">
        <v>277</v>
      </c>
      <c r="K123" s="817">
        <v>283</v>
      </c>
      <c r="M123" s="796">
        <f>K123/'Poverty_All ages'!AA123</f>
        <v>0.14424057084607544</v>
      </c>
    </row>
    <row r="124" spans="1:13">
      <c r="A124" s="818" t="s">
        <v>241</v>
      </c>
      <c r="B124" s="805" t="s">
        <v>242</v>
      </c>
      <c r="C124" s="805" t="s">
        <v>274</v>
      </c>
      <c r="D124" s="810">
        <v>628</v>
      </c>
      <c r="E124" s="810">
        <v>630</v>
      </c>
      <c r="F124" s="810">
        <v>635</v>
      </c>
      <c r="G124" s="810">
        <v>575</v>
      </c>
      <c r="H124" s="810">
        <v>833</v>
      </c>
      <c r="I124" s="810">
        <v>933</v>
      </c>
      <c r="J124" s="810">
        <v>977</v>
      </c>
      <c r="K124" s="819">
        <v>889</v>
      </c>
      <c r="M124" s="796">
        <f>K124/'Poverty_All ages'!AA124</f>
        <v>0.19559955995599559</v>
      </c>
    </row>
    <row r="126" spans="1:13">
      <c r="A126" s="791" t="s">
        <v>1128</v>
      </c>
    </row>
    <row r="128" spans="1:13" s="542" customFormat="1">
      <c r="A128" s="542" t="s">
        <v>249</v>
      </c>
    </row>
    <row r="129" spans="1:3" s="542" customFormat="1">
      <c r="A129" s="543" t="s">
        <v>250</v>
      </c>
      <c r="B129" s="544" t="s">
        <v>251</v>
      </c>
      <c r="C129" s="544"/>
    </row>
  </sheetData>
  <autoFilter ref="A3:C3"/>
  <hyperlinks>
    <hyperlink ref="B129" r:id="rId1"/>
  </hyperlinks>
  <pageMargins left="0.7" right="0.7" top="0.75" bottom="0.75" header="0.3" footer="0.3"/>
  <pageSetup orientation="portrait" r:id="rId2"/>
</worksheet>
</file>

<file path=xl/worksheets/sheet16.xml><?xml version="1.0" encoding="utf-8"?>
<worksheet xmlns="http://schemas.openxmlformats.org/spreadsheetml/2006/main" xmlns:r="http://schemas.openxmlformats.org/officeDocument/2006/relationships">
  <dimension ref="A1:I133"/>
  <sheetViews>
    <sheetView workbookViewId="0">
      <pane ySplit="4" topLeftCell="A108" activePane="bottomLeft" state="frozen"/>
      <selection pane="bottomLeft" activeCell="F10" sqref="F10"/>
    </sheetView>
  </sheetViews>
  <sheetFormatPr defaultRowHeight="15.75"/>
  <cols>
    <col min="1" max="1" width="5.875" style="791" customWidth="1"/>
    <col min="2" max="2" width="29.5" style="791" customWidth="1"/>
    <col min="3" max="3" width="16.25" style="791" customWidth="1"/>
    <col min="4" max="7" width="11.375" style="791" customWidth="1"/>
    <col min="8" max="8" width="3.875" style="791" customWidth="1"/>
    <col min="9" max="9" width="17.875" style="791" customWidth="1"/>
    <col min="10" max="16384" width="9" style="791"/>
  </cols>
  <sheetData>
    <row r="1" spans="1:9">
      <c r="A1" s="264" t="s">
        <v>1099</v>
      </c>
    </row>
    <row r="3" spans="1:9" ht="47.25">
      <c r="A3" s="990" t="s">
        <v>4</v>
      </c>
      <c r="B3" s="861" t="s">
        <v>5</v>
      </c>
      <c r="C3" s="861" t="s">
        <v>252</v>
      </c>
      <c r="D3" s="997" t="s">
        <v>1048</v>
      </c>
      <c r="E3" s="997" t="s">
        <v>1049</v>
      </c>
      <c r="F3" s="997" t="s">
        <v>1050</v>
      </c>
      <c r="G3" s="997" t="s">
        <v>1051</v>
      </c>
      <c r="I3" s="799" t="s">
        <v>809</v>
      </c>
    </row>
    <row r="4" spans="1:9">
      <c r="A4" s="994">
        <v>999</v>
      </c>
      <c r="B4" s="995" t="s">
        <v>1130</v>
      </c>
      <c r="C4" s="995"/>
      <c r="D4" s="996">
        <v>977533</v>
      </c>
      <c r="E4" s="996">
        <v>1051143</v>
      </c>
      <c r="F4" s="996">
        <v>1105697</v>
      </c>
      <c r="G4" s="996">
        <v>1148959</v>
      </c>
      <c r="I4" s="993">
        <f>G4/'Poverty_All ages'!AA4</f>
        <v>1.2587482840862902</v>
      </c>
    </row>
    <row r="5" spans="1:9" s="988" customFormat="1">
      <c r="A5" s="984" t="s">
        <v>10</v>
      </c>
      <c r="B5" s="985" t="s">
        <v>11</v>
      </c>
      <c r="C5" s="985" t="s">
        <v>271</v>
      </c>
      <c r="D5" s="986">
        <v>7338</v>
      </c>
      <c r="E5" s="986">
        <v>7483</v>
      </c>
      <c r="F5" s="986">
        <v>7831</v>
      </c>
      <c r="G5" s="987">
        <v>8029</v>
      </c>
      <c r="I5" s="989">
        <f>G5/'Poverty_All ages'!AA5</f>
        <v>1.2626199087906904</v>
      </c>
    </row>
    <row r="6" spans="1:9" s="988" customFormat="1">
      <c r="A6" s="984" t="s">
        <v>12</v>
      </c>
      <c r="B6" s="985" t="s">
        <v>13</v>
      </c>
      <c r="C6" s="985" t="s">
        <v>272</v>
      </c>
      <c r="D6" s="986">
        <v>7364</v>
      </c>
      <c r="E6" s="986">
        <v>8034</v>
      </c>
      <c r="F6" s="986">
        <v>8508</v>
      </c>
      <c r="G6" s="987">
        <v>8842</v>
      </c>
      <c r="I6" s="989">
        <f>G6/'Poverty_All ages'!AA6</f>
        <v>0.96750191487033588</v>
      </c>
    </row>
    <row r="7" spans="1:9" s="988" customFormat="1">
      <c r="A7" s="984" t="s">
        <v>16</v>
      </c>
      <c r="B7" s="985" t="s">
        <v>307</v>
      </c>
      <c r="C7" s="985" t="s">
        <v>272</v>
      </c>
      <c r="D7" s="986">
        <v>4484</v>
      </c>
      <c r="E7" s="986">
        <v>4666</v>
      </c>
      <c r="F7" s="986">
        <v>4854</v>
      </c>
      <c r="G7" s="987">
        <v>5000</v>
      </c>
      <c r="I7" s="989">
        <f>G7/'Poverty_All ages'!AA7</f>
        <v>1.6113438607798904</v>
      </c>
    </row>
    <row r="8" spans="1:9" s="988" customFormat="1">
      <c r="A8" s="984" t="s">
        <v>18</v>
      </c>
      <c r="B8" s="985" t="s">
        <v>19</v>
      </c>
      <c r="C8" s="985" t="s">
        <v>273</v>
      </c>
      <c r="D8" s="986">
        <v>2101</v>
      </c>
      <c r="E8" s="986">
        <v>2382</v>
      </c>
      <c r="F8" s="986">
        <v>2427</v>
      </c>
      <c r="G8" s="987">
        <v>2618</v>
      </c>
      <c r="I8" s="989">
        <f>G8/'Poverty_All ages'!AA8</f>
        <v>1.741849634065203</v>
      </c>
    </row>
    <row r="9" spans="1:9" s="988" customFormat="1">
      <c r="A9" s="984" t="s">
        <v>20</v>
      </c>
      <c r="B9" s="985" t="s">
        <v>21</v>
      </c>
      <c r="C9" s="985" t="s">
        <v>272</v>
      </c>
      <c r="D9" s="986">
        <v>4760</v>
      </c>
      <c r="E9" s="986">
        <v>5107</v>
      </c>
      <c r="F9" s="986">
        <v>5185</v>
      </c>
      <c r="G9" s="987">
        <v>5274</v>
      </c>
      <c r="I9" s="989">
        <f>G9/'Poverty_All ages'!AA9</f>
        <v>1.2751450676982592</v>
      </c>
    </row>
    <row r="10" spans="1:9" s="988" customFormat="1">
      <c r="A10" s="984" t="s">
        <v>22</v>
      </c>
      <c r="B10" s="985" t="s">
        <v>23</v>
      </c>
      <c r="C10" s="985" t="s">
        <v>272</v>
      </c>
      <c r="D10" s="986">
        <v>2782</v>
      </c>
      <c r="E10" s="986">
        <v>2977</v>
      </c>
      <c r="F10" s="986">
        <v>3069</v>
      </c>
      <c r="G10" s="987">
        <v>3239</v>
      </c>
      <c r="I10" s="989">
        <f>G10/'Poverty_All ages'!AA10</f>
        <v>1.4662743322770484</v>
      </c>
    </row>
    <row r="11" spans="1:9" s="988" customFormat="1">
      <c r="A11" s="984" t="s">
        <v>24</v>
      </c>
      <c r="B11" s="985" t="s">
        <v>25</v>
      </c>
      <c r="C11" s="985" t="s">
        <v>274</v>
      </c>
      <c r="D11" s="986">
        <v>10417</v>
      </c>
      <c r="E11" s="986">
        <v>11280</v>
      </c>
      <c r="F11" s="986">
        <v>11745</v>
      </c>
      <c r="G11" s="987">
        <v>12222</v>
      </c>
      <c r="I11" s="989">
        <f>G11/'Poverty_All ages'!AA11</f>
        <v>0.76896942242355604</v>
      </c>
    </row>
    <row r="12" spans="1:9" s="988" customFormat="1">
      <c r="A12" s="984" t="s">
        <v>26</v>
      </c>
      <c r="B12" s="985" t="s">
        <v>908</v>
      </c>
      <c r="C12" s="985" t="s">
        <v>272</v>
      </c>
      <c r="D12" s="986">
        <v>16869</v>
      </c>
      <c r="E12" s="986">
        <v>17976</v>
      </c>
      <c r="F12" s="986">
        <v>18784</v>
      </c>
      <c r="G12" s="987">
        <v>19720</v>
      </c>
      <c r="I12" s="989">
        <f>G12/'Poverty_All ages'!AA12</f>
        <v>1.3648947951273533</v>
      </c>
    </row>
    <row r="13" spans="1:9" s="988" customFormat="1">
      <c r="A13" s="984" t="s">
        <v>27</v>
      </c>
      <c r="B13" s="985" t="s">
        <v>28</v>
      </c>
      <c r="C13" s="985" t="s">
        <v>272</v>
      </c>
      <c r="D13" s="986">
        <v>512</v>
      </c>
      <c r="E13" s="986">
        <v>579</v>
      </c>
      <c r="F13" s="986">
        <v>623</v>
      </c>
      <c r="G13" s="987">
        <v>642</v>
      </c>
      <c r="I13" s="989">
        <f>G13/'Poverty_All ages'!AA13</f>
        <v>1.2891566265060241</v>
      </c>
    </row>
    <row r="14" spans="1:9" s="988" customFormat="1">
      <c r="A14" s="984" t="s">
        <v>29</v>
      </c>
      <c r="B14" s="985" t="s">
        <v>309</v>
      </c>
      <c r="C14" s="985" t="s">
        <v>272</v>
      </c>
      <c r="D14" s="986">
        <v>8024</v>
      </c>
      <c r="E14" s="986">
        <v>8835</v>
      </c>
      <c r="F14" s="986">
        <v>9215</v>
      </c>
      <c r="G14" s="987">
        <v>9638</v>
      </c>
      <c r="I14" s="989">
        <f>G14/'Poverty_All ages'!AA14</f>
        <v>1.2821604363442862</v>
      </c>
    </row>
    <row r="15" spans="1:9" s="988" customFormat="1">
      <c r="A15" s="984" t="s">
        <v>31</v>
      </c>
      <c r="B15" s="985" t="s">
        <v>32</v>
      </c>
      <c r="C15" s="985" t="s">
        <v>275</v>
      </c>
      <c r="D15" s="986">
        <v>932</v>
      </c>
      <c r="E15" s="986">
        <v>959</v>
      </c>
      <c r="F15" s="986">
        <v>954</v>
      </c>
      <c r="G15" s="987">
        <v>1008</v>
      </c>
      <c r="I15" s="989">
        <f>G15/'Poverty_All ages'!AA15</f>
        <v>1.1467576791808873</v>
      </c>
    </row>
    <row r="16" spans="1:9" s="988" customFormat="1">
      <c r="A16" s="984" t="s">
        <v>33</v>
      </c>
      <c r="B16" s="985" t="s">
        <v>34</v>
      </c>
      <c r="C16" s="985" t="s">
        <v>272</v>
      </c>
      <c r="D16" s="986">
        <v>2245</v>
      </c>
      <c r="E16" s="986">
        <v>2502</v>
      </c>
      <c r="F16" s="986">
        <v>2538</v>
      </c>
      <c r="G16" s="987">
        <v>2663</v>
      </c>
      <c r="I16" s="989">
        <f>G16/'Poverty_All ages'!AA16</f>
        <v>1.094983552631579</v>
      </c>
    </row>
    <row r="17" spans="1:9" s="988" customFormat="1">
      <c r="A17" s="984" t="s">
        <v>37</v>
      </c>
      <c r="B17" s="985" t="s">
        <v>38</v>
      </c>
      <c r="C17" s="985" t="s">
        <v>271</v>
      </c>
      <c r="D17" s="986">
        <v>4015</v>
      </c>
      <c r="E17" s="986">
        <v>4145</v>
      </c>
      <c r="F17" s="986">
        <v>4221</v>
      </c>
      <c r="G17" s="987">
        <v>4265</v>
      </c>
      <c r="I17" s="989">
        <f>G17/'Poverty_All ages'!AA17</f>
        <v>1.1106770833333333</v>
      </c>
    </row>
    <row r="18" spans="1:9" s="988" customFormat="1">
      <c r="A18" s="984" t="s">
        <v>39</v>
      </c>
      <c r="B18" s="985" t="s">
        <v>40</v>
      </c>
      <c r="C18" s="985" t="s">
        <v>275</v>
      </c>
      <c r="D18" s="986">
        <v>6239</v>
      </c>
      <c r="E18" s="986">
        <v>6295</v>
      </c>
      <c r="F18" s="986">
        <v>6214</v>
      </c>
      <c r="G18" s="987">
        <v>6244</v>
      </c>
      <c r="I18" s="989">
        <f>G18/'Poverty_All ages'!AA18</f>
        <v>1.1437992306283202</v>
      </c>
    </row>
    <row r="19" spans="1:9" s="988" customFormat="1">
      <c r="A19" s="984" t="s">
        <v>41</v>
      </c>
      <c r="B19" s="985" t="s">
        <v>42</v>
      </c>
      <c r="C19" s="985" t="s">
        <v>273</v>
      </c>
      <c r="D19" s="986">
        <v>3008</v>
      </c>
      <c r="E19" s="986">
        <v>3228</v>
      </c>
      <c r="F19" s="986">
        <v>3343</v>
      </c>
      <c r="G19" s="987">
        <v>3476</v>
      </c>
      <c r="I19" s="989">
        <f>G19/'Poverty_All ages'!AA19</f>
        <v>1.0896551724137931</v>
      </c>
    </row>
    <row r="20" spans="1:9" s="988" customFormat="1">
      <c r="A20" s="984" t="s">
        <v>43</v>
      </c>
      <c r="B20" s="985" t="s">
        <v>44</v>
      </c>
      <c r="C20" s="985" t="s">
        <v>272</v>
      </c>
      <c r="D20" s="986">
        <v>8637</v>
      </c>
      <c r="E20" s="986">
        <v>9230</v>
      </c>
      <c r="F20" s="986">
        <v>9706</v>
      </c>
      <c r="G20" s="987">
        <v>10040</v>
      </c>
      <c r="I20" s="989">
        <f>G20/'Poverty_All ages'!AA20</f>
        <v>1.2092014934361075</v>
      </c>
    </row>
    <row r="21" spans="1:9" s="988" customFormat="1">
      <c r="A21" s="984" t="s">
        <v>45</v>
      </c>
      <c r="B21" s="985" t="s">
        <v>46</v>
      </c>
      <c r="C21" s="985" t="s">
        <v>273</v>
      </c>
      <c r="D21" s="986">
        <v>4519</v>
      </c>
      <c r="E21" s="986">
        <v>4854</v>
      </c>
      <c r="F21" s="986">
        <v>5041</v>
      </c>
      <c r="G21" s="987">
        <v>5330</v>
      </c>
      <c r="I21" s="989">
        <f>G21/'Poverty_All ages'!AA21</f>
        <v>1.5575686732904734</v>
      </c>
    </row>
    <row r="22" spans="1:9" s="988" customFormat="1">
      <c r="A22" s="984" t="s">
        <v>47</v>
      </c>
      <c r="B22" s="985" t="s">
        <v>48</v>
      </c>
      <c r="C22" s="985" t="s">
        <v>275</v>
      </c>
      <c r="D22" s="986">
        <v>5992</v>
      </c>
      <c r="E22" s="986">
        <v>6313</v>
      </c>
      <c r="F22" s="986">
        <v>6557</v>
      </c>
      <c r="G22" s="987">
        <v>6779</v>
      </c>
      <c r="I22" s="989">
        <f>G22/'Poverty_All ages'!AA22</f>
        <v>1.1433631303761174</v>
      </c>
    </row>
    <row r="23" spans="1:9" s="988" customFormat="1">
      <c r="A23" s="984" t="s">
        <v>49</v>
      </c>
      <c r="B23" s="985" t="s">
        <v>276</v>
      </c>
      <c r="C23" s="985" t="s">
        <v>273</v>
      </c>
      <c r="D23" s="986">
        <v>1029</v>
      </c>
      <c r="E23" s="986">
        <v>1086</v>
      </c>
      <c r="F23" s="986">
        <v>1134</v>
      </c>
      <c r="G23" s="987">
        <v>1124</v>
      </c>
      <c r="I23" s="989">
        <f>G23/'Poverty_All ages'!AA23</f>
        <v>1.3333333333333333</v>
      </c>
    </row>
    <row r="24" spans="1:9" s="988" customFormat="1">
      <c r="A24" s="984" t="s">
        <v>51</v>
      </c>
      <c r="B24" s="985" t="s">
        <v>52</v>
      </c>
      <c r="C24" s="985" t="s">
        <v>272</v>
      </c>
      <c r="D24" s="986">
        <v>2962</v>
      </c>
      <c r="E24" s="986">
        <v>3056</v>
      </c>
      <c r="F24" s="986">
        <v>3130</v>
      </c>
      <c r="G24" s="987">
        <v>3214</v>
      </c>
      <c r="I24" s="989">
        <f>G24/'Poverty_All ages'!AA24</f>
        <v>1.2496111975116642</v>
      </c>
    </row>
    <row r="25" spans="1:9" s="988" customFormat="1">
      <c r="A25" s="984" t="s">
        <v>57</v>
      </c>
      <c r="B25" s="985" t="s">
        <v>305</v>
      </c>
      <c r="C25" s="985" t="s">
        <v>273</v>
      </c>
      <c r="D25" s="986">
        <v>32265</v>
      </c>
      <c r="E25" s="986">
        <v>36320</v>
      </c>
      <c r="F25" s="986">
        <v>38891</v>
      </c>
      <c r="G25" s="987">
        <v>40625</v>
      </c>
      <c r="I25" s="989">
        <f>G25/'Poverty_All ages'!AA25</f>
        <v>1.6765713342412611</v>
      </c>
    </row>
    <row r="26" spans="1:9" s="988" customFormat="1">
      <c r="A26" s="984" t="s">
        <v>59</v>
      </c>
      <c r="B26" s="985" t="s">
        <v>60</v>
      </c>
      <c r="C26" s="985" t="s">
        <v>274</v>
      </c>
      <c r="D26" s="986">
        <v>1039</v>
      </c>
      <c r="E26" s="986">
        <v>1140</v>
      </c>
      <c r="F26" s="986">
        <v>1153</v>
      </c>
      <c r="G26" s="987">
        <v>1162</v>
      </c>
      <c r="I26" s="989">
        <f>G26/'Poverty_All ages'!AA26</f>
        <v>1.0148471615720525</v>
      </c>
    </row>
    <row r="27" spans="1:9" s="988" customFormat="1">
      <c r="A27" s="984" t="s">
        <v>61</v>
      </c>
      <c r="B27" s="985" t="s">
        <v>62</v>
      </c>
      <c r="C27" s="985" t="s">
        <v>272</v>
      </c>
      <c r="D27" s="986">
        <v>708</v>
      </c>
      <c r="E27" s="986">
        <v>791</v>
      </c>
      <c r="F27" s="986">
        <v>841</v>
      </c>
      <c r="G27" s="987">
        <v>863</v>
      </c>
      <c r="I27" s="989">
        <f>G27/'Poverty_All ages'!AA27</f>
        <v>1.3941841680129241</v>
      </c>
    </row>
    <row r="28" spans="1:9" s="988" customFormat="1">
      <c r="A28" s="984" t="s">
        <v>63</v>
      </c>
      <c r="B28" s="985" t="s">
        <v>64</v>
      </c>
      <c r="C28" s="985" t="s">
        <v>274</v>
      </c>
      <c r="D28" s="986">
        <v>6029</v>
      </c>
      <c r="E28" s="986">
        <v>6649</v>
      </c>
      <c r="F28" s="986">
        <v>7134</v>
      </c>
      <c r="G28" s="987">
        <v>7449</v>
      </c>
      <c r="I28" s="989">
        <f>G28/'Poverty_All ages'!AA28</f>
        <v>1.3962511715089034</v>
      </c>
    </row>
    <row r="29" spans="1:9" s="988" customFormat="1">
      <c r="A29" s="984" t="s">
        <v>65</v>
      </c>
      <c r="B29" s="985" t="s">
        <v>66</v>
      </c>
      <c r="C29" s="985" t="s">
        <v>273</v>
      </c>
      <c r="D29" s="986">
        <v>2252</v>
      </c>
      <c r="E29" s="986">
        <v>2313</v>
      </c>
      <c r="F29" s="986">
        <v>2417</v>
      </c>
      <c r="G29" s="987">
        <v>2502</v>
      </c>
      <c r="I29" s="989">
        <f>G29/'Poverty_All ages'!AA29</f>
        <v>1.404040404040404</v>
      </c>
    </row>
    <row r="30" spans="1:9" s="988" customFormat="1">
      <c r="A30" s="984" t="s">
        <v>69</v>
      </c>
      <c r="B30" s="985" t="s">
        <v>70</v>
      </c>
      <c r="C30" s="985" t="s">
        <v>275</v>
      </c>
      <c r="D30" s="986">
        <v>4473</v>
      </c>
      <c r="E30" s="986">
        <v>4473</v>
      </c>
      <c r="F30" s="986">
        <v>4528</v>
      </c>
      <c r="G30" s="987">
        <v>4589</v>
      </c>
      <c r="I30" s="989">
        <f>G30/'Poverty_All ages'!AA30</f>
        <v>1.3669943401846887</v>
      </c>
    </row>
    <row r="31" spans="1:9" s="988" customFormat="1">
      <c r="A31" s="984" t="s">
        <v>71</v>
      </c>
      <c r="B31" s="985" t="s">
        <v>72</v>
      </c>
      <c r="C31" s="985" t="s">
        <v>271</v>
      </c>
      <c r="D31" s="986">
        <v>4617</v>
      </c>
      <c r="E31" s="986">
        <v>4906</v>
      </c>
      <c r="F31" s="986">
        <v>5140</v>
      </c>
      <c r="G31" s="987">
        <v>5322</v>
      </c>
      <c r="I31" s="989">
        <f>G31/'Poverty_All ages'!AA31</f>
        <v>1.4681379310344829</v>
      </c>
    </row>
    <row r="32" spans="1:9" s="988" customFormat="1">
      <c r="A32" s="984" t="s">
        <v>73</v>
      </c>
      <c r="B32" s="985" t="s">
        <v>74</v>
      </c>
      <c r="C32" s="985" t="s">
        <v>273</v>
      </c>
      <c r="D32" s="986">
        <v>2324</v>
      </c>
      <c r="E32" s="986">
        <v>2458</v>
      </c>
      <c r="F32" s="986">
        <v>2588</v>
      </c>
      <c r="G32" s="987">
        <v>2745</v>
      </c>
      <c r="I32" s="989">
        <f>G32/'Poverty_All ages'!AA32</f>
        <v>1.6676792223572297</v>
      </c>
    </row>
    <row r="33" spans="1:9" s="988" customFormat="1">
      <c r="A33" s="984" t="s">
        <v>75</v>
      </c>
      <c r="B33" s="985" t="s">
        <v>306</v>
      </c>
      <c r="C33" s="985" t="s">
        <v>274</v>
      </c>
      <c r="D33" s="986">
        <v>66499</v>
      </c>
      <c r="E33" s="986">
        <v>76482</v>
      </c>
      <c r="F33" s="986">
        <v>82225</v>
      </c>
      <c r="G33" s="987">
        <v>81349</v>
      </c>
      <c r="I33" s="989">
        <f>G33/'Poverty_All ages'!AA33</f>
        <v>1.0734465513373712</v>
      </c>
    </row>
    <row r="34" spans="1:9" s="988" customFormat="1">
      <c r="A34" s="984" t="s">
        <v>77</v>
      </c>
      <c r="B34" s="985" t="s">
        <v>78</v>
      </c>
      <c r="C34" s="985" t="s">
        <v>274</v>
      </c>
      <c r="D34" s="986">
        <v>5180</v>
      </c>
      <c r="E34" s="986">
        <v>5670</v>
      </c>
      <c r="F34" s="986">
        <v>5697</v>
      </c>
      <c r="G34" s="987">
        <v>6109</v>
      </c>
      <c r="I34" s="989">
        <f>G34/'Poverty_All ages'!AA34</f>
        <v>1.4727579556412729</v>
      </c>
    </row>
    <row r="35" spans="1:9" s="988" customFormat="1">
      <c r="A35" s="984" t="s">
        <v>79</v>
      </c>
      <c r="B35" s="985" t="s">
        <v>80</v>
      </c>
      <c r="C35" s="985" t="s">
        <v>275</v>
      </c>
      <c r="D35" s="986">
        <v>2203</v>
      </c>
      <c r="E35" s="986">
        <v>2449</v>
      </c>
      <c r="F35" s="986">
        <v>2554</v>
      </c>
      <c r="G35" s="987">
        <v>2645</v>
      </c>
      <c r="I35" s="989">
        <f>G35/'Poverty_All ages'!AA35</f>
        <v>1.28647859922179</v>
      </c>
    </row>
    <row r="36" spans="1:9" s="988" customFormat="1">
      <c r="A36" s="984" t="s">
        <v>81</v>
      </c>
      <c r="B36" s="985" t="s">
        <v>82</v>
      </c>
      <c r="C36" s="985" t="s">
        <v>273</v>
      </c>
      <c r="D36" s="986">
        <v>1966</v>
      </c>
      <c r="E36" s="986">
        <v>2161</v>
      </c>
      <c r="F36" s="986">
        <v>2330</v>
      </c>
      <c r="G36" s="987">
        <v>2520</v>
      </c>
      <c r="I36" s="989">
        <f>G36/'Poverty_All ages'!AA36</f>
        <v>1.3432835820895523</v>
      </c>
    </row>
    <row r="37" spans="1:9" s="988" customFormat="1">
      <c r="A37" s="984" t="s">
        <v>85</v>
      </c>
      <c r="B37" s="985" t="s">
        <v>86</v>
      </c>
      <c r="C37" s="985" t="s">
        <v>272</v>
      </c>
      <c r="D37" s="986">
        <v>8681</v>
      </c>
      <c r="E37" s="986">
        <v>9054</v>
      </c>
      <c r="F37" s="986">
        <v>9311</v>
      </c>
      <c r="G37" s="987">
        <v>9933</v>
      </c>
      <c r="I37" s="989">
        <f>G37/'Poverty_All ages'!AA37</f>
        <v>1.3851624599079626</v>
      </c>
    </row>
    <row r="38" spans="1:9" s="988" customFormat="1">
      <c r="A38" s="984" t="s">
        <v>87</v>
      </c>
      <c r="B38" s="985" t="s">
        <v>88</v>
      </c>
      <c r="C38" s="985" t="s">
        <v>274</v>
      </c>
      <c r="D38" s="986">
        <v>7259</v>
      </c>
      <c r="E38" s="986">
        <v>8237</v>
      </c>
      <c r="F38" s="986">
        <v>9172</v>
      </c>
      <c r="G38" s="987">
        <v>9654</v>
      </c>
      <c r="I38" s="989">
        <f>G38/'Poverty_All ages'!AA38</f>
        <v>1.3740392826643895</v>
      </c>
    </row>
    <row r="39" spans="1:9" s="988" customFormat="1">
      <c r="A39" s="984" t="s">
        <v>93</v>
      </c>
      <c r="B39" s="985" t="s">
        <v>94</v>
      </c>
      <c r="C39" s="985" t="s">
        <v>275</v>
      </c>
      <c r="D39" s="986">
        <v>2972</v>
      </c>
      <c r="E39" s="986">
        <v>3117</v>
      </c>
      <c r="F39" s="986">
        <v>3329</v>
      </c>
      <c r="G39" s="987">
        <v>3293</v>
      </c>
      <c r="I39" s="989">
        <f>G39/'Poverty_All ages'!AA39</f>
        <v>1.5416666666666667</v>
      </c>
    </row>
    <row r="40" spans="1:9" s="988" customFormat="1">
      <c r="A40" s="984" t="s">
        <v>95</v>
      </c>
      <c r="B40" s="985" t="s">
        <v>96</v>
      </c>
      <c r="C40" s="985" t="s">
        <v>271</v>
      </c>
      <c r="D40" s="986">
        <v>4129</v>
      </c>
      <c r="E40" s="986">
        <v>4554</v>
      </c>
      <c r="F40" s="986">
        <v>4653</v>
      </c>
      <c r="G40" s="987">
        <v>4911</v>
      </c>
      <c r="I40" s="989">
        <f>G40/'Poverty_All ages'!AA40</f>
        <v>1.3198065036280571</v>
      </c>
    </row>
    <row r="41" spans="1:9" s="988" customFormat="1">
      <c r="A41" s="984" t="s">
        <v>97</v>
      </c>
      <c r="B41" s="985" t="s">
        <v>98</v>
      </c>
      <c r="C41" s="985" t="s">
        <v>273</v>
      </c>
      <c r="D41" s="986">
        <v>1391</v>
      </c>
      <c r="E41" s="986">
        <v>1560</v>
      </c>
      <c r="F41" s="986">
        <v>1725</v>
      </c>
      <c r="G41" s="987">
        <v>1739</v>
      </c>
      <c r="I41" s="989">
        <f>G41/'Poverty_All ages'!AA41</f>
        <v>1.0469596628537026</v>
      </c>
    </row>
    <row r="42" spans="1:9" s="988" customFormat="1">
      <c r="A42" s="984" t="s">
        <v>99</v>
      </c>
      <c r="B42" s="985" t="s">
        <v>100</v>
      </c>
      <c r="C42" s="985" t="s">
        <v>275</v>
      </c>
      <c r="D42" s="986">
        <v>3422</v>
      </c>
      <c r="E42" s="986">
        <v>3527</v>
      </c>
      <c r="F42" s="986">
        <v>3629</v>
      </c>
      <c r="G42" s="987">
        <v>3692</v>
      </c>
      <c r="I42" s="989">
        <f>G42/'Poverty_All ages'!AA42</f>
        <v>1.3106141285055024</v>
      </c>
    </row>
    <row r="43" spans="1:9" s="988" customFormat="1">
      <c r="A43" s="984" t="s">
        <v>101</v>
      </c>
      <c r="B43" s="985" t="s">
        <v>102</v>
      </c>
      <c r="C43" s="985" t="s">
        <v>274</v>
      </c>
      <c r="D43" s="986">
        <v>2198</v>
      </c>
      <c r="E43" s="986">
        <v>2468</v>
      </c>
      <c r="F43" s="986">
        <v>2558</v>
      </c>
      <c r="G43" s="987">
        <v>2695</v>
      </c>
      <c r="I43" s="989">
        <f>G43/'Poverty_All ages'!AA43</f>
        <v>1.5918487891317188</v>
      </c>
    </row>
    <row r="44" spans="1:9" s="988" customFormat="1">
      <c r="A44" s="984" t="s">
        <v>103</v>
      </c>
      <c r="B44" s="985" t="s">
        <v>290</v>
      </c>
      <c r="C44" s="985" t="s">
        <v>271</v>
      </c>
      <c r="D44" s="986">
        <v>4278</v>
      </c>
      <c r="E44" s="986">
        <v>4424</v>
      </c>
      <c r="F44" s="986">
        <v>4672</v>
      </c>
      <c r="G44" s="987">
        <v>4860</v>
      </c>
      <c r="I44" s="989">
        <f>G44/'Poverty_All ages'!AA44</f>
        <v>1.431095406360424</v>
      </c>
    </row>
    <row r="45" spans="1:9" s="988" customFormat="1">
      <c r="A45" s="984" t="s">
        <v>105</v>
      </c>
      <c r="B45" s="985" t="s">
        <v>106</v>
      </c>
      <c r="C45" s="985" t="s">
        <v>272</v>
      </c>
      <c r="D45" s="986">
        <v>8286</v>
      </c>
      <c r="E45" s="986">
        <v>8586</v>
      </c>
      <c r="F45" s="986">
        <v>8864</v>
      </c>
      <c r="G45" s="987">
        <v>9012</v>
      </c>
      <c r="I45" s="989">
        <f>G45/'Poverty_All ages'!AA45</f>
        <v>1.3262693156732892</v>
      </c>
    </row>
    <row r="46" spans="1:9" s="988" customFormat="1">
      <c r="A46" s="984" t="s">
        <v>109</v>
      </c>
      <c r="B46" s="985" t="s">
        <v>110</v>
      </c>
      <c r="C46" s="985" t="s">
        <v>273</v>
      </c>
      <c r="D46" s="986">
        <v>6104</v>
      </c>
      <c r="E46" s="986">
        <v>6804</v>
      </c>
      <c r="F46" s="986">
        <v>7321</v>
      </c>
      <c r="G46" s="987">
        <v>7682</v>
      </c>
      <c r="I46" s="989">
        <f>G46/'Poverty_All ages'!AA46</f>
        <v>1.2801199800033327</v>
      </c>
    </row>
    <row r="47" spans="1:9" s="988" customFormat="1">
      <c r="A47" s="984" t="s">
        <v>111</v>
      </c>
      <c r="B47" s="985" t="s">
        <v>112</v>
      </c>
      <c r="C47" s="985" t="s">
        <v>273</v>
      </c>
      <c r="D47" s="986">
        <v>32670</v>
      </c>
      <c r="E47" s="986">
        <v>36448</v>
      </c>
      <c r="F47" s="986">
        <v>38610</v>
      </c>
      <c r="G47" s="987">
        <v>40542</v>
      </c>
      <c r="I47" s="989">
        <f>G47/'Poverty_All ages'!AA47</f>
        <v>1.2239833348428584</v>
      </c>
    </row>
    <row r="48" spans="1:9" s="988" customFormat="1">
      <c r="A48" s="984" t="s">
        <v>113</v>
      </c>
      <c r="B48" s="985" t="s">
        <v>310</v>
      </c>
      <c r="C48" s="985" t="s">
        <v>272</v>
      </c>
      <c r="D48" s="986">
        <v>16542</v>
      </c>
      <c r="E48" s="986">
        <v>17412</v>
      </c>
      <c r="F48" s="986">
        <v>17911</v>
      </c>
      <c r="G48" s="987">
        <v>19156</v>
      </c>
      <c r="I48" s="989">
        <f>G48/'Poverty_All ages'!AA48</f>
        <v>1.3540680002827454</v>
      </c>
    </row>
    <row r="49" spans="1:9" s="988" customFormat="1">
      <c r="A49" s="984" t="s">
        <v>115</v>
      </c>
      <c r="B49" s="985" t="s">
        <v>116</v>
      </c>
      <c r="C49" s="985" t="s">
        <v>272</v>
      </c>
      <c r="D49" s="986">
        <v>236</v>
      </c>
      <c r="E49" s="986">
        <v>221</v>
      </c>
      <c r="F49" s="986">
        <v>256</v>
      </c>
      <c r="G49" s="987">
        <v>267</v>
      </c>
      <c r="I49" s="989">
        <f>G49/'Poverty_All ages'!AA49</f>
        <v>0.85576923076923073</v>
      </c>
    </row>
    <row r="50" spans="1:9" s="988" customFormat="1">
      <c r="A50" s="984" t="s">
        <v>119</v>
      </c>
      <c r="B50" s="985" t="s">
        <v>277</v>
      </c>
      <c r="C50" s="985" t="s">
        <v>271</v>
      </c>
      <c r="D50" s="986">
        <v>4392</v>
      </c>
      <c r="E50" s="986">
        <v>4608</v>
      </c>
      <c r="F50" s="986">
        <v>4858</v>
      </c>
      <c r="G50" s="987">
        <v>4960</v>
      </c>
      <c r="I50" s="989">
        <f>G50/'Poverty_All ages'!AA50</f>
        <v>1.2672457843638221</v>
      </c>
    </row>
    <row r="51" spans="1:9" s="988" customFormat="1">
      <c r="A51" s="984" t="s">
        <v>121</v>
      </c>
      <c r="B51" s="985" t="s">
        <v>122</v>
      </c>
      <c r="C51" s="985" t="s">
        <v>271</v>
      </c>
      <c r="D51" s="986">
        <v>4853</v>
      </c>
      <c r="E51" s="986">
        <v>5304</v>
      </c>
      <c r="F51" s="986">
        <v>5599</v>
      </c>
      <c r="G51" s="987">
        <v>5989</v>
      </c>
      <c r="I51" s="989">
        <f>G51/'Poverty_All ages'!AA51</f>
        <v>1.1999599278701663</v>
      </c>
    </row>
    <row r="52" spans="1:9" s="988" customFormat="1">
      <c r="A52" s="984" t="s">
        <v>123</v>
      </c>
      <c r="B52" s="985" t="s">
        <v>296</v>
      </c>
      <c r="C52" s="985" t="s">
        <v>273</v>
      </c>
      <c r="D52" s="986">
        <v>1296</v>
      </c>
      <c r="E52" s="986">
        <v>1390</v>
      </c>
      <c r="F52" s="986">
        <v>1441</v>
      </c>
      <c r="G52" s="987">
        <v>1463</v>
      </c>
      <c r="I52" s="989">
        <f>G52/'Poverty_All ages'!AA52</f>
        <v>1.5919477693144723</v>
      </c>
    </row>
    <row r="53" spans="1:9" s="988" customFormat="1">
      <c r="A53" s="984" t="s">
        <v>125</v>
      </c>
      <c r="B53" s="985" t="s">
        <v>126</v>
      </c>
      <c r="C53" s="985" t="s">
        <v>274</v>
      </c>
      <c r="D53" s="986">
        <v>2396</v>
      </c>
      <c r="E53" s="986">
        <v>2696</v>
      </c>
      <c r="F53" s="986">
        <v>3105</v>
      </c>
      <c r="G53" s="987">
        <v>3378</v>
      </c>
      <c r="I53" s="989">
        <f>G53/'Poverty_All ages'!AA53</f>
        <v>2.0534954407294834</v>
      </c>
    </row>
    <row r="54" spans="1:9" s="988" customFormat="1">
      <c r="A54" s="984" t="s">
        <v>127</v>
      </c>
      <c r="B54" s="985" t="s">
        <v>128</v>
      </c>
      <c r="C54" s="985" t="s">
        <v>273</v>
      </c>
      <c r="D54" s="986">
        <v>1707</v>
      </c>
      <c r="E54" s="986">
        <v>1929</v>
      </c>
      <c r="F54" s="986">
        <v>2167</v>
      </c>
      <c r="G54" s="987">
        <v>2377</v>
      </c>
      <c r="I54" s="989">
        <f>G54/'Poverty_All ages'!AA54</f>
        <v>1.7137707281903389</v>
      </c>
    </row>
    <row r="55" spans="1:9" s="988" customFormat="1">
      <c r="A55" s="984" t="s">
        <v>129</v>
      </c>
      <c r="B55" s="985" t="s">
        <v>130</v>
      </c>
      <c r="C55" s="985" t="s">
        <v>273</v>
      </c>
      <c r="D55" s="986">
        <v>1806</v>
      </c>
      <c r="E55" s="986">
        <v>1889</v>
      </c>
      <c r="F55" s="986">
        <v>2019</v>
      </c>
      <c r="G55" s="987">
        <v>2103</v>
      </c>
      <c r="I55" s="989">
        <f>G55/'Poverty_All ages'!AA55</f>
        <v>1.2079264790350372</v>
      </c>
    </row>
    <row r="56" spans="1:9" s="988" customFormat="1">
      <c r="A56" s="984" t="s">
        <v>131</v>
      </c>
      <c r="B56" s="985" t="s">
        <v>132</v>
      </c>
      <c r="C56" s="985" t="s">
        <v>275</v>
      </c>
      <c r="D56" s="986">
        <v>7305</v>
      </c>
      <c r="E56" s="986">
        <v>7498</v>
      </c>
      <c r="F56" s="986">
        <v>7535</v>
      </c>
      <c r="G56" s="987">
        <v>7747</v>
      </c>
      <c r="I56" s="989">
        <f>G56/'Poverty_All ages'!AA56</f>
        <v>1.2003408738766657</v>
      </c>
    </row>
    <row r="57" spans="1:9" s="988" customFormat="1">
      <c r="A57" s="984" t="s">
        <v>133</v>
      </c>
      <c r="B57" s="985" t="s">
        <v>134</v>
      </c>
      <c r="C57" s="985" t="s">
        <v>274</v>
      </c>
      <c r="D57" s="986">
        <v>11774</v>
      </c>
      <c r="E57" s="986">
        <v>13732</v>
      </c>
      <c r="F57" s="986">
        <v>15371</v>
      </c>
      <c r="G57" s="987">
        <v>16729</v>
      </c>
      <c r="I57" s="989">
        <f>G57/'Poverty_All ages'!AA57</f>
        <v>1.2872422283779625</v>
      </c>
    </row>
    <row r="58" spans="1:9" s="988" customFormat="1">
      <c r="A58" s="984" t="s">
        <v>135</v>
      </c>
      <c r="B58" s="985" t="s">
        <v>136</v>
      </c>
      <c r="C58" s="985" t="s">
        <v>274</v>
      </c>
      <c r="D58" s="986">
        <v>4274</v>
      </c>
      <c r="E58" s="986">
        <v>4755</v>
      </c>
      <c r="F58" s="986">
        <v>5091</v>
      </c>
      <c r="G58" s="987">
        <v>5367</v>
      </c>
      <c r="I58" s="989">
        <f>G58/'Poverty_All ages'!AA58</f>
        <v>1.4920767306088407</v>
      </c>
    </row>
    <row r="59" spans="1:9" s="988" customFormat="1">
      <c r="A59" s="984" t="s">
        <v>137</v>
      </c>
      <c r="B59" s="985" t="s">
        <v>138</v>
      </c>
      <c r="C59" s="985" t="s">
        <v>273</v>
      </c>
      <c r="D59" s="986">
        <v>2800</v>
      </c>
      <c r="E59" s="986">
        <v>2829</v>
      </c>
      <c r="F59" s="986">
        <v>3012</v>
      </c>
      <c r="G59" s="987">
        <v>3001</v>
      </c>
      <c r="I59" s="989">
        <f>G59/'Poverty_All ages'!AA59</f>
        <v>1.1384673748103187</v>
      </c>
    </row>
    <row r="60" spans="1:9" s="988" customFormat="1">
      <c r="A60" s="984" t="s">
        <v>141</v>
      </c>
      <c r="B60" s="985" t="s">
        <v>142</v>
      </c>
      <c r="C60" s="985" t="s">
        <v>274</v>
      </c>
      <c r="D60" s="986">
        <v>1563</v>
      </c>
      <c r="E60" s="986">
        <v>1786</v>
      </c>
      <c r="F60" s="986">
        <v>1874</v>
      </c>
      <c r="G60" s="987">
        <v>1986</v>
      </c>
      <c r="I60" s="989">
        <f>G60/'Poverty_All ages'!AA60</f>
        <v>1.2821174951581666</v>
      </c>
    </row>
    <row r="61" spans="1:9" s="988" customFormat="1">
      <c r="A61" s="984" t="s">
        <v>147</v>
      </c>
      <c r="B61" s="985" t="s">
        <v>148</v>
      </c>
      <c r="C61" s="985" t="s">
        <v>271</v>
      </c>
      <c r="D61" s="986">
        <v>991</v>
      </c>
      <c r="E61" s="986">
        <v>1090</v>
      </c>
      <c r="F61" s="986">
        <v>1065</v>
      </c>
      <c r="G61" s="987">
        <v>1141</v>
      </c>
      <c r="I61" s="989">
        <f>G61/'Poverty_All ages'!AA61</f>
        <v>1.2849099099099099</v>
      </c>
    </row>
    <row r="62" spans="1:9" s="988" customFormat="1">
      <c r="A62" s="984" t="s">
        <v>149</v>
      </c>
      <c r="B62" s="985" t="s">
        <v>150</v>
      </c>
      <c r="C62" s="985" t="s">
        <v>272</v>
      </c>
      <c r="D62" s="986">
        <v>6205</v>
      </c>
      <c r="E62" s="986">
        <v>6529</v>
      </c>
      <c r="F62" s="986">
        <v>6714</v>
      </c>
      <c r="G62" s="987">
        <v>7029</v>
      </c>
      <c r="I62" s="989">
        <f>G62/'Poverty_All ages'!AA62</f>
        <v>1.1974446337308347</v>
      </c>
    </row>
    <row r="63" spans="1:9" s="988" customFormat="1">
      <c r="A63" s="984" t="s">
        <v>151</v>
      </c>
      <c r="B63" s="985" t="s">
        <v>152</v>
      </c>
      <c r="C63" s="985" t="s">
        <v>273</v>
      </c>
      <c r="D63" s="986">
        <v>1417</v>
      </c>
      <c r="E63" s="986">
        <v>1484</v>
      </c>
      <c r="F63" s="986">
        <v>1635</v>
      </c>
      <c r="G63" s="987">
        <v>1884</v>
      </c>
      <c r="I63" s="989">
        <f>G63/'Poverty_All ages'!AA63</f>
        <v>1.4028294862248698</v>
      </c>
    </row>
    <row r="64" spans="1:9" s="988" customFormat="1">
      <c r="A64" s="984" t="s">
        <v>153</v>
      </c>
      <c r="B64" s="985" t="s">
        <v>154</v>
      </c>
      <c r="C64" s="985" t="s">
        <v>275</v>
      </c>
      <c r="D64" s="986">
        <v>9061</v>
      </c>
      <c r="E64" s="986">
        <v>9616</v>
      </c>
      <c r="F64" s="986">
        <v>9879</v>
      </c>
      <c r="G64" s="987">
        <v>10188</v>
      </c>
      <c r="I64" s="989">
        <f>G64/'Poverty_All ages'!AA64</f>
        <v>0.53148312379362517</v>
      </c>
    </row>
    <row r="65" spans="1:9" s="988" customFormat="1">
      <c r="A65" s="984" t="s">
        <v>155</v>
      </c>
      <c r="B65" s="985" t="s">
        <v>156</v>
      </c>
      <c r="C65" s="985" t="s">
        <v>272</v>
      </c>
      <c r="D65" s="986">
        <v>2509</v>
      </c>
      <c r="E65" s="986">
        <v>2631</v>
      </c>
      <c r="F65" s="986">
        <v>2709</v>
      </c>
      <c r="G65" s="987">
        <v>2799</v>
      </c>
      <c r="I65" s="989">
        <f>G65/'Poverty_All ages'!AA65</f>
        <v>1.37475442043222</v>
      </c>
    </row>
    <row r="66" spans="1:9" s="988" customFormat="1">
      <c r="A66" s="984" t="s">
        <v>157</v>
      </c>
      <c r="B66" s="985" t="s">
        <v>158</v>
      </c>
      <c r="C66" s="985" t="s">
        <v>273</v>
      </c>
      <c r="D66" s="986">
        <v>1121</v>
      </c>
      <c r="E66" s="986">
        <v>1326</v>
      </c>
      <c r="F66" s="986">
        <v>1413</v>
      </c>
      <c r="G66" s="987">
        <v>1571</v>
      </c>
      <c r="I66" s="989">
        <f>G66/'Poverty_All ages'!AA66</f>
        <v>1.2498011137629277</v>
      </c>
    </row>
    <row r="67" spans="1:9" s="988" customFormat="1">
      <c r="A67" s="984" t="s">
        <v>163</v>
      </c>
      <c r="B67" s="985" t="s">
        <v>164</v>
      </c>
      <c r="C67" s="985" t="s">
        <v>271</v>
      </c>
      <c r="D67" s="986">
        <v>3306</v>
      </c>
      <c r="E67" s="986">
        <v>3404</v>
      </c>
      <c r="F67" s="986">
        <v>3486</v>
      </c>
      <c r="G67" s="987">
        <v>3555</v>
      </c>
      <c r="I67" s="989">
        <f>G67/'Poverty_All ages'!AA67</f>
        <v>1.2955539358600583</v>
      </c>
    </row>
    <row r="68" spans="1:9" s="988" customFormat="1">
      <c r="A68" s="984" t="s">
        <v>165</v>
      </c>
      <c r="B68" s="985" t="s">
        <v>166</v>
      </c>
      <c r="C68" s="985" t="s">
        <v>273</v>
      </c>
      <c r="D68" s="986">
        <v>1713</v>
      </c>
      <c r="E68" s="986">
        <v>1873</v>
      </c>
      <c r="F68" s="986">
        <v>1966</v>
      </c>
      <c r="G68" s="987">
        <v>2116</v>
      </c>
      <c r="I68" s="989">
        <f>G68/'Poverty_All ages'!AA68</f>
        <v>1.2309482257126236</v>
      </c>
    </row>
    <row r="69" spans="1:9" s="988" customFormat="1">
      <c r="A69" s="984" t="s">
        <v>169</v>
      </c>
      <c r="B69" s="985" t="s">
        <v>170</v>
      </c>
      <c r="C69" s="985" t="s">
        <v>273</v>
      </c>
      <c r="D69" s="986">
        <v>3541</v>
      </c>
      <c r="E69" s="986">
        <v>3661</v>
      </c>
      <c r="F69" s="986">
        <v>3884</v>
      </c>
      <c r="G69" s="987">
        <v>4089</v>
      </c>
      <c r="I69" s="989">
        <f>G69/'Poverty_All ages'!AA69</f>
        <v>1.3254457050243111</v>
      </c>
    </row>
    <row r="70" spans="1:9" s="988" customFormat="1">
      <c r="A70" s="984" t="s">
        <v>171</v>
      </c>
      <c r="B70" s="985" t="s">
        <v>172</v>
      </c>
      <c r="C70" s="985" t="s">
        <v>274</v>
      </c>
      <c r="D70" s="986">
        <v>3938</v>
      </c>
      <c r="E70" s="986">
        <v>4286</v>
      </c>
      <c r="F70" s="986">
        <v>4550</v>
      </c>
      <c r="G70" s="987">
        <v>4794</v>
      </c>
      <c r="I70" s="989">
        <f>G70/'Poverty_All ages'!AA70</f>
        <v>1.2136708860759493</v>
      </c>
    </row>
    <row r="71" spans="1:9" s="988" customFormat="1">
      <c r="A71" s="984" t="s">
        <v>173</v>
      </c>
      <c r="B71" s="985" t="s">
        <v>174</v>
      </c>
      <c r="C71" s="985" t="s">
        <v>274</v>
      </c>
      <c r="D71" s="986">
        <v>4119</v>
      </c>
      <c r="E71" s="986">
        <v>4463</v>
      </c>
      <c r="F71" s="986">
        <v>4506</v>
      </c>
      <c r="G71" s="987">
        <v>4819</v>
      </c>
      <c r="I71" s="989">
        <f>G71/'Poverty_All ages'!AA71</f>
        <v>1.1884093711467325</v>
      </c>
    </row>
    <row r="72" spans="1:9" s="988" customFormat="1">
      <c r="A72" s="984" t="s">
        <v>175</v>
      </c>
      <c r="B72" s="985" t="s">
        <v>176</v>
      </c>
      <c r="C72" s="985" t="s">
        <v>275</v>
      </c>
      <c r="D72" s="986">
        <v>4076</v>
      </c>
      <c r="E72" s="986">
        <v>4056</v>
      </c>
      <c r="F72" s="986">
        <v>4226</v>
      </c>
      <c r="G72" s="987">
        <v>4447</v>
      </c>
      <c r="I72" s="989">
        <f>G72/'Poverty_All ages'!AA72</f>
        <v>1.3641104294478528</v>
      </c>
    </row>
    <row r="73" spans="1:9" s="988" customFormat="1">
      <c r="A73" s="984" t="s">
        <v>179</v>
      </c>
      <c r="B73" s="985" t="s">
        <v>180</v>
      </c>
      <c r="C73" s="985" t="s">
        <v>272</v>
      </c>
      <c r="D73" s="986">
        <v>11430</v>
      </c>
      <c r="E73" s="986">
        <v>12090</v>
      </c>
      <c r="F73" s="986">
        <v>12676</v>
      </c>
      <c r="G73" s="987">
        <v>12764</v>
      </c>
      <c r="I73" s="989">
        <f>G73/'Poverty_All ages'!AA73</f>
        <v>1.4006364534181939</v>
      </c>
    </row>
    <row r="74" spans="1:9" s="988" customFormat="1">
      <c r="A74" s="984" t="s">
        <v>183</v>
      </c>
      <c r="B74" s="985" t="s">
        <v>184</v>
      </c>
      <c r="C74" s="985" t="s">
        <v>273</v>
      </c>
      <c r="D74" s="986">
        <v>1578</v>
      </c>
      <c r="E74" s="986">
        <v>1787</v>
      </c>
      <c r="F74" s="986">
        <v>1977</v>
      </c>
      <c r="G74" s="987">
        <v>2131</v>
      </c>
      <c r="I74" s="989">
        <f>G74/'Poverty_All ages'!AA74</f>
        <v>1.1251319957761352</v>
      </c>
    </row>
    <row r="75" spans="1:9" s="988" customFormat="1">
      <c r="A75" s="984" t="s">
        <v>185</v>
      </c>
      <c r="B75" s="985" t="s">
        <v>186</v>
      </c>
      <c r="C75" s="985" t="s">
        <v>273</v>
      </c>
      <c r="D75" s="986">
        <v>4025</v>
      </c>
      <c r="E75" s="986">
        <v>4268</v>
      </c>
      <c r="F75" s="986">
        <v>4509</v>
      </c>
      <c r="G75" s="987">
        <v>4638</v>
      </c>
      <c r="I75" s="989">
        <f>G75/'Poverty_All ages'!AA75</f>
        <v>0.97683235046335304</v>
      </c>
    </row>
    <row r="76" spans="1:9" s="988" customFormat="1">
      <c r="A76" s="984" t="s">
        <v>187</v>
      </c>
      <c r="B76" s="985" t="s">
        <v>188</v>
      </c>
      <c r="C76" s="985" t="s">
        <v>271</v>
      </c>
      <c r="D76" s="986">
        <v>2895</v>
      </c>
      <c r="E76" s="986">
        <v>3130</v>
      </c>
      <c r="F76" s="986">
        <v>3374</v>
      </c>
      <c r="G76" s="987">
        <v>3510</v>
      </c>
      <c r="I76" s="989">
        <f>G76/'Poverty_All ages'!AA76</f>
        <v>1.0311398354876615</v>
      </c>
    </row>
    <row r="77" spans="1:9" s="988" customFormat="1">
      <c r="A77" s="984" t="s">
        <v>189</v>
      </c>
      <c r="B77" s="985" t="s">
        <v>190</v>
      </c>
      <c r="C77" s="985" t="s">
        <v>274</v>
      </c>
      <c r="D77" s="986">
        <v>36661</v>
      </c>
      <c r="E77" s="986">
        <v>40536</v>
      </c>
      <c r="F77" s="986">
        <v>44030</v>
      </c>
      <c r="G77" s="987">
        <v>46428</v>
      </c>
      <c r="I77" s="989">
        <f>G77/'Poverty_All ages'!AA77</f>
        <v>1.6211459897342784</v>
      </c>
    </row>
    <row r="78" spans="1:9" s="988" customFormat="1">
      <c r="A78" s="984" t="s">
        <v>191</v>
      </c>
      <c r="B78" s="985" t="s">
        <v>192</v>
      </c>
      <c r="C78" s="985" t="s">
        <v>275</v>
      </c>
      <c r="D78" s="986">
        <v>6194</v>
      </c>
      <c r="E78" s="986">
        <v>6590</v>
      </c>
      <c r="F78" s="986">
        <v>6886</v>
      </c>
      <c r="G78" s="987">
        <v>7046</v>
      </c>
      <c r="I78" s="989">
        <f>G78/'Poverty_All ages'!AA78</f>
        <v>1.2734502078438461</v>
      </c>
    </row>
    <row r="79" spans="1:9" s="988" customFormat="1">
      <c r="A79" s="984" t="s">
        <v>195</v>
      </c>
      <c r="B79" s="985" t="s">
        <v>196</v>
      </c>
      <c r="C79" s="985" t="s">
        <v>274</v>
      </c>
      <c r="D79" s="986">
        <v>666</v>
      </c>
      <c r="E79" s="986">
        <v>714</v>
      </c>
      <c r="F79" s="986">
        <v>793</v>
      </c>
      <c r="G79" s="987">
        <v>884</v>
      </c>
      <c r="I79" s="989">
        <f>G79/'Poverty_All ages'!AA79</f>
        <v>1.1913746630727762</v>
      </c>
    </row>
    <row r="80" spans="1:9" s="988" customFormat="1">
      <c r="A80" s="984" t="s">
        <v>199</v>
      </c>
      <c r="B80" s="985" t="s">
        <v>279</v>
      </c>
      <c r="C80" s="985" t="s">
        <v>273</v>
      </c>
      <c r="D80" s="986">
        <v>1457</v>
      </c>
      <c r="E80" s="986">
        <v>1561</v>
      </c>
      <c r="F80" s="986">
        <v>1642</v>
      </c>
      <c r="G80" s="987">
        <v>1636</v>
      </c>
      <c r="I80" s="989">
        <f>G80/'Poverty_All ages'!AA80</f>
        <v>1.0834437086092714</v>
      </c>
    </row>
    <row r="81" spans="1:9" s="988" customFormat="1">
      <c r="A81" s="984" t="s">
        <v>203</v>
      </c>
      <c r="B81" s="985" t="s">
        <v>311</v>
      </c>
      <c r="C81" s="985" t="s">
        <v>272</v>
      </c>
      <c r="D81" s="986">
        <v>10155</v>
      </c>
      <c r="E81" s="986">
        <v>11264</v>
      </c>
      <c r="F81" s="986">
        <v>12079</v>
      </c>
      <c r="G81" s="987">
        <v>12632</v>
      </c>
      <c r="I81" s="989">
        <f>G81/'Poverty_All ages'!AA81</f>
        <v>1.2821762078765733</v>
      </c>
    </row>
    <row r="82" spans="1:9" s="988" customFormat="1">
      <c r="A82" s="984" t="s">
        <v>205</v>
      </c>
      <c r="B82" s="985" t="s">
        <v>303</v>
      </c>
      <c r="C82" s="985" t="s">
        <v>272</v>
      </c>
      <c r="D82" s="986">
        <v>4797</v>
      </c>
      <c r="E82" s="986">
        <v>4898</v>
      </c>
      <c r="F82" s="986">
        <v>5138</v>
      </c>
      <c r="G82" s="987">
        <v>5408</v>
      </c>
      <c r="I82" s="989">
        <f>G82/'Poverty_All ages'!AA82</f>
        <v>1.1254942767950051</v>
      </c>
    </row>
    <row r="83" spans="1:9" s="988" customFormat="1">
      <c r="A83" s="984" t="s">
        <v>207</v>
      </c>
      <c r="B83" s="985" t="s">
        <v>304</v>
      </c>
      <c r="C83" s="985" t="s">
        <v>274</v>
      </c>
      <c r="D83" s="986">
        <v>13471</v>
      </c>
      <c r="E83" s="986">
        <v>14924</v>
      </c>
      <c r="F83" s="986">
        <v>15566</v>
      </c>
      <c r="G83" s="987">
        <v>16186</v>
      </c>
      <c r="I83" s="989">
        <f>G83/'Poverty_All ages'!AA83</f>
        <v>0.8665810043901917</v>
      </c>
    </row>
    <row r="84" spans="1:9" s="988" customFormat="1">
      <c r="A84" s="984" t="s">
        <v>209</v>
      </c>
      <c r="B84" s="985" t="s">
        <v>210</v>
      </c>
      <c r="C84" s="985" t="s">
        <v>275</v>
      </c>
      <c r="D84" s="986">
        <v>7098</v>
      </c>
      <c r="E84" s="986">
        <v>7332</v>
      </c>
      <c r="F84" s="986">
        <v>7382</v>
      </c>
      <c r="G84" s="987">
        <v>7374</v>
      </c>
      <c r="I84" s="989">
        <f>G84/'Poverty_All ages'!AA84</f>
        <v>1.0999403341288783</v>
      </c>
    </row>
    <row r="85" spans="1:9" s="988" customFormat="1">
      <c r="A85" s="984" t="s">
        <v>211</v>
      </c>
      <c r="B85" s="985" t="s">
        <v>212</v>
      </c>
      <c r="C85" s="985" t="s">
        <v>275</v>
      </c>
      <c r="D85" s="986">
        <v>5111</v>
      </c>
      <c r="E85" s="986">
        <v>5200</v>
      </c>
      <c r="F85" s="986">
        <v>5378</v>
      </c>
      <c r="G85" s="987">
        <v>5578</v>
      </c>
      <c r="I85" s="989">
        <f>G85/'Poverty_All ages'!AA85</f>
        <v>1.3303124254710232</v>
      </c>
    </row>
    <row r="86" spans="1:9" s="988" customFormat="1">
      <c r="A86" s="984" t="s">
        <v>213</v>
      </c>
      <c r="B86" s="985" t="s">
        <v>214</v>
      </c>
      <c r="C86" s="985" t="s">
        <v>274</v>
      </c>
      <c r="D86" s="986">
        <v>5470</v>
      </c>
      <c r="E86" s="986">
        <v>5915</v>
      </c>
      <c r="F86" s="986">
        <v>6198</v>
      </c>
      <c r="G86" s="987">
        <v>6783</v>
      </c>
      <c r="I86" s="989">
        <f>G86/'Poverty_All ages'!AA86</f>
        <v>1.2069395017793594</v>
      </c>
    </row>
    <row r="87" spans="1:9" s="988" customFormat="1">
      <c r="A87" s="984" t="s">
        <v>215</v>
      </c>
      <c r="B87" s="985" t="s">
        <v>216</v>
      </c>
      <c r="C87" s="985" t="s">
        <v>275</v>
      </c>
      <c r="D87" s="986">
        <v>7212</v>
      </c>
      <c r="E87" s="986">
        <v>7415</v>
      </c>
      <c r="F87" s="986">
        <v>7673</v>
      </c>
      <c r="G87" s="987">
        <v>7937</v>
      </c>
      <c r="I87" s="989">
        <f>G87/'Poverty_All ages'!AA87</f>
        <v>1.3043549712407561</v>
      </c>
    </row>
    <row r="88" spans="1:9" s="988" customFormat="1">
      <c r="A88" s="984" t="s">
        <v>217</v>
      </c>
      <c r="B88" s="985" t="s">
        <v>218</v>
      </c>
      <c r="C88" s="985" t="s">
        <v>271</v>
      </c>
      <c r="D88" s="986">
        <v>3383</v>
      </c>
      <c r="E88" s="986">
        <v>3477</v>
      </c>
      <c r="F88" s="986">
        <v>3529</v>
      </c>
      <c r="G88" s="987">
        <v>3701</v>
      </c>
      <c r="I88" s="989">
        <f>G88/'Poverty_All ages'!AA88</f>
        <v>1.3727744807121662</v>
      </c>
    </row>
    <row r="89" spans="1:9" s="988" customFormat="1">
      <c r="A89" s="984" t="s">
        <v>219</v>
      </c>
      <c r="B89" s="985" t="s">
        <v>220</v>
      </c>
      <c r="C89" s="985" t="s">
        <v>274</v>
      </c>
      <c r="D89" s="986">
        <v>12137</v>
      </c>
      <c r="E89" s="986">
        <v>13369</v>
      </c>
      <c r="F89" s="986">
        <v>14764</v>
      </c>
      <c r="G89" s="987">
        <v>15206</v>
      </c>
      <c r="I89" s="989">
        <f>G89/'Poverty_All ages'!AA89</f>
        <v>1.6252672082086361</v>
      </c>
    </row>
    <row r="90" spans="1:9" s="988" customFormat="1">
      <c r="A90" s="984" t="s">
        <v>221</v>
      </c>
      <c r="B90" s="985" t="s">
        <v>222</v>
      </c>
      <c r="C90" s="985" t="s">
        <v>274</v>
      </c>
      <c r="D90" s="986">
        <v>10315</v>
      </c>
      <c r="E90" s="986">
        <v>11310</v>
      </c>
      <c r="F90" s="986">
        <v>12060</v>
      </c>
      <c r="G90" s="987">
        <v>12753</v>
      </c>
      <c r="I90" s="989">
        <f>G90/'Poverty_All ages'!AA90</f>
        <v>1.5802973977695167</v>
      </c>
    </row>
    <row r="91" spans="1:9" s="988" customFormat="1">
      <c r="A91" s="984" t="s">
        <v>225</v>
      </c>
      <c r="B91" s="985" t="s">
        <v>226</v>
      </c>
      <c r="C91" s="985" t="s">
        <v>271</v>
      </c>
      <c r="D91" s="986">
        <v>1086</v>
      </c>
      <c r="E91" s="986">
        <v>1202</v>
      </c>
      <c r="F91" s="986">
        <v>1235</v>
      </c>
      <c r="G91" s="987">
        <v>1224</v>
      </c>
      <c r="I91" s="989">
        <f>G91/'Poverty_All ages'!AA91</f>
        <v>1.3846153846153846</v>
      </c>
    </row>
    <row r="92" spans="1:9" s="988" customFormat="1">
      <c r="A92" s="984" t="s">
        <v>227</v>
      </c>
      <c r="B92" s="985" t="s">
        <v>228</v>
      </c>
      <c r="C92" s="985" t="s">
        <v>271</v>
      </c>
      <c r="D92" s="986">
        <v>2076</v>
      </c>
      <c r="E92" s="986">
        <v>2213</v>
      </c>
      <c r="F92" s="986">
        <v>2175</v>
      </c>
      <c r="G92" s="987">
        <v>2306</v>
      </c>
      <c r="I92" s="989">
        <f>G92/'Poverty_All ages'!AA92</f>
        <v>1.17293997965412</v>
      </c>
    </row>
    <row r="93" spans="1:9" s="988" customFormat="1">
      <c r="A93" s="984" t="s">
        <v>229</v>
      </c>
      <c r="B93" s="985" t="s">
        <v>230</v>
      </c>
      <c r="C93" s="985" t="s">
        <v>275</v>
      </c>
      <c r="D93" s="986">
        <v>9319</v>
      </c>
      <c r="E93" s="986">
        <v>9785</v>
      </c>
      <c r="F93" s="986">
        <v>9876</v>
      </c>
      <c r="G93" s="987">
        <v>10018</v>
      </c>
      <c r="I93" s="989">
        <f>G93/'Poverty_All ages'!AA93</f>
        <v>1.3216358839050133</v>
      </c>
    </row>
    <row r="94" spans="1:9" s="988" customFormat="1">
      <c r="A94" s="984" t="s">
        <v>233</v>
      </c>
      <c r="B94" s="985" t="s">
        <v>234</v>
      </c>
      <c r="C94" s="985" t="s">
        <v>274</v>
      </c>
      <c r="D94" s="986">
        <v>4509</v>
      </c>
      <c r="E94" s="986">
        <v>5112</v>
      </c>
      <c r="F94" s="986">
        <v>5442</v>
      </c>
      <c r="G94" s="987">
        <v>5758</v>
      </c>
      <c r="I94" s="989">
        <f>G94/'Poverty_All ages'!AA94</f>
        <v>1.4924831518921722</v>
      </c>
    </row>
    <row r="95" spans="1:9" s="988" customFormat="1">
      <c r="A95" s="984" t="s">
        <v>235</v>
      </c>
      <c r="B95" s="985" t="s">
        <v>236</v>
      </c>
      <c r="C95" s="985" t="s">
        <v>275</v>
      </c>
      <c r="D95" s="986">
        <v>8649</v>
      </c>
      <c r="E95" s="986">
        <v>9324</v>
      </c>
      <c r="F95" s="986">
        <v>9567</v>
      </c>
      <c r="G95" s="987">
        <v>9931</v>
      </c>
      <c r="I95" s="989">
        <f>G95/'Poverty_All ages'!AA95</f>
        <v>1.4538134972917582</v>
      </c>
    </row>
    <row r="96" spans="1:9" s="988" customFormat="1">
      <c r="A96" s="984" t="s">
        <v>237</v>
      </c>
      <c r="B96" s="985" t="s">
        <v>238</v>
      </c>
      <c r="C96" s="985" t="s">
        <v>273</v>
      </c>
      <c r="D96" s="986">
        <v>3166</v>
      </c>
      <c r="E96" s="986">
        <v>3414</v>
      </c>
      <c r="F96" s="986">
        <v>3705</v>
      </c>
      <c r="G96" s="987">
        <v>3790</v>
      </c>
      <c r="I96" s="989">
        <f>G96/'Poverty_All ages'!AA96</f>
        <v>1.2549668874172186</v>
      </c>
    </row>
    <row r="97" spans="1:9" s="988" customFormat="1">
      <c r="A97" s="984" t="s">
        <v>243</v>
      </c>
      <c r="B97" s="985" t="s">
        <v>244</v>
      </c>
      <c r="C97" s="985" t="s">
        <v>275</v>
      </c>
      <c r="D97" s="986">
        <v>10805</v>
      </c>
      <c r="E97" s="986">
        <v>10910</v>
      </c>
      <c r="F97" s="986">
        <v>11043</v>
      </c>
      <c r="G97" s="987">
        <v>11213</v>
      </c>
      <c r="I97" s="989">
        <f>G97/'Poverty_All ages'!AA97</f>
        <v>1.2768162149851969</v>
      </c>
    </row>
    <row r="98" spans="1:9" s="988" customFormat="1">
      <c r="A98" s="984" t="s">
        <v>245</v>
      </c>
      <c r="B98" s="985" t="s">
        <v>246</v>
      </c>
      <c r="C98" s="985" t="s">
        <v>275</v>
      </c>
      <c r="D98" s="986">
        <v>5376</v>
      </c>
      <c r="E98" s="986">
        <v>5595</v>
      </c>
      <c r="F98" s="986">
        <v>5773</v>
      </c>
      <c r="G98" s="987">
        <v>6024</v>
      </c>
      <c r="I98" s="989">
        <f>G98/'Poverty_All ages'!AA98</f>
        <v>1.4522661523625844</v>
      </c>
    </row>
    <row r="99" spans="1:9" s="988" customFormat="1">
      <c r="A99" s="984" t="s">
        <v>247</v>
      </c>
      <c r="B99" s="985" t="s">
        <v>248</v>
      </c>
      <c r="C99" s="985" t="s">
        <v>271</v>
      </c>
      <c r="D99" s="986">
        <v>3707</v>
      </c>
      <c r="E99" s="986">
        <v>4094</v>
      </c>
      <c r="F99" s="986">
        <v>4580</v>
      </c>
      <c r="G99" s="987">
        <v>4878</v>
      </c>
      <c r="I99" s="989">
        <f>G99/'Poverty_All ages'!AA99</f>
        <v>1.1636450381679388</v>
      </c>
    </row>
    <row r="100" spans="1:9" s="988" customFormat="1">
      <c r="A100" s="984" t="s">
        <v>14</v>
      </c>
      <c r="B100" s="985" t="s">
        <v>15</v>
      </c>
      <c r="C100" s="985" t="s">
        <v>274</v>
      </c>
      <c r="D100" s="986">
        <v>11509</v>
      </c>
      <c r="E100" s="986">
        <v>12271</v>
      </c>
      <c r="F100" s="986">
        <v>12897</v>
      </c>
      <c r="G100" s="987">
        <v>13366</v>
      </c>
      <c r="I100" s="989">
        <f>G100/'Poverty_All ages'!AA100</f>
        <v>1.1600416594341261</v>
      </c>
    </row>
    <row r="101" spans="1:9" s="988" customFormat="1">
      <c r="A101" s="984" t="s">
        <v>35</v>
      </c>
      <c r="B101" s="985" t="s">
        <v>36</v>
      </c>
      <c r="C101" s="985" t="s">
        <v>275</v>
      </c>
      <c r="D101" s="986">
        <v>5055</v>
      </c>
      <c r="E101" s="986">
        <v>5306</v>
      </c>
      <c r="F101" s="986">
        <v>5529</v>
      </c>
      <c r="G101" s="987">
        <v>5704</v>
      </c>
      <c r="I101" s="989">
        <f>G101/'Poverty_All ages'!AA101</f>
        <v>1.2772055530676221</v>
      </c>
    </row>
    <row r="102" spans="1:9" s="988" customFormat="1">
      <c r="A102" s="984" t="s">
        <v>53</v>
      </c>
      <c r="B102" s="985" t="s">
        <v>54</v>
      </c>
      <c r="C102" s="985" t="s">
        <v>272</v>
      </c>
      <c r="D102" s="986">
        <v>6541</v>
      </c>
      <c r="E102" s="986">
        <v>6794</v>
      </c>
      <c r="F102" s="986">
        <v>6942</v>
      </c>
      <c r="G102" s="987">
        <v>7108</v>
      </c>
      <c r="I102" s="989">
        <f>G102/'Poverty_All ages'!AA102</f>
        <v>0.74758098443416066</v>
      </c>
    </row>
    <row r="103" spans="1:9" s="988" customFormat="1">
      <c r="A103" s="984" t="s">
        <v>55</v>
      </c>
      <c r="B103" s="985" t="s">
        <v>56</v>
      </c>
      <c r="C103" s="985" t="s">
        <v>271</v>
      </c>
      <c r="D103" s="986">
        <v>24393</v>
      </c>
      <c r="E103" s="986">
        <v>26577</v>
      </c>
      <c r="F103" s="986">
        <v>27962</v>
      </c>
      <c r="G103" s="987">
        <v>29250</v>
      </c>
      <c r="I103" s="989">
        <f>G103/'Poverty_All ages'!AA103</f>
        <v>1.4232884044572041</v>
      </c>
    </row>
    <row r="104" spans="1:9" s="988" customFormat="1">
      <c r="A104" s="984" t="s">
        <v>67</v>
      </c>
      <c r="B104" s="985" t="s">
        <v>68</v>
      </c>
      <c r="C104" s="985" t="s">
        <v>272</v>
      </c>
      <c r="D104" s="986">
        <v>13452</v>
      </c>
      <c r="E104" s="986">
        <v>14126</v>
      </c>
      <c r="F104" s="986">
        <v>14600</v>
      </c>
      <c r="G104" s="987">
        <v>15252</v>
      </c>
      <c r="I104" s="989">
        <f>G104/'Poverty_All ages'!AA104</f>
        <v>1.3885651857246906</v>
      </c>
    </row>
    <row r="105" spans="1:9" s="988" customFormat="1">
      <c r="A105" s="984" t="s">
        <v>83</v>
      </c>
      <c r="B105" s="985" t="s">
        <v>84</v>
      </c>
      <c r="C105" s="985" t="s">
        <v>271</v>
      </c>
      <c r="D105" s="986">
        <v>2340</v>
      </c>
      <c r="E105" s="986">
        <v>2554</v>
      </c>
      <c r="F105" s="986">
        <v>2746</v>
      </c>
      <c r="G105" s="987">
        <v>3059</v>
      </c>
      <c r="I105" s="989">
        <f>G105/'Poverty_All ages'!AA105</f>
        <v>1.6597938144329898</v>
      </c>
    </row>
    <row r="106" spans="1:9" s="988" customFormat="1">
      <c r="A106" s="984" t="s">
        <v>89</v>
      </c>
      <c r="B106" s="985" t="s">
        <v>90</v>
      </c>
      <c r="C106" s="985" t="s">
        <v>274</v>
      </c>
      <c r="D106" s="986">
        <v>4499</v>
      </c>
      <c r="E106" s="986">
        <v>4878</v>
      </c>
      <c r="F106" s="986">
        <v>5263</v>
      </c>
      <c r="G106" s="987">
        <v>5589</v>
      </c>
      <c r="I106" s="989">
        <f>G106/'Poverty_All ages'!AA106</f>
        <v>1.5183374083129584</v>
      </c>
    </row>
    <row r="107" spans="1:9" s="988" customFormat="1">
      <c r="A107" s="984" t="s">
        <v>91</v>
      </c>
      <c r="B107" s="985" t="s">
        <v>92</v>
      </c>
      <c r="C107" s="985" t="s">
        <v>275</v>
      </c>
      <c r="D107" s="986">
        <v>2273</v>
      </c>
      <c r="E107" s="986">
        <v>2375</v>
      </c>
      <c r="F107" s="986">
        <v>2345</v>
      </c>
      <c r="G107" s="987">
        <v>2375</v>
      </c>
      <c r="I107" s="989">
        <f>G107/'Poverty_All ages'!AA107</f>
        <v>1.5522875816993464</v>
      </c>
    </row>
    <row r="108" spans="1:9" s="988" customFormat="1">
      <c r="A108" s="984" t="s">
        <v>107</v>
      </c>
      <c r="B108" s="985" t="s">
        <v>108</v>
      </c>
      <c r="C108" s="985" t="s">
        <v>271</v>
      </c>
      <c r="D108" s="986">
        <v>21965</v>
      </c>
      <c r="E108" s="986">
        <v>23163</v>
      </c>
      <c r="F108" s="986">
        <v>24738</v>
      </c>
      <c r="G108" s="987">
        <v>26085</v>
      </c>
      <c r="I108" s="989">
        <f>G108/'Poverty_All ages'!AA108</f>
        <v>1.294348235994641</v>
      </c>
    </row>
    <row r="109" spans="1:9" s="988" customFormat="1">
      <c r="A109" s="984" t="s">
        <v>117</v>
      </c>
      <c r="B109" s="985" t="s">
        <v>118</v>
      </c>
      <c r="C109" s="985" t="s">
        <v>273</v>
      </c>
      <c r="D109" s="986">
        <v>6299</v>
      </c>
      <c r="E109" s="986">
        <v>6616</v>
      </c>
      <c r="F109" s="986">
        <v>6951</v>
      </c>
      <c r="G109" s="987">
        <v>7373</v>
      </c>
      <c r="I109" s="989">
        <f>G109/'Poverty_All ages'!AA109</f>
        <v>1.8088812561334642</v>
      </c>
    </row>
    <row r="110" spans="1:9" s="988" customFormat="1">
      <c r="A110" s="984" t="s">
        <v>139</v>
      </c>
      <c r="B110" s="985" t="s">
        <v>140</v>
      </c>
      <c r="C110" s="985" t="s">
        <v>272</v>
      </c>
      <c r="D110" s="986">
        <v>13806</v>
      </c>
      <c r="E110" s="986">
        <v>14762</v>
      </c>
      <c r="F110" s="986">
        <v>15340</v>
      </c>
      <c r="G110" s="987">
        <v>16048</v>
      </c>
      <c r="I110" s="989">
        <f>G110/'Poverty_All ages'!AA110</f>
        <v>1.0938586326767092</v>
      </c>
    </row>
    <row r="111" spans="1:9" s="988" customFormat="1">
      <c r="A111" s="984" t="s">
        <v>143</v>
      </c>
      <c r="B111" s="985" t="s">
        <v>144</v>
      </c>
      <c r="C111" s="985" t="s">
        <v>274</v>
      </c>
      <c r="D111" s="986">
        <v>5250</v>
      </c>
      <c r="E111" s="986">
        <v>6136</v>
      </c>
      <c r="F111" s="986">
        <v>6440</v>
      </c>
      <c r="G111" s="987">
        <v>6556</v>
      </c>
      <c r="I111" s="989">
        <f>G111/'Poverty_All ages'!AA111</f>
        <v>1.6247831474597274</v>
      </c>
    </row>
    <row r="112" spans="1:9" s="988" customFormat="1">
      <c r="A112" s="984" t="s">
        <v>145</v>
      </c>
      <c r="B112" s="985" t="s">
        <v>146</v>
      </c>
      <c r="C112" s="985" t="s">
        <v>274</v>
      </c>
      <c r="D112" s="986">
        <v>1998</v>
      </c>
      <c r="E112" s="986">
        <v>2134</v>
      </c>
      <c r="F112" s="986">
        <v>2218</v>
      </c>
      <c r="G112" s="987">
        <v>2203</v>
      </c>
      <c r="I112" s="989">
        <f>G112/'Poverty_All ages'!AA112</f>
        <v>1.814662273476112</v>
      </c>
    </row>
    <row r="113" spans="1:9" s="988" customFormat="1">
      <c r="A113" s="984" t="s">
        <v>159</v>
      </c>
      <c r="B113" s="985" t="s">
        <v>160</v>
      </c>
      <c r="C113" s="985" t="s">
        <v>271</v>
      </c>
      <c r="D113" s="986">
        <v>34285</v>
      </c>
      <c r="E113" s="986">
        <v>36250</v>
      </c>
      <c r="F113" s="986">
        <v>38941</v>
      </c>
      <c r="G113" s="987">
        <v>40460</v>
      </c>
      <c r="I113" s="989">
        <f>G113/'Poverty_All ages'!AA113</f>
        <v>1.5146750524109014</v>
      </c>
    </row>
    <row r="114" spans="1:9" s="988" customFormat="1">
      <c r="A114" s="984" t="s">
        <v>161</v>
      </c>
      <c r="B114" s="985" t="s">
        <v>162</v>
      </c>
      <c r="C114" s="985" t="s">
        <v>271</v>
      </c>
      <c r="D114" s="986">
        <v>46627</v>
      </c>
      <c r="E114" s="986">
        <v>48285</v>
      </c>
      <c r="F114" s="986">
        <v>49903</v>
      </c>
      <c r="G114" s="987">
        <v>52193</v>
      </c>
      <c r="I114" s="989">
        <f>G114/'Poverty_All ages'!AA114</f>
        <v>1.2222326300259936</v>
      </c>
    </row>
    <row r="115" spans="1:9" s="988" customFormat="1">
      <c r="A115" s="984" t="s">
        <v>167</v>
      </c>
      <c r="B115" s="985" t="s">
        <v>168</v>
      </c>
      <c r="C115" s="985" t="s">
        <v>275</v>
      </c>
      <c r="D115" s="986">
        <v>1331</v>
      </c>
      <c r="E115" s="986">
        <v>1306</v>
      </c>
      <c r="F115" s="986">
        <v>1342</v>
      </c>
      <c r="G115" s="987">
        <v>1439</v>
      </c>
      <c r="I115" s="989">
        <f>G115/'Poverty_All ages'!AA115</f>
        <v>1.757020757020757</v>
      </c>
    </row>
    <row r="116" spans="1:9" s="988" customFormat="1">
      <c r="A116" s="984" t="s">
        <v>177</v>
      </c>
      <c r="B116" s="985" t="s">
        <v>178</v>
      </c>
      <c r="C116" s="985" t="s">
        <v>273</v>
      </c>
      <c r="D116" s="986">
        <v>10468</v>
      </c>
      <c r="E116" s="986">
        <v>10808</v>
      </c>
      <c r="F116" s="986">
        <v>11454</v>
      </c>
      <c r="G116" s="987">
        <v>11652</v>
      </c>
      <c r="I116" s="989">
        <f>G116/'Poverty_All ages'!AA116</f>
        <v>1.5138365596985839</v>
      </c>
    </row>
    <row r="117" spans="1:9" s="988" customFormat="1">
      <c r="A117" s="984" t="s">
        <v>181</v>
      </c>
      <c r="B117" s="985" t="s">
        <v>182</v>
      </c>
      <c r="C117" s="985" t="s">
        <v>271</v>
      </c>
      <c r="D117" s="986">
        <v>22189</v>
      </c>
      <c r="E117" s="986">
        <v>23146</v>
      </c>
      <c r="F117" s="986">
        <v>24054</v>
      </c>
      <c r="G117" s="987">
        <v>25641</v>
      </c>
      <c r="I117" s="989">
        <f>G117/'Poverty_All ages'!AA117</f>
        <v>1.5409254807692307</v>
      </c>
    </row>
    <row r="118" spans="1:9" s="988" customFormat="1">
      <c r="A118" s="984" t="s">
        <v>193</v>
      </c>
      <c r="B118" s="985" t="s">
        <v>194</v>
      </c>
      <c r="C118" s="985" t="s">
        <v>275</v>
      </c>
      <c r="D118" s="986">
        <v>1940</v>
      </c>
      <c r="E118" s="986">
        <v>2018</v>
      </c>
      <c r="F118" s="986">
        <v>2130</v>
      </c>
      <c r="G118" s="987">
        <v>2196</v>
      </c>
      <c r="I118" s="989">
        <f>G118/'Poverty_All ages'!AA118</f>
        <v>0.59592944369063772</v>
      </c>
    </row>
    <row r="119" spans="1:9" s="988" customFormat="1">
      <c r="A119" s="984" t="s">
        <v>197</v>
      </c>
      <c r="B119" s="985" t="s">
        <v>198</v>
      </c>
      <c r="C119" s="985" t="s">
        <v>273</v>
      </c>
      <c r="D119" s="986">
        <v>51334</v>
      </c>
      <c r="E119" s="986">
        <v>52700</v>
      </c>
      <c r="F119" s="986">
        <v>53684</v>
      </c>
      <c r="G119" s="987">
        <v>54460</v>
      </c>
      <c r="I119" s="989">
        <f>G119/'Poverty_All ages'!AA119</f>
        <v>1.0653989866384961</v>
      </c>
    </row>
    <row r="120" spans="1:9" s="988" customFormat="1">
      <c r="A120" s="984" t="s">
        <v>201</v>
      </c>
      <c r="B120" s="985" t="s">
        <v>202</v>
      </c>
      <c r="C120" s="985" t="s">
        <v>272</v>
      </c>
      <c r="D120" s="986">
        <v>24642</v>
      </c>
      <c r="E120" s="986">
        <v>26026</v>
      </c>
      <c r="F120" s="986">
        <v>27038</v>
      </c>
      <c r="G120" s="987">
        <v>28340</v>
      </c>
      <c r="I120" s="989">
        <f>G120/'Poverty_All ages'!AA120</f>
        <v>1.526528413681659</v>
      </c>
    </row>
    <row r="121" spans="1:9" s="988" customFormat="1">
      <c r="A121" s="984" t="s">
        <v>223</v>
      </c>
      <c r="B121" s="985" t="s">
        <v>224</v>
      </c>
      <c r="C121" s="985" t="s">
        <v>271</v>
      </c>
      <c r="D121" s="986">
        <v>12560</v>
      </c>
      <c r="E121" s="986">
        <v>13386</v>
      </c>
      <c r="F121" s="986">
        <v>14361</v>
      </c>
      <c r="G121" s="987">
        <v>15004</v>
      </c>
      <c r="I121" s="989">
        <f>G121/'Poverty_All ages'!AA121</f>
        <v>1.4689641668298414</v>
      </c>
    </row>
    <row r="122" spans="1:9" s="988" customFormat="1">
      <c r="A122" s="984" t="s">
        <v>231</v>
      </c>
      <c r="B122" s="985" t="s">
        <v>232</v>
      </c>
      <c r="C122" s="985" t="s">
        <v>271</v>
      </c>
      <c r="D122" s="986">
        <v>36333</v>
      </c>
      <c r="E122" s="986">
        <v>39780</v>
      </c>
      <c r="F122" s="986">
        <v>42202</v>
      </c>
      <c r="G122" s="987">
        <v>44616</v>
      </c>
      <c r="I122" s="989">
        <f>G122/'Poverty_All ages'!AA122</f>
        <v>1.1589173463556548</v>
      </c>
    </row>
    <row r="123" spans="1:9" s="988" customFormat="1">
      <c r="A123" s="984" t="s">
        <v>239</v>
      </c>
      <c r="B123" s="985" t="s">
        <v>240</v>
      </c>
      <c r="C123" s="985" t="s">
        <v>271</v>
      </c>
      <c r="D123" s="986">
        <v>1066</v>
      </c>
      <c r="E123" s="986">
        <v>1207</v>
      </c>
      <c r="F123" s="986">
        <v>1404</v>
      </c>
      <c r="G123" s="987">
        <v>1438</v>
      </c>
      <c r="I123" s="989">
        <f>G123/'Poverty_All ages'!AA123</f>
        <v>0.73292558613659531</v>
      </c>
    </row>
    <row r="124" spans="1:9" s="988" customFormat="1">
      <c r="A124" s="984" t="s">
        <v>241</v>
      </c>
      <c r="B124" s="985" t="s">
        <v>242</v>
      </c>
      <c r="C124" s="985" t="s">
        <v>274</v>
      </c>
      <c r="D124" s="986">
        <v>4515</v>
      </c>
      <c r="E124" s="986">
        <v>5064</v>
      </c>
      <c r="F124" s="986">
        <v>5470</v>
      </c>
      <c r="G124" s="987">
        <v>5600</v>
      </c>
      <c r="I124" s="989">
        <f>G124/'Poverty_All ages'!AA124</f>
        <v>1.2321232123212322</v>
      </c>
    </row>
    <row r="125" spans="1:9" s="988" customFormat="1">
      <c r="A125" s="984"/>
      <c r="B125" s="985"/>
      <c r="C125" s="985"/>
      <c r="D125" s="986"/>
      <c r="E125" s="986"/>
      <c r="F125" s="986"/>
      <c r="G125" s="987"/>
      <c r="I125" s="989"/>
    </row>
    <row r="126" spans="1:9" ht="29.25" customHeight="1">
      <c r="A126" s="824" t="s">
        <v>8</v>
      </c>
      <c r="B126" s="991" t="s">
        <v>1131</v>
      </c>
      <c r="C126" s="983"/>
      <c r="D126" s="813">
        <v>1063947</v>
      </c>
      <c r="E126" s="813">
        <v>1129730</v>
      </c>
      <c r="F126" s="813">
        <v>1188745</v>
      </c>
      <c r="G126" s="992">
        <v>1236747</v>
      </c>
      <c r="I126" s="796"/>
    </row>
    <row r="128" spans="1:9" ht="12.75" customHeight="1">
      <c r="A128" s="1670" t="s">
        <v>1119</v>
      </c>
      <c r="B128" s="1670"/>
      <c r="C128" s="1670"/>
      <c r="D128" s="1670"/>
      <c r="E128" s="1670"/>
      <c r="F128" s="1670"/>
      <c r="G128" s="1670"/>
      <c r="H128" s="1670"/>
    </row>
    <row r="129" spans="1:8">
      <c r="A129" s="1670"/>
      <c r="B129" s="1670"/>
      <c r="C129" s="1670"/>
      <c r="D129" s="1670"/>
      <c r="E129" s="1670"/>
      <c r="F129" s="1670"/>
      <c r="G129" s="1670"/>
      <c r="H129" s="1670"/>
    </row>
    <row r="130" spans="1:8">
      <c r="A130" s="1670"/>
      <c r="B130" s="1670"/>
      <c r="C130" s="1670"/>
      <c r="D130" s="1670"/>
      <c r="E130" s="1670"/>
      <c r="F130" s="1670"/>
      <c r="G130" s="1670"/>
      <c r="H130" s="1670"/>
    </row>
    <row r="131" spans="1:8">
      <c r="A131" s="825"/>
      <c r="B131" s="825"/>
      <c r="C131" s="825"/>
      <c r="D131" s="825"/>
      <c r="E131" s="825"/>
      <c r="F131" s="825"/>
      <c r="G131" s="825"/>
      <c r="H131" s="825"/>
    </row>
    <row r="132" spans="1:8" s="542" customFormat="1">
      <c r="A132" s="542" t="s">
        <v>249</v>
      </c>
    </row>
    <row r="133" spans="1:8" s="542" customFormat="1">
      <c r="A133" s="543" t="s">
        <v>250</v>
      </c>
      <c r="B133" s="544" t="s">
        <v>251</v>
      </c>
      <c r="C133" s="544"/>
    </row>
  </sheetData>
  <autoFilter ref="A3:C3"/>
  <mergeCells count="1">
    <mergeCell ref="A128:H130"/>
  </mergeCells>
  <hyperlinks>
    <hyperlink ref="B133" r:id="rId1"/>
  </hyperlinks>
  <pageMargins left="0.7" right="0.7" top="0.75" bottom="0.75" header="0.3" footer="0.3"/>
</worksheet>
</file>

<file path=xl/worksheets/sheet17.xml><?xml version="1.0" encoding="utf-8"?>
<worksheet xmlns="http://schemas.openxmlformats.org/spreadsheetml/2006/main" xmlns:r="http://schemas.openxmlformats.org/officeDocument/2006/relationships">
  <dimension ref="A1:H131"/>
  <sheetViews>
    <sheetView workbookViewId="0">
      <pane ySplit="4" topLeftCell="A103" activePane="bottomLeft" state="frozen"/>
      <selection pane="bottomLeft" activeCell="K111" sqref="K111"/>
    </sheetView>
  </sheetViews>
  <sheetFormatPr defaultRowHeight="15.75"/>
  <cols>
    <col min="1" max="1" width="9" style="280"/>
    <col min="2" max="2" width="34.375" style="280" customWidth="1"/>
    <col min="3" max="3" width="15" style="280" customWidth="1"/>
    <col min="4" max="7" width="11.125" style="280" customWidth="1"/>
    <col min="8" max="10" width="9" style="280"/>
    <col min="11" max="11" width="9.25" style="280" customWidth="1"/>
    <col min="12" max="16384" width="9" style="280"/>
  </cols>
  <sheetData>
    <row r="1" spans="1:7">
      <c r="A1" s="64" t="s">
        <v>1093</v>
      </c>
    </row>
    <row r="3" spans="1:7">
      <c r="A3" s="64" t="s">
        <v>4</v>
      </c>
      <c r="B3" s="64" t="s">
        <v>5</v>
      </c>
      <c r="C3" s="64" t="s">
        <v>252</v>
      </c>
      <c r="D3" s="64" t="s">
        <v>1094</v>
      </c>
      <c r="E3" s="64" t="s">
        <v>1095</v>
      </c>
      <c r="F3" s="64" t="s">
        <v>1096</v>
      </c>
      <c r="G3" s="64" t="s">
        <v>1092</v>
      </c>
    </row>
    <row r="4" spans="1:7">
      <c r="A4" s="998">
        <v>999</v>
      </c>
      <c r="B4" s="999" t="s">
        <v>9</v>
      </c>
      <c r="C4" s="999"/>
      <c r="D4" s="1000">
        <f>SUM(D5:D124)</f>
        <v>1450079</v>
      </c>
      <c r="E4" s="1000">
        <f>SUM(E5:E124)</f>
        <v>1618217</v>
      </c>
      <c r="F4" s="1000">
        <f>SUM(F5:F124)</f>
        <v>1673023</v>
      </c>
      <c r="G4" s="1000">
        <f>SUM(G5:G124)</f>
        <v>1757061</v>
      </c>
    </row>
    <row r="5" spans="1:7">
      <c r="A5" s="775" t="s">
        <v>10</v>
      </c>
      <c r="B5" s="776" t="s">
        <v>11</v>
      </c>
      <c r="C5" s="844" t="s">
        <v>271</v>
      </c>
      <c r="D5" s="283">
        <v>10921</v>
      </c>
      <c r="E5" s="283">
        <v>11791</v>
      </c>
      <c r="F5" s="283">
        <v>12028</v>
      </c>
      <c r="G5" s="283">
        <v>12582</v>
      </c>
    </row>
    <row r="6" spans="1:7">
      <c r="A6" s="775" t="s">
        <v>12</v>
      </c>
      <c r="B6" s="776" t="s">
        <v>13</v>
      </c>
      <c r="C6" s="844" t="s">
        <v>272</v>
      </c>
      <c r="D6" s="283">
        <v>11108</v>
      </c>
      <c r="E6" s="283">
        <v>12844</v>
      </c>
      <c r="F6" s="283">
        <v>13592</v>
      </c>
      <c r="G6" s="283">
        <v>14286</v>
      </c>
    </row>
    <row r="7" spans="1:7">
      <c r="A7" s="775" t="s">
        <v>16</v>
      </c>
      <c r="B7" s="776" t="s">
        <v>307</v>
      </c>
      <c r="C7" s="844" t="s">
        <v>272</v>
      </c>
      <c r="D7" s="283">
        <v>6605</v>
      </c>
      <c r="E7" s="283">
        <v>6862</v>
      </c>
      <c r="F7" s="283">
        <v>6861</v>
      </c>
      <c r="G7" s="283">
        <v>7171</v>
      </c>
    </row>
    <row r="8" spans="1:7">
      <c r="A8" s="775" t="s">
        <v>18</v>
      </c>
      <c r="B8" s="776" t="s">
        <v>19</v>
      </c>
      <c r="C8" s="844" t="s">
        <v>273</v>
      </c>
      <c r="D8" s="283">
        <v>3159</v>
      </c>
      <c r="E8" s="283">
        <v>3684</v>
      </c>
      <c r="F8" s="283">
        <v>3720</v>
      </c>
      <c r="G8" s="283">
        <v>3897</v>
      </c>
    </row>
    <row r="9" spans="1:7">
      <c r="A9" s="775" t="s">
        <v>20</v>
      </c>
      <c r="B9" s="776" t="s">
        <v>21</v>
      </c>
      <c r="C9" s="844" t="s">
        <v>272</v>
      </c>
      <c r="D9" s="283">
        <v>7136</v>
      </c>
      <c r="E9" s="283">
        <v>8004</v>
      </c>
      <c r="F9" s="283">
        <v>7929</v>
      </c>
      <c r="G9" s="283">
        <v>8032</v>
      </c>
    </row>
    <row r="10" spans="1:7">
      <c r="A10" s="775" t="s">
        <v>22</v>
      </c>
      <c r="B10" s="776" t="s">
        <v>23</v>
      </c>
      <c r="C10" s="844" t="s">
        <v>272</v>
      </c>
      <c r="D10" s="283">
        <v>4008</v>
      </c>
      <c r="E10" s="283">
        <v>4369</v>
      </c>
      <c r="F10" s="283">
        <v>4431</v>
      </c>
      <c r="G10" s="283">
        <v>4715</v>
      </c>
    </row>
    <row r="11" spans="1:7">
      <c r="A11" s="775" t="s">
        <v>24</v>
      </c>
      <c r="B11" s="776" t="s">
        <v>25</v>
      </c>
      <c r="C11" s="844" t="s">
        <v>274</v>
      </c>
      <c r="D11" s="283">
        <v>15703</v>
      </c>
      <c r="E11" s="283">
        <v>17365</v>
      </c>
      <c r="F11" s="283">
        <v>18224</v>
      </c>
      <c r="G11" s="283">
        <v>19377</v>
      </c>
    </row>
    <row r="12" spans="1:7">
      <c r="A12" s="775" t="s">
        <v>26</v>
      </c>
      <c r="B12" s="776" t="s">
        <v>908</v>
      </c>
      <c r="C12" s="844" t="s">
        <v>272</v>
      </c>
      <c r="D12" s="283">
        <v>25129</v>
      </c>
      <c r="E12" s="283">
        <v>28126</v>
      </c>
      <c r="F12" s="283">
        <v>29348</v>
      </c>
      <c r="G12" s="283">
        <v>30899</v>
      </c>
    </row>
    <row r="13" spans="1:7">
      <c r="A13" s="775" t="s">
        <v>27</v>
      </c>
      <c r="B13" s="776" t="s">
        <v>28</v>
      </c>
      <c r="C13" s="849" t="s">
        <v>272</v>
      </c>
      <c r="D13" s="283">
        <v>797</v>
      </c>
      <c r="E13" s="283">
        <v>900</v>
      </c>
      <c r="F13" s="283">
        <v>906</v>
      </c>
      <c r="G13" s="283">
        <v>981</v>
      </c>
    </row>
    <row r="14" spans="1:7">
      <c r="A14" s="775" t="s">
        <v>29</v>
      </c>
      <c r="B14" s="776" t="s">
        <v>309</v>
      </c>
      <c r="C14" s="849" t="s">
        <v>272</v>
      </c>
      <c r="D14" s="283">
        <v>12255</v>
      </c>
      <c r="E14" s="283">
        <v>13791</v>
      </c>
      <c r="F14" s="283">
        <v>14126</v>
      </c>
      <c r="G14" s="283">
        <v>14625</v>
      </c>
    </row>
    <row r="15" spans="1:7">
      <c r="A15" s="775" t="s">
        <v>31</v>
      </c>
      <c r="B15" s="776" t="s">
        <v>32</v>
      </c>
      <c r="C15" s="849" t="s">
        <v>275</v>
      </c>
      <c r="D15" s="283">
        <v>1334</v>
      </c>
      <c r="E15" s="283">
        <v>1404</v>
      </c>
      <c r="F15" s="283">
        <v>1390</v>
      </c>
      <c r="G15" s="283">
        <v>1398</v>
      </c>
    </row>
    <row r="16" spans="1:7">
      <c r="A16" s="775" t="s">
        <v>33</v>
      </c>
      <c r="B16" s="776" t="s">
        <v>34</v>
      </c>
      <c r="C16" s="849" t="s">
        <v>272</v>
      </c>
      <c r="D16" s="283">
        <v>3366</v>
      </c>
      <c r="E16" s="283">
        <v>3850</v>
      </c>
      <c r="F16" s="283">
        <v>3773</v>
      </c>
      <c r="G16" s="283">
        <v>4074</v>
      </c>
    </row>
    <row r="17" spans="1:7">
      <c r="A17" s="775" t="s">
        <v>37</v>
      </c>
      <c r="B17" s="776" t="s">
        <v>38</v>
      </c>
      <c r="C17" s="849" t="s">
        <v>271</v>
      </c>
      <c r="D17" s="283">
        <v>5830</v>
      </c>
      <c r="E17" s="283">
        <v>6185</v>
      </c>
      <c r="F17" s="283">
        <v>6247</v>
      </c>
      <c r="G17" s="283">
        <v>6376</v>
      </c>
    </row>
    <row r="18" spans="1:7">
      <c r="A18" s="775" t="s">
        <v>39</v>
      </c>
      <c r="B18" s="776" t="s">
        <v>40</v>
      </c>
      <c r="C18" s="849" t="s">
        <v>275</v>
      </c>
      <c r="D18" s="283">
        <v>8448</v>
      </c>
      <c r="E18" s="283">
        <v>8688</v>
      </c>
      <c r="F18" s="283">
        <v>8202</v>
      </c>
      <c r="G18" s="283">
        <v>8322</v>
      </c>
    </row>
    <row r="19" spans="1:7">
      <c r="A19" s="775" t="s">
        <v>41</v>
      </c>
      <c r="B19" s="776" t="s">
        <v>42</v>
      </c>
      <c r="C19" s="849" t="s">
        <v>273</v>
      </c>
      <c r="D19" s="283">
        <v>4758</v>
      </c>
      <c r="E19" s="283">
        <v>5325</v>
      </c>
      <c r="F19" s="283">
        <v>5479</v>
      </c>
      <c r="G19" s="283">
        <v>5771</v>
      </c>
    </row>
    <row r="20" spans="1:7">
      <c r="A20" s="775" t="s">
        <v>43</v>
      </c>
      <c r="B20" s="776" t="s">
        <v>44</v>
      </c>
      <c r="C20" s="849" t="s">
        <v>272</v>
      </c>
      <c r="D20" s="283">
        <v>12534</v>
      </c>
      <c r="E20" s="283">
        <v>13951</v>
      </c>
      <c r="F20" s="283">
        <v>14305</v>
      </c>
      <c r="G20" s="283">
        <v>14789</v>
      </c>
    </row>
    <row r="21" spans="1:7">
      <c r="A21" s="775" t="s">
        <v>45</v>
      </c>
      <c r="B21" s="776" t="s">
        <v>46</v>
      </c>
      <c r="C21" s="849" t="s">
        <v>273</v>
      </c>
      <c r="D21" s="283">
        <v>7438</v>
      </c>
      <c r="E21" s="283">
        <v>8289</v>
      </c>
      <c r="F21" s="283">
        <v>8310</v>
      </c>
      <c r="G21" s="283">
        <v>8749</v>
      </c>
    </row>
    <row r="22" spans="1:7">
      <c r="A22" s="775" t="s">
        <v>47</v>
      </c>
      <c r="B22" s="776" t="s">
        <v>48</v>
      </c>
      <c r="C22" s="849" t="s">
        <v>275</v>
      </c>
      <c r="D22" s="283">
        <v>9131</v>
      </c>
      <c r="E22" s="283">
        <v>9801</v>
      </c>
      <c r="F22" s="283">
        <v>9897</v>
      </c>
      <c r="G22" s="283">
        <v>10208</v>
      </c>
    </row>
    <row r="23" spans="1:7">
      <c r="A23" s="775" t="s">
        <v>49</v>
      </c>
      <c r="B23" s="776" t="s">
        <v>276</v>
      </c>
      <c r="C23" s="849" t="s">
        <v>273</v>
      </c>
      <c r="D23" s="283">
        <v>1652</v>
      </c>
      <c r="E23" s="283">
        <v>1786</v>
      </c>
      <c r="F23" s="283">
        <v>1818</v>
      </c>
      <c r="G23" s="283">
        <v>1909</v>
      </c>
    </row>
    <row r="24" spans="1:7">
      <c r="A24" s="775" t="s">
        <v>51</v>
      </c>
      <c r="B24" s="776" t="s">
        <v>52</v>
      </c>
      <c r="C24" s="849" t="s">
        <v>272</v>
      </c>
      <c r="D24" s="283">
        <v>4259</v>
      </c>
      <c r="E24" s="283">
        <v>4498</v>
      </c>
      <c r="F24" s="283">
        <v>4480</v>
      </c>
      <c r="G24" s="283">
        <v>4616</v>
      </c>
    </row>
    <row r="25" spans="1:7">
      <c r="A25" s="775" t="s">
        <v>57</v>
      </c>
      <c r="B25" s="776" t="s">
        <v>305</v>
      </c>
      <c r="C25" s="849" t="s">
        <v>273</v>
      </c>
      <c r="D25" s="283">
        <v>49337</v>
      </c>
      <c r="E25" s="283">
        <v>57732</v>
      </c>
      <c r="F25" s="283">
        <v>60801</v>
      </c>
      <c r="G25" s="283">
        <v>64514</v>
      </c>
    </row>
    <row r="26" spans="1:7">
      <c r="A26" s="775" t="s">
        <v>59</v>
      </c>
      <c r="B26" s="776" t="s">
        <v>60</v>
      </c>
      <c r="C26" s="849" t="s">
        <v>274</v>
      </c>
      <c r="D26" s="283">
        <v>1657</v>
      </c>
      <c r="E26" s="283">
        <v>1790</v>
      </c>
      <c r="F26" s="283">
        <v>1792</v>
      </c>
      <c r="G26" s="283">
        <v>1819</v>
      </c>
    </row>
    <row r="27" spans="1:7">
      <c r="A27" s="775" t="s">
        <v>61</v>
      </c>
      <c r="B27" s="776" t="s">
        <v>62</v>
      </c>
      <c r="C27" s="849" t="s">
        <v>272</v>
      </c>
      <c r="D27" s="283">
        <v>1015</v>
      </c>
      <c r="E27" s="283">
        <v>1178</v>
      </c>
      <c r="F27" s="283">
        <v>1199</v>
      </c>
      <c r="G27" s="283">
        <v>1280</v>
      </c>
    </row>
    <row r="28" spans="1:7">
      <c r="A28" s="775" t="s">
        <v>63</v>
      </c>
      <c r="B28" s="776" t="s">
        <v>64</v>
      </c>
      <c r="C28" s="849" t="s">
        <v>274</v>
      </c>
      <c r="D28" s="283">
        <v>9223</v>
      </c>
      <c r="E28" s="283">
        <v>10564</v>
      </c>
      <c r="F28" s="283">
        <v>10909</v>
      </c>
      <c r="G28" s="283">
        <v>11416</v>
      </c>
    </row>
    <row r="29" spans="1:7">
      <c r="A29" s="775" t="s">
        <v>65</v>
      </c>
      <c r="B29" s="776" t="s">
        <v>66</v>
      </c>
      <c r="C29" s="849" t="s">
        <v>273</v>
      </c>
      <c r="D29" s="283">
        <v>3340</v>
      </c>
      <c r="E29" s="283">
        <v>3624</v>
      </c>
      <c r="F29" s="283">
        <v>3695</v>
      </c>
      <c r="G29" s="283">
        <v>3868</v>
      </c>
    </row>
    <row r="30" spans="1:7">
      <c r="A30" s="775" t="s">
        <v>69</v>
      </c>
      <c r="B30" s="776" t="s">
        <v>70</v>
      </c>
      <c r="C30" s="849" t="s">
        <v>275</v>
      </c>
      <c r="D30" s="283">
        <v>6208</v>
      </c>
      <c r="E30" s="283">
        <v>6392</v>
      </c>
      <c r="F30" s="283">
        <v>6230</v>
      </c>
      <c r="G30" s="283">
        <v>6324</v>
      </c>
    </row>
    <row r="31" spans="1:7">
      <c r="A31" s="775" t="s">
        <v>71</v>
      </c>
      <c r="B31" s="776" t="s">
        <v>72</v>
      </c>
      <c r="C31" s="849" t="s">
        <v>271</v>
      </c>
      <c r="D31" s="283">
        <v>7076</v>
      </c>
      <c r="E31" s="283">
        <v>7839</v>
      </c>
      <c r="F31" s="283">
        <v>7956</v>
      </c>
      <c r="G31" s="283">
        <v>8364</v>
      </c>
    </row>
    <row r="32" spans="1:7">
      <c r="A32" s="775" t="s">
        <v>73</v>
      </c>
      <c r="B32" s="776" t="s">
        <v>74</v>
      </c>
      <c r="C32" s="849" t="s">
        <v>273</v>
      </c>
      <c r="D32" s="283">
        <v>3458</v>
      </c>
      <c r="E32" s="283">
        <v>3707</v>
      </c>
      <c r="F32" s="283">
        <v>3856</v>
      </c>
      <c r="G32" s="283">
        <v>4185</v>
      </c>
    </row>
    <row r="33" spans="1:7">
      <c r="A33" s="775" t="s">
        <v>75</v>
      </c>
      <c r="B33" s="776" t="s">
        <v>306</v>
      </c>
      <c r="C33" s="849" t="s">
        <v>274</v>
      </c>
      <c r="D33" s="283">
        <v>95151</v>
      </c>
      <c r="E33" s="283">
        <v>111490</v>
      </c>
      <c r="F33" s="283">
        <v>121522</v>
      </c>
      <c r="G33" s="283">
        <v>126600</v>
      </c>
    </row>
    <row r="34" spans="1:7">
      <c r="A34" s="775" t="s">
        <v>77</v>
      </c>
      <c r="B34" s="776" t="s">
        <v>78</v>
      </c>
      <c r="C34" s="849" t="s">
        <v>274</v>
      </c>
      <c r="D34" s="283">
        <v>8032</v>
      </c>
      <c r="E34" s="283">
        <v>9234</v>
      </c>
      <c r="F34" s="283">
        <v>9095</v>
      </c>
      <c r="G34" s="283">
        <v>9621</v>
      </c>
    </row>
    <row r="35" spans="1:7">
      <c r="A35" s="775" t="s">
        <v>79</v>
      </c>
      <c r="B35" s="776" t="s">
        <v>80</v>
      </c>
      <c r="C35" s="849" t="s">
        <v>275</v>
      </c>
      <c r="D35" s="283">
        <v>3272</v>
      </c>
      <c r="E35" s="283">
        <v>3672</v>
      </c>
      <c r="F35" s="283">
        <v>3841</v>
      </c>
      <c r="G35" s="283">
        <v>4053</v>
      </c>
    </row>
    <row r="36" spans="1:7">
      <c r="A36" s="775" t="s">
        <v>81</v>
      </c>
      <c r="B36" s="776" t="s">
        <v>82</v>
      </c>
      <c r="C36" s="849" t="s">
        <v>273</v>
      </c>
      <c r="D36" s="283">
        <v>3064</v>
      </c>
      <c r="E36" s="283">
        <v>3437</v>
      </c>
      <c r="F36" s="283">
        <v>3645</v>
      </c>
      <c r="G36" s="283">
        <v>4000</v>
      </c>
    </row>
    <row r="37" spans="1:7">
      <c r="A37" s="775" t="s">
        <v>85</v>
      </c>
      <c r="B37" s="776" t="s">
        <v>86</v>
      </c>
      <c r="C37" s="849" t="s">
        <v>272</v>
      </c>
      <c r="D37" s="283">
        <v>13046</v>
      </c>
      <c r="E37" s="283">
        <v>14200</v>
      </c>
      <c r="F37" s="283">
        <v>14336</v>
      </c>
      <c r="G37" s="283">
        <v>14865</v>
      </c>
    </row>
    <row r="38" spans="1:7">
      <c r="A38" s="775" t="s">
        <v>87</v>
      </c>
      <c r="B38" s="776" t="s">
        <v>88</v>
      </c>
      <c r="C38" s="849" t="s">
        <v>274</v>
      </c>
      <c r="D38" s="283">
        <v>11669</v>
      </c>
      <c r="E38" s="283">
        <v>13701</v>
      </c>
      <c r="F38" s="283">
        <v>14565</v>
      </c>
      <c r="G38" s="283">
        <v>15428</v>
      </c>
    </row>
    <row r="39" spans="1:7">
      <c r="A39" s="775" t="s">
        <v>93</v>
      </c>
      <c r="B39" s="776" t="s">
        <v>94</v>
      </c>
      <c r="C39" s="849" t="s">
        <v>275</v>
      </c>
      <c r="D39" s="283">
        <v>4416</v>
      </c>
      <c r="E39" s="283">
        <v>4847</v>
      </c>
      <c r="F39" s="283">
        <v>4896</v>
      </c>
      <c r="G39" s="283">
        <v>4818</v>
      </c>
    </row>
    <row r="40" spans="1:7">
      <c r="A40" s="775" t="s">
        <v>95</v>
      </c>
      <c r="B40" s="776" t="s">
        <v>96</v>
      </c>
      <c r="C40" s="849" t="s">
        <v>271</v>
      </c>
      <c r="D40" s="283">
        <v>6376</v>
      </c>
      <c r="E40" s="283">
        <v>7512</v>
      </c>
      <c r="F40" s="283">
        <v>7665</v>
      </c>
      <c r="G40" s="283">
        <v>8159</v>
      </c>
    </row>
    <row r="41" spans="1:7">
      <c r="A41" s="775" t="s">
        <v>97</v>
      </c>
      <c r="B41" s="776" t="s">
        <v>98</v>
      </c>
      <c r="C41" s="849" t="s">
        <v>273</v>
      </c>
      <c r="D41" s="283">
        <v>2224</v>
      </c>
      <c r="E41" s="283">
        <v>2506</v>
      </c>
      <c r="F41" s="283">
        <v>2675</v>
      </c>
      <c r="G41" s="283">
        <v>2659</v>
      </c>
    </row>
    <row r="42" spans="1:7">
      <c r="A42" s="775" t="s">
        <v>99</v>
      </c>
      <c r="B42" s="776" t="s">
        <v>100</v>
      </c>
      <c r="C42" s="849" t="s">
        <v>275</v>
      </c>
      <c r="D42" s="283">
        <v>5085</v>
      </c>
      <c r="E42" s="283">
        <v>5326</v>
      </c>
      <c r="F42" s="283">
        <v>5332</v>
      </c>
      <c r="G42" s="283">
        <v>5455</v>
      </c>
    </row>
    <row r="43" spans="1:7">
      <c r="A43" s="775" t="s">
        <v>101</v>
      </c>
      <c r="B43" s="776" t="s">
        <v>102</v>
      </c>
      <c r="C43" s="849" t="s">
        <v>274</v>
      </c>
      <c r="D43" s="283">
        <v>3335</v>
      </c>
      <c r="E43" s="283">
        <v>3824</v>
      </c>
      <c r="F43" s="283">
        <v>3916</v>
      </c>
      <c r="G43" s="283">
        <v>4127</v>
      </c>
    </row>
    <row r="44" spans="1:7">
      <c r="A44" s="775" t="s">
        <v>103</v>
      </c>
      <c r="B44" s="776" t="s">
        <v>290</v>
      </c>
      <c r="C44" s="849" t="s">
        <v>271</v>
      </c>
      <c r="D44" s="283">
        <v>6366</v>
      </c>
      <c r="E44" s="283">
        <v>6776</v>
      </c>
      <c r="F44" s="283">
        <v>6967</v>
      </c>
      <c r="G44" s="283">
        <v>7152</v>
      </c>
    </row>
    <row r="45" spans="1:7">
      <c r="A45" s="775" t="s">
        <v>105</v>
      </c>
      <c r="B45" s="776" t="s">
        <v>106</v>
      </c>
      <c r="C45" s="849" t="s">
        <v>272</v>
      </c>
      <c r="D45" s="283">
        <v>11579</v>
      </c>
      <c r="E45" s="283">
        <v>12373</v>
      </c>
      <c r="F45" s="283">
        <v>12358</v>
      </c>
      <c r="G45" s="283">
        <v>12616</v>
      </c>
    </row>
    <row r="46" spans="1:7">
      <c r="A46" s="775" t="s">
        <v>109</v>
      </c>
      <c r="B46" s="776" t="s">
        <v>110</v>
      </c>
      <c r="C46" s="849" t="s">
        <v>273</v>
      </c>
      <c r="D46" s="283">
        <v>9302</v>
      </c>
      <c r="E46" s="283">
        <v>10866</v>
      </c>
      <c r="F46" s="283">
        <v>11464</v>
      </c>
      <c r="G46" s="283">
        <v>12101</v>
      </c>
    </row>
    <row r="47" spans="1:7">
      <c r="A47" s="775" t="s">
        <v>111</v>
      </c>
      <c r="B47" s="776" t="s">
        <v>112</v>
      </c>
      <c r="C47" s="849" t="s">
        <v>273</v>
      </c>
      <c r="D47" s="283">
        <v>48179</v>
      </c>
      <c r="E47" s="283">
        <v>56988</v>
      </c>
      <c r="F47" s="283">
        <v>60083</v>
      </c>
      <c r="G47" s="283">
        <v>64214</v>
      </c>
    </row>
    <row r="48" spans="1:7">
      <c r="A48" s="775" t="s">
        <v>113</v>
      </c>
      <c r="B48" s="776" t="s">
        <v>310</v>
      </c>
      <c r="C48" s="849" t="s">
        <v>272</v>
      </c>
      <c r="D48" s="283">
        <v>25697</v>
      </c>
      <c r="E48" s="283">
        <v>27611</v>
      </c>
      <c r="F48" s="283">
        <v>27780</v>
      </c>
      <c r="G48" s="283">
        <v>29131</v>
      </c>
    </row>
    <row r="49" spans="1:7">
      <c r="A49" s="775" t="s">
        <v>115</v>
      </c>
      <c r="B49" s="776" t="s">
        <v>116</v>
      </c>
      <c r="C49" s="849" t="s">
        <v>272</v>
      </c>
      <c r="D49" s="283">
        <v>391</v>
      </c>
      <c r="E49" s="283">
        <v>380</v>
      </c>
      <c r="F49" s="283">
        <v>402</v>
      </c>
      <c r="G49" s="283">
        <v>421</v>
      </c>
    </row>
    <row r="50" spans="1:7">
      <c r="A50" s="775" t="s">
        <v>119</v>
      </c>
      <c r="B50" s="776" t="s">
        <v>277</v>
      </c>
      <c r="C50" s="849" t="s">
        <v>271</v>
      </c>
      <c r="D50" s="283">
        <v>6411</v>
      </c>
      <c r="E50" s="283">
        <v>7081</v>
      </c>
      <c r="F50" s="283">
        <v>7249</v>
      </c>
      <c r="G50" s="283">
        <v>7544</v>
      </c>
    </row>
    <row r="51" spans="1:7">
      <c r="A51" s="775" t="s">
        <v>121</v>
      </c>
      <c r="B51" s="776" t="s">
        <v>122</v>
      </c>
      <c r="C51" s="849" t="s">
        <v>271</v>
      </c>
      <c r="D51" s="283">
        <v>7610</v>
      </c>
      <c r="E51" s="283">
        <v>8517</v>
      </c>
      <c r="F51" s="283">
        <v>8849</v>
      </c>
      <c r="G51" s="283">
        <v>9512</v>
      </c>
    </row>
    <row r="52" spans="1:7">
      <c r="A52" s="775" t="s">
        <v>123</v>
      </c>
      <c r="B52" s="776" t="s">
        <v>296</v>
      </c>
      <c r="C52" s="849" t="s">
        <v>273</v>
      </c>
      <c r="D52" s="283">
        <v>1911</v>
      </c>
      <c r="E52" s="283">
        <v>2108</v>
      </c>
      <c r="F52" s="283">
        <v>2144</v>
      </c>
      <c r="G52" s="283">
        <v>2185</v>
      </c>
    </row>
    <row r="53" spans="1:7">
      <c r="A53" s="775" t="s">
        <v>125</v>
      </c>
      <c r="B53" s="776" t="s">
        <v>126</v>
      </c>
      <c r="C53" s="849" t="s">
        <v>274</v>
      </c>
      <c r="D53" s="283">
        <v>3865</v>
      </c>
      <c r="E53" s="283">
        <v>4333</v>
      </c>
      <c r="F53" s="283">
        <v>4714</v>
      </c>
      <c r="G53" s="283">
        <v>5207</v>
      </c>
    </row>
    <row r="54" spans="1:7">
      <c r="A54" s="775" t="s">
        <v>127</v>
      </c>
      <c r="B54" s="776" t="s">
        <v>128</v>
      </c>
      <c r="C54" s="849" t="s">
        <v>273</v>
      </c>
      <c r="D54" s="283">
        <v>2674</v>
      </c>
      <c r="E54" s="283">
        <v>3165</v>
      </c>
      <c r="F54" s="283">
        <v>3364</v>
      </c>
      <c r="G54" s="283">
        <v>3652</v>
      </c>
    </row>
    <row r="55" spans="1:7">
      <c r="A55" s="775" t="s">
        <v>129</v>
      </c>
      <c r="B55" s="776" t="s">
        <v>130</v>
      </c>
      <c r="C55" s="849" t="s">
        <v>273</v>
      </c>
      <c r="D55" s="283">
        <v>2668</v>
      </c>
      <c r="E55" s="283">
        <v>2924</v>
      </c>
      <c r="F55" s="283">
        <v>2958</v>
      </c>
      <c r="G55" s="283">
        <v>3103</v>
      </c>
    </row>
    <row r="56" spans="1:7">
      <c r="A56" s="775" t="s">
        <v>131</v>
      </c>
      <c r="B56" s="776" t="s">
        <v>132</v>
      </c>
      <c r="C56" s="849" t="s">
        <v>275</v>
      </c>
      <c r="D56" s="283">
        <v>10165</v>
      </c>
      <c r="E56" s="283">
        <v>10541</v>
      </c>
      <c r="F56" s="283">
        <v>10282</v>
      </c>
      <c r="G56" s="283">
        <v>10531</v>
      </c>
    </row>
    <row r="57" spans="1:7">
      <c r="A57" s="775" t="s">
        <v>133</v>
      </c>
      <c r="B57" s="776" t="s">
        <v>134</v>
      </c>
      <c r="C57" s="849" t="s">
        <v>274</v>
      </c>
      <c r="D57" s="283">
        <v>17681</v>
      </c>
      <c r="E57" s="283">
        <v>21300</v>
      </c>
      <c r="F57" s="283">
        <v>23282</v>
      </c>
      <c r="G57" s="283">
        <v>25258</v>
      </c>
    </row>
    <row r="58" spans="1:7">
      <c r="A58" s="775" t="s">
        <v>135</v>
      </c>
      <c r="B58" s="776" t="s">
        <v>136</v>
      </c>
      <c r="C58" s="849" t="s">
        <v>274</v>
      </c>
      <c r="D58" s="283">
        <v>6569</v>
      </c>
      <c r="E58" s="283">
        <v>7599</v>
      </c>
      <c r="F58" s="283">
        <v>8069</v>
      </c>
      <c r="G58" s="283">
        <v>8392</v>
      </c>
    </row>
    <row r="59" spans="1:7">
      <c r="A59" s="775" t="s">
        <v>137</v>
      </c>
      <c r="B59" s="776" t="s">
        <v>138</v>
      </c>
      <c r="C59" s="849" t="s">
        <v>273</v>
      </c>
      <c r="D59" s="283">
        <v>4156</v>
      </c>
      <c r="E59" s="283">
        <v>4417</v>
      </c>
      <c r="F59" s="283">
        <v>4515</v>
      </c>
      <c r="G59" s="283">
        <v>4577</v>
      </c>
    </row>
    <row r="60" spans="1:7">
      <c r="A60" s="775" t="s">
        <v>141</v>
      </c>
      <c r="B60" s="776" t="s">
        <v>142</v>
      </c>
      <c r="C60" s="849" t="s">
        <v>274</v>
      </c>
      <c r="D60" s="283">
        <v>2393</v>
      </c>
      <c r="E60" s="283">
        <v>2824</v>
      </c>
      <c r="F60" s="283">
        <v>2919</v>
      </c>
      <c r="G60" s="283">
        <v>3125</v>
      </c>
    </row>
    <row r="61" spans="1:7">
      <c r="A61" s="775" t="s">
        <v>147</v>
      </c>
      <c r="B61" s="776" t="s">
        <v>148</v>
      </c>
      <c r="C61" s="849" t="s">
        <v>271</v>
      </c>
      <c r="D61" s="283">
        <v>1564</v>
      </c>
      <c r="E61" s="283">
        <v>1824</v>
      </c>
      <c r="F61" s="283">
        <v>1840</v>
      </c>
      <c r="G61" s="283">
        <v>1891</v>
      </c>
    </row>
    <row r="62" spans="1:7">
      <c r="A62" s="775" t="s">
        <v>149</v>
      </c>
      <c r="B62" s="776" t="s">
        <v>150</v>
      </c>
      <c r="C62" s="849" t="s">
        <v>272</v>
      </c>
      <c r="D62" s="283">
        <v>8951</v>
      </c>
      <c r="E62" s="283">
        <v>9831</v>
      </c>
      <c r="F62" s="283">
        <v>9814</v>
      </c>
      <c r="G62" s="283">
        <v>10222</v>
      </c>
    </row>
    <row r="63" spans="1:7">
      <c r="A63" s="775" t="s">
        <v>151</v>
      </c>
      <c r="B63" s="776" t="s">
        <v>152</v>
      </c>
      <c r="C63" s="849" t="s">
        <v>273</v>
      </c>
      <c r="D63" s="283">
        <v>2249</v>
      </c>
      <c r="E63" s="283">
        <v>2531</v>
      </c>
      <c r="F63" s="283">
        <v>2618</v>
      </c>
      <c r="G63" s="283">
        <v>2905</v>
      </c>
    </row>
    <row r="64" spans="1:7">
      <c r="A64" s="775" t="s">
        <v>153</v>
      </c>
      <c r="B64" s="776" t="s">
        <v>154</v>
      </c>
      <c r="C64" s="849" t="s">
        <v>275</v>
      </c>
      <c r="D64" s="283">
        <v>13107</v>
      </c>
      <c r="E64" s="283">
        <v>14169</v>
      </c>
      <c r="F64" s="283">
        <v>14256</v>
      </c>
      <c r="G64" s="283">
        <v>14784</v>
      </c>
    </row>
    <row r="65" spans="1:7">
      <c r="A65" s="775" t="s">
        <v>155</v>
      </c>
      <c r="B65" s="776" t="s">
        <v>156</v>
      </c>
      <c r="C65" s="849" t="s">
        <v>272</v>
      </c>
      <c r="D65" s="283">
        <v>3706</v>
      </c>
      <c r="E65" s="283">
        <v>4073</v>
      </c>
      <c r="F65" s="283">
        <v>4131</v>
      </c>
      <c r="G65" s="283">
        <v>4307</v>
      </c>
    </row>
    <row r="66" spans="1:7">
      <c r="A66" s="775" t="s">
        <v>157</v>
      </c>
      <c r="B66" s="776" t="s">
        <v>158</v>
      </c>
      <c r="C66" s="849" t="s">
        <v>273</v>
      </c>
      <c r="D66" s="283">
        <v>1819</v>
      </c>
      <c r="E66" s="283">
        <v>2211</v>
      </c>
      <c r="F66" s="283">
        <v>2368</v>
      </c>
      <c r="G66" s="283">
        <v>2615</v>
      </c>
    </row>
    <row r="67" spans="1:7">
      <c r="A67" s="775" t="s">
        <v>163</v>
      </c>
      <c r="B67" s="776" t="s">
        <v>164</v>
      </c>
      <c r="C67" s="849" t="s">
        <v>271</v>
      </c>
      <c r="D67" s="283">
        <v>4815</v>
      </c>
      <c r="E67" s="283">
        <v>4971</v>
      </c>
      <c r="F67" s="283">
        <v>5096</v>
      </c>
      <c r="G67" s="283">
        <v>5200</v>
      </c>
    </row>
    <row r="68" spans="1:7">
      <c r="A68" s="775" t="s">
        <v>165</v>
      </c>
      <c r="B68" s="776" t="s">
        <v>166</v>
      </c>
      <c r="C68" s="849" t="s">
        <v>273</v>
      </c>
      <c r="D68" s="283">
        <v>2511</v>
      </c>
      <c r="E68" s="283">
        <v>2820</v>
      </c>
      <c r="F68" s="283">
        <v>2911</v>
      </c>
      <c r="G68" s="283">
        <v>3052</v>
      </c>
    </row>
    <row r="69" spans="1:7">
      <c r="A69" s="775" t="s">
        <v>169</v>
      </c>
      <c r="B69" s="776" t="s">
        <v>170</v>
      </c>
      <c r="C69" s="849" t="s">
        <v>273</v>
      </c>
      <c r="D69" s="283">
        <v>5090</v>
      </c>
      <c r="E69" s="283">
        <v>5479</v>
      </c>
      <c r="F69" s="283">
        <v>5642</v>
      </c>
      <c r="G69" s="283">
        <v>5941</v>
      </c>
    </row>
    <row r="70" spans="1:7">
      <c r="A70" s="775" t="s">
        <v>171</v>
      </c>
      <c r="B70" s="776" t="s">
        <v>172</v>
      </c>
      <c r="C70" s="849" t="s">
        <v>274</v>
      </c>
      <c r="D70" s="283">
        <v>5918</v>
      </c>
      <c r="E70" s="283">
        <v>6597</v>
      </c>
      <c r="F70" s="283">
        <v>6861</v>
      </c>
      <c r="G70" s="283">
        <v>7218</v>
      </c>
    </row>
    <row r="71" spans="1:7">
      <c r="A71" s="775" t="s">
        <v>173</v>
      </c>
      <c r="B71" s="776" t="s">
        <v>174</v>
      </c>
      <c r="C71" s="849" t="s">
        <v>274</v>
      </c>
      <c r="D71" s="283">
        <v>6318</v>
      </c>
      <c r="E71" s="283">
        <v>6980</v>
      </c>
      <c r="F71" s="283">
        <v>6931</v>
      </c>
      <c r="G71" s="283">
        <v>7271</v>
      </c>
    </row>
    <row r="72" spans="1:7">
      <c r="A72" s="775" t="s">
        <v>175</v>
      </c>
      <c r="B72" s="776" t="s">
        <v>176</v>
      </c>
      <c r="C72" s="849" t="s">
        <v>275</v>
      </c>
      <c r="D72" s="283">
        <v>6038</v>
      </c>
      <c r="E72" s="283">
        <v>6332</v>
      </c>
      <c r="F72" s="283">
        <v>6278</v>
      </c>
      <c r="G72" s="283">
        <v>6448</v>
      </c>
    </row>
    <row r="73" spans="1:7">
      <c r="A73" s="775" t="s">
        <v>179</v>
      </c>
      <c r="B73" s="776" t="s">
        <v>180</v>
      </c>
      <c r="C73" s="849" t="s">
        <v>272</v>
      </c>
      <c r="D73" s="283">
        <v>17005</v>
      </c>
      <c r="E73" s="283">
        <v>18287</v>
      </c>
      <c r="F73" s="283">
        <v>18512</v>
      </c>
      <c r="G73" s="283">
        <v>18843</v>
      </c>
    </row>
    <row r="74" spans="1:7">
      <c r="A74" s="775" t="s">
        <v>183</v>
      </c>
      <c r="B74" s="776" t="s">
        <v>184</v>
      </c>
      <c r="C74" s="849" t="s">
        <v>273</v>
      </c>
      <c r="D74" s="283">
        <v>2354</v>
      </c>
      <c r="E74" s="283">
        <v>2814</v>
      </c>
      <c r="F74" s="283">
        <v>3001</v>
      </c>
      <c r="G74" s="283">
        <v>3257</v>
      </c>
    </row>
    <row r="75" spans="1:7">
      <c r="A75" s="775" t="s">
        <v>185</v>
      </c>
      <c r="B75" s="776" t="s">
        <v>186</v>
      </c>
      <c r="C75" s="849" t="s">
        <v>273</v>
      </c>
      <c r="D75" s="283">
        <v>5837</v>
      </c>
      <c r="E75" s="283">
        <v>6287</v>
      </c>
      <c r="F75" s="283">
        <v>6425</v>
      </c>
      <c r="G75" s="283">
        <v>6669</v>
      </c>
    </row>
    <row r="76" spans="1:7">
      <c r="A76" s="775" t="s">
        <v>187</v>
      </c>
      <c r="B76" s="776" t="s">
        <v>188</v>
      </c>
      <c r="C76" s="849" t="s">
        <v>271</v>
      </c>
      <c r="D76" s="283">
        <v>4490</v>
      </c>
      <c r="E76" s="283">
        <v>5075</v>
      </c>
      <c r="F76" s="283">
        <v>5291</v>
      </c>
      <c r="G76" s="283">
        <v>5655</v>
      </c>
    </row>
    <row r="77" spans="1:7">
      <c r="A77" s="775" t="s">
        <v>189</v>
      </c>
      <c r="B77" s="776" t="s">
        <v>190</v>
      </c>
      <c r="C77" s="849" t="s">
        <v>274</v>
      </c>
      <c r="D77" s="283">
        <v>53468</v>
      </c>
      <c r="E77" s="283">
        <v>61488</v>
      </c>
      <c r="F77" s="283">
        <v>65717</v>
      </c>
      <c r="G77" s="283">
        <v>70810</v>
      </c>
    </row>
    <row r="78" spans="1:7">
      <c r="A78" s="775" t="s">
        <v>191</v>
      </c>
      <c r="B78" s="776" t="s">
        <v>192</v>
      </c>
      <c r="C78" s="849" t="s">
        <v>275</v>
      </c>
      <c r="D78" s="283">
        <v>9574</v>
      </c>
      <c r="E78" s="283">
        <v>10508</v>
      </c>
      <c r="F78" s="283">
        <v>10580</v>
      </c>
      <c r="G78" s="283">
        <v>10682</v>
      </c>
    </row>
    <row r="79" spans="1:7">
      <c r="A79" s="775" t="s">
        <v>195</v>
      </c>
      <c r="B79" s="776" t="s">
        <v>196</v>
      </c>
      <c r="C79" s="849" t="s">
        <v>274</v>
      </c>
      <c r="D79" s="283">
        <v>993</v>
      </c>
      <c r="E79" s="283">
        <v>1116</v>
      </c>
      <c r="F79" s="283">
        <v>1202</v>
      </c>
      <c r="G79" s="283">
        <v>1333</v>
      </c>
    </row>
    <row r="80" spans="1:7">
      <c r="A80" s="775" t="s">
        <v>199</v>
      </c>
      <c r="B80" s="776" t="s">
        <v>279</v>
      </c>
      <c r="C80" s="849" t="s">
        <v>273</v>
      </c>
      <c r="D80" s="283">
        <v>2295</v>
      </c>
      <c r="E80" s="283">
        <v>2534</v>
      </c>
      <c r="F80" s="283">
        <v>2634</v>
      </c>
      <c r="G80" s="283">
        <v>2691</v>
      </c>
    </row>
    <row r="81" spans="1:7">
      <c r="A81" s="775" t="s">
        <v>203</v>
      </c>
      <c r="B81" s="776" t="s">
        <v>311</v>
      </c>
      <c r="C81" s="849" t="s">
        <v>272</v>
      </c>
      <c r="D81" s="283">
        <v>14701</v>
      </c>
      <c r="E81" s="283">
        <v>16815</v>
      </c>
      <c r="F81" s="283">
        <v>17537</v>
      </c>
      <c r="G81" s="283">
        <v>18320</v>
      </c>
    </row>
    <row r="82" spans="1:7">
      <c r="A82" s="775" t="s">
        <v>205</v>
      </c>
      <c r="B82" s="776" t="s">
        <v>303</v>
      </c>
      <c r="C82" s="849" t="s">
        <v>272</v>
      </c>
      <c r="D82" s="283">
        <v>6968</v>
      </c>
      <c r="E82" s="283">
        <v>7611</v>
      </c>
      <c r="F82" s="283">
        <v>7825</v>
      </c>
      <c r="G82" s="283">
        <v>8183</v>
      </c>
    </row>
    <row r="83" spans="1:7">
      <c r="A83" s="775" t="s">
        <v>207</v>
      </c>
      <c r="B83" s="776" t="s">
        <v>304</v>
      </c>
      <c r="C83" s="849" t="s">
        <v>274</v>
      </c>
      <c r="D83" s="283">
        <v>21110</v>
      </c>
      <c r="E83" s="283">
        <v>23891</v>
      </c>
      <c r="F83" s="283">
        <v>24807</v>
      </c>
      <c r="G83" s="283">
        <v>25842</v>
      </c>
    </row>
    <row r="84" spans="1:7">
      <c r="A84" s="775" t="s">
        <v>209</v>
      </c>
      <c r="B84" s="776" t="s">
        <v>210</v>
      </c>
      <c r="C84" s="849" t="s">
        <v>275</v>
      </c>
      <c r="D84" s="283">
        <v>10024</v>
      </c>
      <c r="E84" s="283">
        <v>10572</v>
      </c>
      <c r="F84" s="283">
        <v>10263</v>
      </c>
      <c r="G84" s="283">
        <v>10306</v>
      </c>
    </row>
    <row r="85" spans="1:7">
      <c r="A85" s="775" t="s">
        <v>211</v>
      </c>
      <c r="B85" s="776" t="s">
        <v>212</v>
      </c>
      <c r="C85" s="849" t="s">
        <v>275</v>
      </c>
      <c r="D85" s="283">
        <v>6876</v>
      </c>
      <c r="E85" s="283">
        <v>7364</v>
      </c>
      <c r="F85" s="283">
        <v>7328</v>
      </c>
      <c r="G85" s="283">
        <v>7587</v>
      </c>
    </row>
    <row r="86" spans="1:7">
      <c r="A86" s="775" t="s">
        <v>213</v>
      </c>
      <c r="B86" s="776" t="s">
        <v>214</v>
      </c>
      <c r="C86" s="849" t="s">
        <v>274</v>
      </c>
      <c r="D86" s="283">
        <v>8479</v>
      </c>
      <c r="E86" s="283">
        <v>9675</v>
      </c>
      <c r="F86" s="283">
        <v>9724</v>
      </c>
      <c r="G86" s="283">
        <v>10466</v>
      </c>
    </row>
    <row r="87" spans="1:7">
      <c r="A87" s="775" t="s">
        <v>215</v>
      </c>
      <c r="B87" s="776" t="s">
        <v>216</v>
      </c>
      <c r="C87" s="849" t="s">
        <v>275</v>
      </c>
      <c r="D87" s="283">
        <v>10582</v>
      </c>
      <c r="E87" s="283">
        <v>11232</v>
      </c>
      <c r="F87" s="283">
        <v>11294</v>
      </c>
      <c r="G87" s="283">
        <v>11524</v>
      </c>
    </row>
    <row r="88" spans="1:7">
      <c r="A88" s="775" t="s">
        <v>217</v>
      </c>
      <c r="B88" s="776" t="s">
        <v>218</v>
      </c>
      <c r="C88" s="849" t="s">
        <v>271</v>
      </c>
      <c r="D88" s="283">
        <v>4966</v>
      </c>
      <c r="E88" s="283">
        <v>5183</v>
      </c>
      <c r="F88" s="283">
        <v>5134</v>
      </c>
      <c r="G88" s="283">
        <v>5428</v>
      </c>
    </row>
    <row r="89" spans="1:7">
      <c r="A89" s="775" t="s">
        <v>219</v>
      </c>
      <c r="B89" s="776" t="s">
        <v>220</v>
      </c>
      <c r="C89" s="849" t="s">
        <v>274</v>
      </c>
      <c r="D89" s="283">
        <v>18916</v>
      </c>
      <c r="E89" s="283">
        <v>21333</v>
      </c>
      <c r="F89" s="283">
        <v>22821</v>
      </c>
      <c r="G89" s="283">
        <v>23827</v>
      </c>
    </row>
    <row r="90" spans="1:7">
      <c r="A90" s="775" t="s">
        <v>221</v>
      </c>
      <c r="B90" s="776" t="s">
        <v>222</v>
      </c>
      <c r="C90" s="849" t="s">
        <v>274</v>
      </c>
      <c r="D90" s="283">
        <v>15821</v>
      </c>
      <c r="E90" s="283">
        <v>17942</v>
      </c>
      <c r="F90" s="283">
        <v>18581</v>
      </c>
      <c r="G90" s="283">
        <v>19760</v>
      </c>
    </row>
    <row r="91" spans="1:7">
      <c r="A91" s="775" t="s">
        <v>225</v>
      </c>
      <c r="B91" s="776" t="s">
        <v>226</v>
      </c>
      <c r="C91" s="849" t="s">
        <v>271</v>
      </c>
      <c r="D91" s="283">
        <v>1642</v>
      </c>
      <c r="E91" s="283">
        <v>1854</v>
      </c>
      <c r="F91" s="283">
        <v>1868</v>
      </c>
      <c r="G91" s="283">
        <v>1881</v>
      </c>
    </row>
    <row r="92" spans="1:7">
      <c r="A92" s="775" t="s">
        <v>227</v>
      </c>
      <c r="B92" s="776" t="s">
        <v>228</v>
      </c>
      <c r="C92" s="849" t="s">
        <v>271</v>
      </c>
      <c r="D92" s="283">
        <v>3205</v>
      </c>
      <c r="E92" s="283">
        <v>3462</v>
      </c>
      <c r="F92" s="283">
        <v>3408</v>
      </c>
      <c r="G92" s="283">
        <v>3498</v>
      </c>
    </row>
    <row r="93" spans="1:7">
      <c r="A93" s="775" t="s">
        <v>229</v>
      </c>
      <c r="B93" s="776" t="s">
        <v>230</v>
      </c>
      <c r="C93" s="849" t="s">
        <v>275</v>
      </c>
      <c r="D93" s="283">
        <v>13130</v>
      </c>
      <c r="E93" s="283">
        <v>14119</v>
      </c>
      <c r="F93" s="283">
        <v>13738</v>
      </c>
      <c r="G93" s="283">
        <v>14078</v>
      </c>
    </row>
    <row r="94" spans="1:7">
      <c r="A94" s="775" t="s">
        <v>233</v>
      </c>
      <c r="B94" s="776" t="s">
        <v>234</v>
      </c>
      <c r="C94" s="849" t="s">
        <v>274</v>
      </c>
      <c r="D94" s="283">
        <v>7529</v>
      </c>
      <c r="E94" s="283">
        <v>8636</v>
      </c>
      <c r="F94" s="283">
        <v>8958</v>
      </c>
      <c r="G94" s="283">
        <v>9278</v>
      </c>
    </row>
    <row r="95" spans="1:7">
      <c r="A95" s="775" t="s">
        <v>235</v>
      </c>
      <c r="B95" s="776" t="s">
        <v>236</v>
      </c>
      <c r="C95" s="849" t="s">
        <v>275</v>
      </c>
      <c r="D95" s="283">
        <v>12810</v>
      </c>
      <c r="E95" s="283">
        <v>13975</v>
      </c>
      <c r="F95" s="283">
        <v>13951</v>
      </c>
      <c r="G95" s="283">
        <v>14441</v>
      </c>
    </row>
    <row r="96" spans="1:7">
      <c r="A96" s="775" t="s">
        <v>237</v>
      </c>
      <c r="B96" s="776" t="s">
        <v>238</v>
      </c>
      <c r="C96" s="849" t="s">
        <v>273</v>
      </c>
      <c r="D96" s="283">
        <v>4725</v>
      </c>
      <c r="E96" s="283">
        <v>5292</v>
      </c>
      <c r="F96" s="283">
        <v>5573</v>
      </c>
      <c r="G96" s="283">
        <v>5795</v>
      </c>
    </row>
    <row r="97" spans="1:7">
      <c r="A97" s="775" t="s">
        <v>243</v>
      </c>
      <c r="B97" s="776" t="s">
        <v>244</v>
      </c>
      <c r="C97" s="849" t="s">
        <v>275</v>
      </c>
      <c r="D97" s="283">
        <v>14664</v>
      </c>
      <c r="E97" s="283">
        <v>15147</v>
      </c>
      <c r="F97" s="283">
        <v>14941</v>
      </c>
      <c r="G97" s="283">
        <v>15330</v>
      </c>
    </row>
    <row r="98" spans="1:7">
      <c r="A98" s="787" t="s">
        <v>245</v>
      </c>
      <c r="B98" s="776" t="s">
        <v>246</v>
      </c>
      <c r="C98" s="849" t="s">
        <v>275</v>
      </c>
      <c r="D98" s="283">
        <v>8019</v>
      </c>
      <c r="E98" s="283">
        <v>8737</v>
      </c>
      <c r="F98" s="283">
        <v>8710</v>
      </c>
      <c r="G98" s="283">
        <v>8902</v>
      </c>
    </row>
    <row r="99" spans="1:7">
      <c r="A99" s="775" t="s">
        <v>247</v>
      </c>
      <c r="B99" s="776" t="s">
        <v>248</v>
      </c>
      <c r="C99" s="849" t="s">
        <v>271</v>
      </c>
      <c r="D99" s="283">
        <v>5531</v>
      </c>
      <c r="E99" s="283">
        <v>6315</v>
      </c>
      <c r="F99" s="283">
        <v>6979</v>
      </c>
      <c r="G99" s="283">
        <v>7414</v>
      </c>
    </row>
    <row r="100" spans="1:7">
      <c r="A100" s="775" t="s">
        <v>14</v>
      </c>
      <c r="B100" s="776" t="s">
        <v>15</v>
      </c>
      <c r="C100" s="849" t="s">
        <v>274</v>
      </c>
      <c r="D100" s="283">
        <v>17562</v>
      </c>
      <c r="E100" s="283">
        <v>19899</v>
      </c>
      <c r="F100" s="283">
        <v>20633</v>
      </c>
      <c r="G100" s="283">
        <v>21530</v>
      </c>
    </row>
    <row r="101" spans="1:7">
      <c r="A101" s="775" t="s">
        <v>35</v>
      </c>
      <c r="B101" s="776" t="s">
        <v>36</v>
      </c>
      <c r="C101" s="849" t="s">
        <v>275</v>
      </c>
      <c r="D101" s="283">
        <v>7824</v>
      </c>
      <c r="E101" s="283">
        <v>8282</v>
      </c>
      <c r="F101" s="283">
        <v>7877</v>
      </c>
      <c r="G101" s="283">
        <v>8061</v>
      </c>
    </row>
    <row r="102" spans="1:7">
      <c r="A102" s="775" t="s">
        <v>53</v>
      </c>
      <c r="B102" s="776" t="s">
        <v>54</v>
      </c>
      <c r="C102" s="849" t="s">
        <v>272</v>
      </c>
      <c r="D102" s="283">
        <v>9715</v>
      </c>
      <c r="E102" s="283">
        <v>10628</v>
      </c>
      <c r="F102" s="283">
        <v>10587</v>
      </c>
      <c r="G102" s="283">
        <v>10802</v>
      </c>
    </row>
    <row r="103" spans="1:7">
      <c r="A103" s="775" t="s">
        <v>55</v>
      </c>
      <c r="B103" s="776" t="s">
        <v>56</v>
      </c>
      <c r="C103" s="849" t="s">
        <v>271</v>
      </c>
      <c r="D103" s="283">
        <v>35195</v>
      </c>
      <c r="E103" s="283">
        <v>40140</v>
      </c>
      <c r="F103" s="283">
        <v>41636</v>
      </c>
      <c r="G103" s="283">
        <v>44209</v>
      </c>
    </row>
    <row r="104" spans="1:7">
      <c r="A104" s="775" t="s">
        <v>67</v>
      </c>
      <c r="B104" s="776" t="s">
        <v>68</v>
      </c>
      <c r="C104" s="849" t="s">
        <v>272</v>
      </c>
      <c r="D104" s="283">
        <v>19713</v>
      </c>
      <c r="E104" s="283">
        <v>21231</v>
      </c>
      <c r="F104" s="283">
        <v>21098</v>
      </c>
      <c r="G104" s="283">
        <v>21891</v>
      </c>
    </row>
    <row r="105" spans="1:7">
      <c r="A105" s="775" t="s">
        <v>83</v>
      </c>
      <c r="B105" s="776" t="s">
        <v>84</v>
      </c>
      <c r="C105" s="849" t="s">
        <v>271</v>
      </c>
      <c r="D105" s="283">
        <v>3485</v>
      </c>
      <c r="E105" s="283">
        <v>3847</v>
      </c>
      <c r="F105" s="283">
        <v>4081</v>
      </c>
      <c r="G105" s="283">
        <v>4380</v>
      </c>
    </row>
    <row r="106" spans="1:7">
      <c r="A106" s="775" t="s">
        <v>89</v>
      </c>
      <c r="B106" s="776" t="s">
        <v>90</v>
      </c>
      <c r="C106" s="849" t="s">
        <v>274</v>
      </c>
      <c r="D106" s="283">
        <v>7119</v>
      </c>
      <c r="E106" s="283">
        <v>7968</v>
      </c>
      <c r="F106" s="283">
        <v>8430</v>
      </c>
      <c r="G106" s="283">
        <v>9044</v>
      </c>
    </row>
    <row r="107" spans="1:7">
      <c r="A107" s="775" t="s">
        <v>91</v>
      </c>
      <c r="B107" s="776" t="s">
        <v>92</v>
      </c>
      <c r="C107" s="849" t="s">
        <v>275</v>
      </c>
      <c r="D107" s="283">
        <v>3481</v>
      </c>
      <c r="E107" s="283">
        <v>3662</v>
      </c>
      <c r="F107" s="283">
        <v>3521</v>
      </c>
      <c r="G107" s="283">
        <v>3613</v>
      </c>
    </row>
    <row r="108" spans="1:7">
      <c r="A108" s="775" t="s">
        <v>107</v>
      </c>
      <c r="B108" s="776" t="s">
        <v>108</v>
      </c>
      <c r="C108" s="849" t="s">
        <v>271</v>
      </c>
      <c r="D108" s="283">
        <v>31857</v>
      </c>
      <c r="E108" s="283">
        <v>34912</v>
      </c>
      <c r="F108" s="283">
        <v>36995</v>
      </c>
      <c r="G108" s="283">
        <v>40020</v>
      </c>
    </row>
    <row r="109" spans="1:7">
      <c r="A109" s="775" t="s">
        <v>117</v>
      </c>
      <c r="B109" s="776" t="s">
        <v>118</v>
      </c>
      <c r="C109" s="849" t="s">
        <v>273</v>
      </c>
      <c r="D109" s="283">
        <v>9748</v>
      </c>
      <c r="E109" s="283">
        <v>10424</v>
      </c>
      <c r="F109" s="283">
        <v>10724</v>
      </c>
      <c r="G109" s="283">
        <v>11312</v>
      </c>
    </row>
    <row r="110" spans="1:7">
      <c r="A110" s="775" t="s">
        <v>139</v>
      </c>
      <c r="B110" s="776" t="s">
        <v>140</v>
      </c>
      <c r="C110" s="849" t="s">
        <v>272</v>
      </c>
      <c r="D110" s="283">
        <v>19663</v>
      </c>
      <c r="E110" s="283">
        <v>21431</v>
      </c>
      <c r="F110" s="283">
        <v>21894</v>
      </c>
      <c r="G110" s="283">
        <v>23370</v>
      </c>
    </row>
    <row r="111" spans="1:7">
      <c r="A111" s="775" t="s">
        <v>143</v>
      </c>
      <c r="B111" s="776" t="s">
        <v>144</v>
      </c>
      <c r="C111" s="849" t="s">
        <v>274</v>
      </c>
      <c r="D111" s="283">
        <v>8454</v>
      </c>
      <c r="E111" s="283">
        <v>9845</v>
      </c>
      <c r="F111" s="283">
        <v>10239</v>
      </c>
      <c r="G111" s="283">
        <v>10554</v>
      </c>
    </row>
    <row r="112" spans="1:7">
      <c r="A112" s="775" t="s">
        <v>145</v>
      </c>
      <c r="B112" s="776" t="s">
        <v>146</v>
      </c>
      <c r="C112" s="849" t="s">
        <v>274</v>
      </c>
      <c r="D112" s="283">
        <v>3156</v>
      </c>
      <c r="E112" s="283">
        <v>3368</v>
      </c>
      <c r="F112" s="283">
        <v>3380</v>
      </c>
      <c r="G112" s="283">
        <v>3415</v>
      </c>
    </row>
    <row r="113" spans="1:8">
      <c r="A113" s="775" t="s">
        <v>159</v>
      </c>
      <c r="B113" s="776" t="s">
        <v>160</v>
      </c>
      <c r="C113" s="849" t="s">
        <v>271</v>
      </c>
      <c r="D113" s="283">
        <v>50837</v>
      </c>
      <c r="E113" s="283">
        <v>56473</v>
      </c>
      <c r="F113" s="283">
        <v>59028</v>
      </c>
      <c r="G113" s="283">
        <v>62015</v>
      </c>
    </row>
    <row r="114" spans="1:8">
      <c r="A114" s="775" t="s">
        <v>161</v>
      </c>
      <c r="B114" s="776" t="s">
        <v>162</v>
      </c>
      <c r="C114" s="849" t="s">
        <v>271</v>
      </c>
      <c r="D114" s="283">
        <v>69584</v>
      </c>
      <c r="E114" s="283">
        <v>75476</v>
      </c>
      <c r="F114" s="283">
        <v>76941</v>
      </c>
      <c r="G114" s="283">
        <v>81222</v>
      </c>
    </row>
    <row r="115" spans="1:8">
      <c r="A115" s="775" t="s">
        <v>167</v>
      </c>
      <c r="B115" s="776" t="s">
        <v>168</v>
      </c>
      <c r="C115" s="849" t="s">
        <v>275</v>
      </c>
      <c r="D115" s="283">
        <v>1847</v>
      </c>
      <c r="E115" s="283">
        <v>1852</v>
      </c>
      <c r="F115" s="283">
        <v>1832</v>
      </c>
      <c r="G115" s="283">
        <v>1987</v>
      </c>
    </row>
    <row r="116" spans="1:8">
      <c r="A116" s="775" t="s">
        <v>177</v>
      </c>
      <c r="B116" s="776" t="s">
        <v>178</v>
      </c>
      <c r="C116" s="849" t="s">
        <v>273</v>
      </c>
      <c r="D116" s="283">
        <v>15758</v>
      </c>
      <c r="E116" s="283">
        <v>17122</v>
      </c>
      <c r="F116" s="283">
        <v>17555</v>
      </c>
      <c r="G116" s="283">
        <v>18063</v>
      </c>
    </row>
    <row r="117" spans="1:8">
      <c r="A117" s="775" t="s">
        <v>181</v>
      </c>
      <c r="B117" s="776" t="s">
        <v>182</v>
      </c>
      <c r="C117" s="849" t="s">
        <v>271</v>
      </c>
      <c r="D117" s="283">
        <v>32180</v>
      </c>
      <c r="E117" s="283">
        <v>35323</v>
      </c>
      <c r="F117" s="283">
        <v>36409</v>
      </c>
      <c r="G117" s="283">
        <v>38851</v>
      </c>
    </row>
    <row r="118" spans="1:8">
      <c r="A118" s="775" t="s">
        <v>193</v>
      </c>
      <c r="B118" s="776" t="s">
        <v>194</v>
      </c>
      <c r="C118" s="849" t="s">
        <v>275</v>
      </c>
      <c r="D118" s="283">
        <v>3022</v>
      </c>
      <c r="E118" s="283">
        <v>3203</v>
      </c>
      <c r="F118" s="283">
        <v>3215</v>
      </c>
      <c r="G118" s="283">
        <v>3283</v>
      </c>
    </row>
    <row r="119" spans="1:8">
      <c r="A119" s="775" t="s">
        <v>197</v>
      </c>
      <c r="B119" s="776" t="s">
        <v>198</v>
      </c>
      <c r="C119" s="849" t="s">
        <v>273</v>
      </c>
      <c r="D119" s="283">
        <v>73920</v>
      </c>
      <c r="E119" s="283">
        <v>80630</v>
      </c>
      <c r="F119" s="283">
        <v>82721</v>
      </c>
      <c r="G119" s="283">
        <v>86392</v>
      </c>
    </row>
    <row r="120" spans="1:8">
      <c r="A120" s="775" t="s">
        <v>201</v>
      </c>
      <c r="B120" s="776" t="s">
        <v>202</v>
      </c>
      <c r="C120" s="849" t="s">
        <v>272</v>
      </c>
      <c r="D120" s="283">
        <v>35375</v>
      </c>
      <c r="E120" s="283">
        <v>38680</v>
      </c>
      <c r="F120" s="283">
        <v>39275</v>
      </c>
      <c r="G120" s="283">
        <v>41483</v>
      </c>
    </row>
    <row r="121" spans="1:8">
      <c r="A121" s="775" t="s">
        <v>223</v>
      </c>
      <c r="B121" s="776" t="s">
        <v>224</v>
      </c>
      <c r="C121" s="849" t="s">
        <v>271</v>
      </c>
      <c r="D121" s="283">
        <v>17967</v>
      </c>
      <c r="E121" s="283">
        <v>19881</v>
      </c>
      <c r="F121" s="283">
        <v>20781</v>
      </c>
      <c r="G121" s="283">
        <v>21906</v>
      </c>
    </row>
    <row r="122" spans="1:8">
      <c r="A122" s="775" t="s">
        <v>231</v>
      </c>
      <c r="B122" s="776" t="s">
        <v>232</v>
      </c>
      <c r="C122" s="849" t="s">
        <v>271</v>
      </c>
      <c r="D122" s="283">
        <v>55302</v>
      </c>
      <c r="E122" s="283">
        <v>64154</v>
      </c>
      <c r="F122" s="283">
        <v>66615</v>
      </c>
      <c r="G122" s="283">
        <v>71076</v>
      </c>
    </row>
    <row r="123" spans="1:8">
      <c r="A123" s="775" t="s">
        <v>239</v>
      </c>
      <c r="B123" s="776" t="s">
        <v>240</v>
      </c>
      <c r="C123" s="849" t="s">
        <v>271</v>
      </c>
      <c r="D123" s="283">
        <v>1716</v>
      </c>
      <c r="E123" s="283">
        <v>1993</v>
      </c>
      <c r="F123" s="283">
        <v>2347</v>
      </c>
      <c r="G123" s="283">
        <v>2402</v>
      </c>
    </row>
    <row r="124" spans="1:8">
      <c r="A124" s="775" t="s">
        <v>241</v>
      </c>
      <c r="B124" s="776" t="s">
        <v>242</v>
      </c>
      <c r="C124" s="849" t="s">
        <v>274</v>
      </c>
      <c r="D124" s="283">
        <v>7627</v>
      </c>
      <c r="E124" s="283">
        <v>8820</v>
      </c>
      <c r="F124" s="283">
        <v>9270</v>
      </c>
      <c r="G124" s="283">
        <v>9473</v>
      </c>
    </row>
    <row r="126" spans="1:8" s="791" customFormat="1" ht="12.75" customHeight="1">
      <c r="A126" s="1670" t="s">
        <v>1132</v>
      </c>
      <c r="B126" s="1670"/>
      <c r="C126" s="1670"/>
      <c r="D126" s="1670"/>
      <c r="E126" s="1670"/>
      <c r="F126" s="1670"/>
      <c r="G126" s="1670"/>
      <c r="H126" s="1670"/>
    </row>
    <row r="127" spans="1:8" s="791" customFormat="1">
      <c r="A127" s="1670"/>
      <c r="B127" s="1670"/>
      <c r="C127" s="1670"/>
      <c r="D127" s="1670"/>
      <c r="E127" s="1670"/>
      <c r="F127" s="1670"/>
      <c r="G127" s="1670"/>
      <c r="H127" s="1670"/>
    </row>
    <row r="128" spans="1:8" s="791" customFormat="1">
      <c r="A128" s="1670"/>
      <c r="B128" s="1670"/>
      <c r="C128" s="1670"/>
      <c r="D128" s="1670"/>
      <c r="E128" s="1670"/>
      <c r="F128" s="1670"/>
      <c r="G128" s="1670"/>
      <c r="H128" s="1670"/>
    </row>
    <row r="129" spans="1:8" s="791" customFormat="1">
      <c r="A129" s="825"/>
      <c r="B129" s="825"/>
      <c r="C129" s="825"/>
      <c r="D129" s="825"/>
      <c r="E129" s="825"/>
      <c r="F129" s="825"/>
      <c r="G129" s="825"/>
      <c r="H129" s="825"/>
    </row>
    <row r="130" spans="1:8" s="542" customFormat="1">
      <c r="A130" s="542" t="s">
        <v>249</v>
      </c>
    </row>
    <row r="131" spans="1:8" s="542" customFormat="1">
      <c r="A131" s="543" t="s">
        <v>250</v>
      </c>
      <c r="B131" s="544" t="s">
        <v>251</v>
      </c>
      <c r="C131" s="544"/>
    </row>
  </sheetData>
  <autoFilter ref="A3:C3"/>
  <mergeCells count="1">
    <mergeCell ref="A126:H128"/>
  </mergeCells>
  <hyperlinks>
    <hyperlink ref="B131" r:id="rId1"/>
  </hyperlinks>
  <pageMargins left="0.7" right="0.7" top="0.75" bottom="0.75" header="0.3" footer="0.3"/>
  <pageSetup orientation="portrait" r:id="rId2"/>
</worksheet>
</file>

<file path=xl/worksheets/sheet18.xml><?xml version="1.0" encoding="utf-8"?>
<worksheet xmlns="http://schemas.openxmlformats.org/spreadsheetml/2006/main" xmlns:r="http://schemas.openxmlformats.org/officeDocument/2006/relationships">
  <dimension ref="A1:J130"/>
  <sheetViews>
    <sheetView topLeftCell="B1" zoomScaleNormal="100" workbookViewId="0">
      <pane ySplit="5" topLeftCell="A103" activePane="bottomLeft" state="frozen"/>
      <selection pane="bottomLeft" activeCell="A127" sqref="A127:J127"/>
    </sheetView>
  </sheetViews>
  <sheetFormatPr defaultRowHeight="15.75"/>
  <cols>
    <col min="1" max="1" width="6.875" style="827" bestFit="1" customWidth="1"/>
    <col min="2" max="2" width="30.875" style="831" customWidth="1"/>
    <col min="3" max="3" width="12.875" style="831" customWidth="1"/>
    <col min="4" max="4" width="7.75" style="827" bestFit="1" customWidth="1"/>
    <col min="5" max="5" width="8.875" style="827" bestFit="1" customWidth="1"/>
    <col min="6" max="7" width="9" style="827" customWidth="1"/>
    <col min="8" max="8" width="1.5" style="827" customWidth="1"/>
    <col min="9" max="9" width="7.125" style="827" bestFit="1" customWidth="1"/>
    <col min="10" max="16384" width="9" style="827"/>
  </cols>
  <sheetData>
    <row r="1" spans="1:10">
      <c r="A1" s="1675" t="s">
        <v>1077</v>
      </c>
      <c r="B1" s="1675"/>
      <c r="C1" s="1675"/>
      <c r="D1" s="1675"/>
      <c r="E1" s="826"/>
      <c r="F1" s="826"/>
      <c r="G1" s="826"/>
      <c r="H1" s="826"/>
      <c r="I1" s="826"/>
      <c r="J1" s="826"/>
    </row>
    <row r="2" spans="1:10">
      <c r="A2" s="828"/>
      <c r="B2" s="828"/>
      <c r="C2" s="828"/>
      <c r="D2" s="829"/>
      <c r="E2" s="830"/>
      <c r="F2" s="830"/>
      <c r="G2" s="830"/>
      <c r="H2" s="826"/>
      <c r="I2" s="830"/>
      <c r="J2" s="830"/>
    </row>
    <row r="3" spans="1:10" ht="15.75" customHeight="1">
      <c r="D3" s="1674" t="s">
        <v>287</v>
      </c>
      <c r="E3" s="1674"/>
      <c r="F3" s="1674"/>
      <c r="G3" s="1674"/>
      <c r="H3" s="832"/>
      <c r="I3" s="1671" t="s">
        <v>288</v>
      </c>
      <c r="J3" s="1671"/>
    </row>
    <row r="4" spans="1:10" ht="31.5">
      <c r="A4" s="833" t="s">
        <v>4</v>
      </c>
      <c r="B4" s="834" t="s">
        <v>5</v>
      </c>
      <c r="C4" s="829" t="s">
        <v>252</v>
      </c>
      <c r="D4" s="835" t="s">
        <v>289</v>
      </c>
      <c r="E4" s="835" t="s">
        <v>2</v>
      </c>
      <c r="F4" s="835" t="s">
        <v>3</v>
      </c>
      <c r="G4" s="836" t="s">
        <v>609</v>
      </c>
      <c r="H4" s="835"/>
      <c r="I4" s="835" t="s">
        <v>2</v>
      </c>
      <c r="J4" s="835" t="s">
        <v>3</v>
      </c>
    </row>
    <row r="5" spans="1:10">
      <c r="A5" s="837" t="s">
        <v>8</v>
      </c>
      <c r="B5" s="838" t="s">
        <v>9</v>
      </c>
      <c r="C5" s="838"/>
      <c r="D5" s="839">
        <v>5351</v>
      </c>
      <c r="E5" s="839">
        <v>3003</v>
      </c>
      <c r="F5" s="839">
        <v>1892</v>
      </c>
      <c r="G5" s="839">
        <f t="shared" ref="G5:G36" si="0">D5-E5-F5</f>
        <v>456</v>
      </c>
      <c r="H5" s="840"/>
      <c r="I5" s="841">
        <f t="shared" ref="I5:I23" si="1">+E5/D5</f>
        <v>0.56120351336198837</v>
      </c>
      <c r="J5" s="841">
        <f t="shared" ref="J5:J23" si="2">+F5/D5</f>
        <v>0.35357877032330404</v>
      </c>
    </row>
    <row r="6" spans="1:10">
      <c r="A6" s="842" t="s">
        <v>10</v>
      </c>
      <c r="B6" s="843" t="s">
        <v>11</v>
      </c>
      <c r="C6" s="844" t="s">
        <v>271</v>
      </c>
      <c r="D6" s="845">
        <v>8</v>
      </c>
      <c r="E6" s="845">
        <v>3</v>
      </c>
      <c r="F6" s="845">
        <v>5</v>
      </c>
      <c r="G6" s="845">
        <f t="shared" si="0"/>
        <v>0</v>
      </c>
      <c r="H6" s="846"/>
      <c r="I6" s="847">
        <f t="shared" si="1"/>
        <v>0.375</v>
      </c>
      <c r="J6" s="847">
        <f t="shared" si="2"/>
        <v>0.625</v>
      </c>
    </row>
    <row r="7" spans="1:10">
      <c r="A7" s="842" t="s">
        <v>12</v>
      </c>
      <c r="B7" s="843" t="s">
        <v>13</v>
      </c>
      <c r="C7" s="844" t="s">
        <v>272</v>
      </c>
      <c r="D7" s="845">
        <v>82</v>
      </c>
      <c r="E7" s="845">
        <v>55</v>
      </c>
      <c r="F7" s="845">
        <v>21</v>
      </c>
      <c r="G7" s="845">
        <f t="shared" si="0"/>
        <v>6</v>
      </c>
      <c r="H7" s="846"/>
      <c r="I7" s="847">
        <f t="shared" si="1"/>
        <v>0.67073170731707321</v>
      </c>
      <c r="J7" s="847">
        <f t="shared" si="2"/>
        <v>0.25609756097560976</v>
      </c>
    </row>
    <row r="8" spans="1:10">
      <c r="A8" s="842" t="s">
        <v>16</v>
      </c>
      <c r="B8" s="843" t="s">
        <v>17</v>
      </c>
      <c r="C8" s="844" t="s">
        <v>272</v>
      </c>
      <c r="D8" s="845">
        <v>15</v>
      </c>
      <c r="E8" s="845">
        <v>11</v>
      </c>
      <c r="F8" s="845">
        <v>0</v>
      </c>
      <c r="G8" s="845">
        <f t="shared" si="0"/>
        <v>4</v>
      </c>
      <c r="H8" s="846"/>
      <c r="I8" s="847">
        <f t="shared" si="1"/>
        <v>0.73333333333333328</v>
      </c>
      <c r="J8" s="847">
        <f t="shared" si="2"/>
        <v>0</v>
      </c>
    </row>
    <row r="9" spans="1:10">
      <c r="A9" s="842" t="s">
        <v>18</v>
      </c>
      <c r="B9" s="843" t="s">
        <v>19</v>
      </c>
      <c r="C9" s="844" t="s">
        <v>273</v>
      </c>
      <c r="D9" s="845">
        <v>6</v>
      </c>
      <c r="E9" s="845">
        <v>1</v>
      </c>
      <c r="F9" s="845">
        <v>4</v>
      </c>
      <c r="G9" s="845">
        <f t="shared" si="0"/>
        <v>1</v>
      </c>
      <c r="H9" s="846"/>
      <c r="I9" s="847">
        <f t="shared" si="1"/>
        <v>0.16666666666666666</v>
      </c>
      <c r="J9" s="847">
        <f t="shared" si="2"/>
        <v>0.66666666666666663</v>
      </c>
    </row>
    <row r="10" spans="1:10">
      <c r="A10" s="842" t="s">
        <v>20</v>
      </c>
      <c r="B10" s="843" t="s">
        <v>21</v>
      </c>
      <c r="C10" s="844" t="s">
        <v>272</v>
      </c>
      <c r="D10" s="845">
        <v>13</v>
      </c>
      <c r="E10" s="845">
        <v>12</v>
      </c>
      <c r="F10" s="845">
        <v>1</v>
      </c>
      <c r="G10" s="845">
        <f t="shared" si="0"/>
        <v>0</v>
      </c>
      <c r="H10" s="846"/>
      <c r="I10" s="847">
        <f t="shared" si="1"/>
        <v>0.92307692307692313</v>
      </c>
      <c r="J10" s="847">
        <f t="shared" si="2"/>
        <v>7.6923076923076927E-2</v>
      </c>
    </row>
    <row r="11" spans="1:10">
      <c r="A11" s="842" t="s">
        <v>22</v>
      </c>
      <c r="B11" s="843" t="s">
        <v>23</v>
      </c>
      <c r="C11" s="844" t="s">
        <v>272</v>
      </c>
      <c r="D11" s="845">
        <v>11</v>
      </c>
      <c r="E11" s="845">
        <v>5</v>
      </c>
      <c r="F11" s="845">
        <v>2</v>
      </c>
      <c r="G11" s="845">
        <f t="shared" si="0"/>
        <v>4</v>
      </c>
      <c r="H11" s="846"/>
      <c r="I11" s="847">
        <f t="shared" si="1"/>
        <v>0.45454545454545453</v>
      </c>
      <c r="J11" s="847">
        <f t="shared" si="2"/>
        <v>0.18181818181818182</v>
      </c>
    </row>
    <row r="12" spans="1:10">
      <c r="A12" s="842" t="s">
        <v>24</v>
      </c>
      <c r="B12" s="843" t="s">
        <v>25</v>
      </c>
      <c r="C12" s="844" t="s">
        <v>274</v>
      </c>
      <c r="D12" s="845">
        <v>95</v>
      </c>
      <c r="E12" s="845">
        <v>36</v>
      </c>
      <c r="F12" s="845">
        <v>54</v>
      </c>
      <c r="G12" s="845">
        <f t="shared" si="0"/>
        <v>5</v>
      </c>
      <c r="H12" s="846"/>
      <c r="I12" s="847">
        <f t="shared" si="1"/>
        <v>0.37894736842105264</v>
      </c>
      <c r="J12" s="847">
        <f t="shared" si="2"/>
        <v>0.56842105263157894</v>
      </c>
    </row>
    <row r="13" spans="1:10">
      <c r="A13" s="842" t="s">
        <v>26</v>
      </c>
      <c r="B13" s="843" t="s">
        <v>908</v>
      </c>
      <c r="C13" s="844" t="s">
        <v>272</v>
      </c>
      <c r="D13" s="845">
        <v>155</v>
      </c>
      <c r="E13" s="845">
        <v>135</v>
      </c>
      <c r="F13" s="845">
        <v>13</v>
      </c>
      <c r="G13" s="845">
        <f t="shared" si="0"/>
        <v>7</v>
      </c>
      <c r="H13" s="846"/>
      <c r="I13" s="847">
        <f t="shared" si="1"/>
        <v>0.87096774193548387</v>
      </c>
      <c r="J13" s="847">
        <f t="shared" si="2"/>
        <v>8.387096774193549E-2</v>
      </c>
    </row>
    <row r="14" spans="1:10">
      <c r="A14" s="848" t="s">
        <v>27</v>
      </c>
      <c r="B14" s="843" t="s">
        <v>28</v>
      </c>
      <c r="C14" s="849" t="s">
        <v>272</v>
      </c>
      <c r="D14" s="845">
        <v>5</v>
      </c>
      <c r="E14" s="845">
        <v>5</v>
      </c>
      <c r="F14" s="845">
        <v>0</v>
      </c>
      <c r="G14" s="845">
        <f t="shared" si="0"/>
        <v>0</v>
      </c>
      <c r="H14" s="846"/>
      <c r="I14" s="847">
        <f t="shared" si="1"/>
        <v>1</v>
      </c>
      <c r="J14" s="847">
        <f t="shared" si="2"/>
        <v>0</v>
      </c>
    </row>
    <row r="15" spans="1:10">
      <c r="A15" s="842" t="s">
        <v>29</v>
      </c>
      <c r="B15" s="843" t="s">
        <v>30</v>
      </c>
      <c r="C15" s="849" t="s">
        <v>272</v>
      </c>
      <c r="D15" s="845">
        <v>55</v>
      </c>
      <c r="E15" s="845">
        <v>47</v>
      </c>
      <c r="F15" s="845">
        <v>3</v>
      </c>
      <c r="G15" s="845">
        <f t="shared" si="0"/>
        <v>5</v>
      </c>
      <c r="H15" s="846"/>
      <c r="I15" s="847">
        <f t="shared" si="1"/>
        <v>0.8545454545454545</v>
      </c>
      <c r="J15" s="847">
        <f t="shared" si="2"/>
        <v>5.4545454545454543E-2</v>
      </c>
    </row>
    <row r="16" spans="1:10">
      <c r="A16" s="842" t="s">
        <v>31</v>
      </c>
      <c r="B16" s="843" t="s">
        <v>32</v>
      </c>
      <c r="C16" s="849" t="s">
        <v>275</v>
      </c>
      <c r="D16" s="845">
        <v>14</v>
      </c>
      <c r="E16" s="845">
        <v>13</v>
      </c>
      <c r="F16" s="845">
        <v>1</v>
      </c>
      <c r="G16" s="845">
        <f t="shared" si="0"/>
        <v>0</v>
      </c>
      <c r="H16" s="846"/>
      <c r="I16" s="847">
        <f t="shared" si="1"/>
        <v>0.9285714285714286</v>
      </c>
      <c r="J16" s="847">
        <f t="shared" si="2"/>
        <v>7.1428571428571425E-2</v>
      </c>
    </row>
    <row r="17" spans="1:10">
      <c r="A17" s="842" t="s">
        <v>33</v>
      </c>
      <c r="B17" s="843" t="s">
        <v>34</v>
      </c>
      <c r="C17" s="849" t="s">
        <v>272</v>
      </c>
      <c r="D17" s="845">
        <v>12</v>
      </c>
      <c r="E17" s="845">
        <v>11</v>
      </c>
      <c r="F17" s="845">
        <v>1</v>
      </c>
      <c r="G17" s="845">
        <f t="shared" si="0"/>
        <v>0</v>
      </c>
      <c r="H17" s="846"/>
      <c r="I17" s="847">
        <f t="shared" si="1"/>
        <v>0.91666666666666663</v>
      </c>
      <c r="J17" s="847">
        <f t="shared" si="2"/>
        <v>8.3333333333333329E-2</v>
      </c>
    </row>
    <row r="18" spans="1:10">
      <c r="A18" s="842" t="s">
        <v>37</v>
      </c>
      <c r="B18" s="843" t="s">
        <v>38</v>
      </c>
      <c r="C18" s="849" t="s">
        <v>271</v>
      </c>
      <c r="D18" s="845">
        <v>5</v>
      </c>
      <c r="E18" s="845">
        <v>0</v>
      </c>
      <c r="F18" s="845">
        <v>3</v>
      </c>
      <c r="G18" s="845">
        <f t="shared" si="0"/>
        <v>2</v>
      </c>
      <c r="H18" s="846"/>
      <c r="I18" s="847">
        <f t="shared" si="1"/>
        <v>0</v>
      </c>
      <c r="J18" s="847">
        <f t="shared" si="2"/>
        <v>0.6</v>
      </c>
    </row>
    <row r="19" spans="1:10">
      <c r="A19" s="842" t="s">
        <v>39</v>
      </c>
      <c r="B19" s="843" t="s">
        <v>40</v>
      </c>
      <c r="C19" s="849" t="s">
        <v>275</v>
      </c>
      <c r="D19" s="845">
        <v>51</v>
      </c>
      <c r="E19" s="845">
        <v>49</v>
      </c>
      <c r="F19" s="845">
        <v>0</v>
      </c>
      <c r="G19" s="845">
        <f t="shared" si="0"/>
        <v>2</v>
      </c>
      <c r="H19" s="846"/>
      <c r="I19" s="847">
        <f t="shared" si="1"/>
        <v>0.96078431372549022</v>
      </c>
      <c r="J19" s="847">
        <f t="shared" si="2"/>
        <v>0</v>
      </c>
    </row>
    <row r="20" spans="1:10">
      <c r="A20" s="842" t="s">
        <v>41</v>
      </c>
      <c r="B20" s="843" t="s">
        <v>42</v>
      </c>
      <c r="C20" s="849" t="s">
        <v>273</v>
      </c>
      <c r="D20" s="845">
        <v>14</v>
      </c>
      <c r="E20" s="845">
        <v>10</v>
      </c>
      <c r="F20" s="845">
        <v>3</v>
      </c>
      <c r="G20" s="845">
        <f t="shared" si="0"/>
        <v>1</v>
      </c>
      <c r="H20" s="846"/>
      <c r="I20" s="847">
        <f t="shared" si="1"/>
        <v>0.7142857142857143</v>
      </c>
      <c r="J20" s="847">
        <f t="shared" si="2"/>
        <v>0.21428571428571427</v>
      </c>
    </row>
    <row r="21" spans="1:10">
      <c r="A21" s="842" t="s">
        <v>43</v>
      </c>
      <c r="B21" s="843" t="s">
        <v>44</v>
      </c>
      <c r="C21" s="849" t="s">
        <v>272</v>
      </c>
      <c r="D21" s="845">
        <v>30</v>
      </c>
      <c r="E21" s="845">
        <v>25</v>
      </c>
      <c r="F21" s="845">
        <v>3</v>
      </c>
      <c r="G21" s="845">
        <f t="shared" si="0"/>
        <v>2</v>
      </c>
      <c r="H21" s="846"/>
      <c r="I21" s="847">
        <f t="shared" si="1"/>
        <v>0.83333333333333337</v>
      </c>
      <c r="J21" s="847">
        <f t="shared" si="2"/>
        <v>0.1</v>
      </c>
    </row>
    <row r="22" spans="1:10">
      <c r="A22" s="842" t="s">
        <v>45</v>
      </c>
      <c r="B22" s="843" t="s">
        <v>46</v>
      </c>
      <c r="C22" s="849" t="s">
        <v>273</v>
      </c>
      <c r="D22" s="845">
        <v>10</v>
      </c>
      <c r="E22" s="845">
        <v>7</v>
      </c>
      <c r="F22" s="845">
        <v>3</v>
      </c>
      <c r="G22" s="845">
        <f t="shared" si="0"/>
        <v>0</v>
      </c>
      <c r="H22" s="846"/>
      <c r="I22" s="847">
        <f t="shared" si="1"/>
        <v>0.7</v>
      </c>
      <c r="J22" s="847">
        <f t="shared" si="2"/>
        <v>0.3</v>
      </c>
    </row>
    <row r="23" spans="1:10">
      <c r="A23" s="842" t="s">
        <v>47</v>
      </c>
      <c r="B23" s="843" t="s">
        <v>48</v>
      </c>
      <c r="C23" s="849" t="s">
        <v>275</v>
      </c>
      <c r="D23" s="845">
        <v>39</v>
      </c>
      <c r="E23" s="845">
        <v>38</v>
      </c>
      <c r="F23" s="845">
        <v>1</v>
      </c>
      <c r="G23" s="845">
        <f t="shared" si="0"/>
        <v>0</v>
      </c>
      <c r="H23" s="846"/>
      <c r="I23" s="847">
        <f t="shared" si="1"/>
        <v>0.97435897435897434</v>
      </c>
      <c r="J23" s="847">
        <f t="shared" si="2"/>
        <v>2.564102564102564E-2</v>
      </c>
    </row>
    <row r="24" spans="1:10">
      <c r="A24" s="848" t="s">
        <v>49</v>
      </c>
      <c r="B24" s="843" t="s">
        <v>50</v>
      </c>
      <c r="C24" s="849" t="s">
        <v>273</v>
      </c>
      <c r="D24" s="845">
        <v>0</v>
      </c>
      <c r="E24" s="845">
        <v>0</v>
      </c>
      <c r="F24" s="845">
        <v>0</v>
      </c>
      <c r="G24" s="845">
        <f t="shared" si="0"/>
        <v>0</v>
      </c>
      <c r="H24" s="846"/>
      <c r="I24" s="847" t="s">
        <v>293</v>
      </c>
      <c r="J24" s="847" t="s">
        <v>293</v>
      </c>
    </row>
    <row r="25" spans="1:10">
      <c r="A25" s="842" t="s">
        <v>51</v>
      </c>
      <c r="B25" s="843" t="s">
        <v>52</v>
      </c>
      <c r="C25" s="849" t="s">
        <v>272</v>
      </c>
      <c r="D25" s="845">
        <v>16</v>
      </c>
      <c r="E25" s="845">
        <v>7</v>
      </c>
      <c r="F25" s="845">
        <v>4</v>
      </c>
      <c r="G25" s="845">
        <f t="shared" si="0"/>
        <v>5</v>
      </c>
      <c r="H25" s="846"/>
      <c r="I25" s="847">
        <f t="shared" ref="I25:I56" si="3">+E25/D25</f>
        <v>0.4375</v>
      </c>
      <c r="J25" s="847">
        <f t="shared" ref="J25:J56" si="4">+F25/D25</f>
        <v>0.25</v>
      </c>
    </row>
    <row r="26" spans="1:10">
      <c r="A26" s="842" t="s">
        <v>57</v>
      </c>
      <c r="B26" s="843" t="s">
        <v>58</v>
      </c>
      <c r="C26" s="849" t="s">
        <v>273</v>
      </c>
      <c r="D26" s="845">
        <v>63</v>
      </c>
      <c r="E26" s="845">
        <v>41</v>
      </c>
      <c r="F26" s="845">
        <v>17</v>
      </c>
      <c r="G26" s="845">
        <f t="shared" si="0"/>
        <v>5</v>
      </c>
      <c r="H26" s="846"/>
      <c r="I26" s="847">
        <f t="shared" si="3"/>
        <v>0.65079365079365081</v>
      </c>
      <c r="J26" s="847">
        <f t="shared" si="4"/>
        <v>0.26984126984126983</v>
      </c>
    </row>
    <row r="27" spans="1:10">
      <c r="A27" s="842" t="s">
        <v>59</v>
      </c>
      <c r="B27" s="843" t="s">
        <v>60</v>
      </c>
      <c r="C27" s="849" t="s">
        <v>274</v>
      </c>
      <c r="D27" s="845">
        <v>5</v>
      </c>
      <c r="E27" s="845">
        <v>3</v>
      </c>
      <c r="F27" s="845">
        <v>0</v>
      </c>
      <c r="G27" s="845">
        <f t="shared" si="0"/>
        <v>2</v>
      </c>
      <c r="H27" s="846"/>
      <c r="I27" s="847">
        <f t="shared" si="3"/>
        <v>0.6</v>
      </c>
      <c r="J27" s="847">
        <f t="shared" si="4"/>
        <v>0</v>
      </c>
    </row>
    <row r="28" spans="1:10">
      <c r="A28" s="848" t="s">
        <v>61</v>
      </c>
      <c r="B28" s="843" t="s">
        <v>62</v>
      </c>
      <c r="C28" s="849" t="s">
        <v>272</v>
      </c>
      <c r="D28" s="845">
        <v>6</v>
      </c>
      <c r="E28" s="845">
        <v>6</v>
      </c>
      <c r="F28" s="845">
        <v>0</v>
      </c>
      <c r="G28" s="845">
        <f t="shared" si="0"/>
        <v>0</v>
      </c>
      <c r="H28" s="846"/>
      <c r="I28" s="847">
        <f t="shared" si="3"/>
        <v>1</v>
      </c>
      <c r="J28" s="847">
        <f t="shared" si="4"/>
        <v>0</v>
      </c>
    </row>
    <row r="29" spans="1:10">
      <c r="A29" s="842" t="s">
        <v>63</v>
      </c>
      <c r="B29" s="843" t="s">
        <v>64</v>
      </c>
      <c r="C29" s="849" t="s">
        <v>274</v>
      </c>
      <c r="D29" s="845">
        <v>37</v>
      </c>
      <c r="E29" s="845">
        <v>25</v>
      </c>
      <c r="F29" s="845">
        <v>10</v>
      </c>
      <c r="G29" s="845">
        <f t="shared" si="0"/>
        <v>2</v>
      </c>
      <c r="H29" s="846"/>
      <c r="I29" s="847">
        <f t="shared" si="3"/>
        <v>0.67567567567567566</v>
      </c>
      <c r="J29" s="847">
        <f t="shared" si="4"/>
        <v>0.27027027027027029</v>
      </c>
    </row>
    <row r="30" spans="1:10">
      <c r="A30" s="842" t="s">
        <v>65</v>
      </c>
      <c r="B30" s="843" t="s">
        <v>66</v>
      </c>
      <c r="C30" s="849" t="s">
        <v>273</v>
      </c>
      <c r="D30" s="845">
        <v>6</v>
      </c>
      <c r="E30" s="845">
        <v>3</v>
      </c>
      <c r="F30" s="845">
        <v>3</v>
      </c>
      <c r="G30" s="845">
        <f t="shared" si="0"/>
        <v>0</v>
      </c>
      <c r="H30" s="846"/>
      <c r="I30" s="847">
        <f t="shared" si="3"/>
        <v>0.5</v>
      </c>
      <c r="J30" s="847">
        <f t="shared" si="4"/>
        <v>0.5</v>
      </c>
    </row>
    <row r="31" spans="1:10">
      <c r="A31" s="842" t="s">
        <v>69</v>
      </c>
      <c r="B31" s="843" t="s">
        <v>70</v>
      </c>
      <c r="C31" s="849" t="s">
        <v>275</v>
      </c>
      <c r="D31" s="845">
        <v>53</v>
      </c>
      <c r="E31" s="845">
        <v>49</v>
      </c>
      <c r="F31" s="845">
        <v>3</v>
      </c>
      <c r="G31" s="845">
        <f t="shared" si="0"/>
        <v>1</v>
      </c>
      <c r="H31" s="846"/>
      <c r="I31" s="847">
        <f t="shared" si="3"/>
        <v>0.92452830188679247</v>
      </c>
      <c r="J31" s="847">
        <f t="shared" si="4"/>
        <v>5.6603773584905662E-2</v>
      </c>
    </row>
    <row r="32" spans="1:10">
      <c r="A32" s="842" t="s">
        <v>71</v>
      </c>
      <c r="B32" s="843" t="s">
        <v>72</v>
      </c>
      <c r="C32" s="849" t="s">
        <v>271</v>
      </c>
      <c r="D32" s="845">
        <v>21</v>
      </c>
      <c r="E32" s="845">
        <v>7</v>
      </c>
      <c r="F32" s="845">
        <v>10</v>
      </c>
      <c r="G32" s="845">
        <f t="shared" si="0"/>
        <v>4</v>
      </c>
      <c r="H32" s="846"/>
      <c r="I32" s="847">
        <f t="shared" si="3"/>
        <v>0.33333333333333331</v>
      </c>
      <c r="J32" s="847">
        <f t="shared" si="4"/>
        <v>0.47619047619047616</v>
      </c>
    </row>
    <row r="33" spans="1:10">
      <c r="A33" s="842" t="s">
        <v>73</v>
      </c>
      <c r="B33" s="843" t="s">
        <v>74</v>
      </c>
      <c r="C33" s="849" t="s">
        <v>273</v>
      </c>
      <c r="D33" s="845">
        <v>7</v>
      </c>
      <c r="E33" s="845">
        <v>5</v>
      </c>
      <c r="F33" s="845">
        <v>1</v>
      </c>
      <c r="G33" s="845">
        <f t="shared" si="0"/>
        <v>1</v>
      </c>
      <c r="H33" s="846"/>
      <c r="I33" s="847">
        <f t="shared" si="3"/>
        <v>0.7142857142857143</v>
      </c>
      <c r="J33" s="847">
        <f t="shared" si="4"/>
        <v>0.14285714285714285</v>
      </c>
    </row>
    <row r="34" spans="1:10">
      <c r="A34" s="842" t="s">
        <v>75</v>
      </c>
      <c r="B34" s="843" t="s">
        <v>76</v>
      </c>
      <c r="C34" s="849" t="s">
        <v>274</v>
      </c>
      <c r="D34" s="845">
        <v>336</v>
      </c>
      <c r="E34" s="845">
        <v>185</v>
      </c>
      <c r="F34" s="845">
        <v>115</v>
      </c>
      <c r="G34" s="845">
        <f t="shared" si="0"/>
        <v>36</v>
      </c>
      <c r="H34" s="846"/>
      <c r="I34" s="847">
        <f t="shared" si="3"/>
        <v>0.55059523809523814</v>
      </c>
      <c r="J34" s="847">
        <f t="shared" si="4"/>
        <v>0.34226190476190477</v>
      </c>
    </row>
    <row r="35" spans="1:10">
      <c r="A35" s="842" t="s">
        <v>77</v>
      </c>
      <c r="B35" s="843" t="s">
        <v>78</v>
      </c>
      <c r="C35" s="849" t="s">
        <v>274</v>
      </c>
      <c r="D35" s="845">
        <v>43</v>
      </c>
      <c r="E35" s="845">
        <v>24</v>
      </c>
      <c r="F35" s="845">
        <v>15</v>
      </c>
      <c r="G35" s="845">
        <f t="shared" si="0"/>
        <v>4</v>
      </c>
      <c r="H35" s="846"/>
      <c r="I35" s="847">
        <f t="shared" si="3"/>
        <v>0.55813953488372092</v>
      </c>
      <c r="J35" s="847">
        <f t="shared" si="4"/>
        <v>0.34883720930232559</v>
      </c>
    </row>
    <row r="36" spans="1:10">
      <c r="A36" s="842" t="s">
        <v>79</v>
      </c>
      <c r="B36" s="843" t="s">
        <v>80</v>
      </c>
      <c r="C36" s="849" t="s">
        <v>275</v>
      </c>
      <c r="D36" s="845">
        <v>11</v>
      </c>
      <c r="E36" s="845">
        <v>10</v>
      </c>
      <c r="F36" s="845">
        <v>0</v>
      </c>
      <c r="G36" s="845">
        <f t="shared" si="0"/>
        <v>1</v>
      </c>
      <c r="H36" s="846"/>
      <c r="I36" s="847">
        <f t="shared" si="3"/>
        <v>0.90909090909090906</v>
      </c>
      <c r="J36" s="847">
        <f t="shared" si="4"/>
        <v>0</v>
      </c>
    </row>
    <row r="37" spans="1:10">
      <c r="A37" s="842" t="s">
        <v>81</v>
      </c>
      <c r="B37" s="843" t="s">
        <v>82</v>
      </c>
      <c r="C37" s="849" t="s">
        <v>273</v>
      </c>
      <c r="D37" s="845">
        <v>17</v>
      </c>
      <c r="E37" s="845">
        <v>15</v>
      </c>
      <c r="F37" s="845">
        <v>2</v>
      </c>
      <c r="G37" s="845">
        <f t="shared" ref="G37:G68" si="5">D37-E37-F37</f>
        <v>0</v>
      </c>
      <c r="H37" s="846"/>
      <c r="I37" s="847">
        <f t="shared" si="3"/>
        <v>0.88235294117647056</v>
      </c>
      <c r="J37" s="847">
        <f t="shared" si="4"/>
        <v>0.11764705882352941</v>
      </c>
    </row>
    <row r="38" spans="1:10">
      <c r="A38" s="842" t="s">
        <v>85</v>
      </c>
      <c r="B38" s="843" t="s">
        <v>86</v>
      </c>
      <c r="C38" s="849" t="s">
        <v>272</v>
      </c>
      <c r="D38" s="845">
        <v>69</v>
      </c>
      <c r="E38" s="845">
        <v>55</v>
      </c>
      <c r="F38" s="845">
        <v>6</v>
      </c>
      <c r="G38" s="845">
        <f t="shared" si="5"/>
        <v>8</v>
      </c>
      <c r="H38" s="846"/>
      <c r="I38" s="847">
        <f t="shared" si="3"/>
        <v>0.79710144927536231</v>
      </c>
      <c r="J38" s="847">
        <f t="shared" si="4"/>
        <v>8.6956521739130432E-2</v>
      </c>
    </row>
    <row r="39" spans="1:10">
      <c r="A39" s="842" t="s">
        <v>87</v>
      </c>
      <c r="B39" s="843" t="s">
        <v>88</v>
      </c>
      <c r="C39" s="849" t="s">
        <v>274</v>
      </c>
      <c r="D39" s="845">
        <v>18</v>
      </c>
      <c r="E39" s="845">
        <v>16</v>
      </c>
      <c r="F39" s="845">
        <v>0</v>
      </c>
      <c r="G39" s="845">
        <f t="shared" si="5"/>
        <v>2</v>
      </c>
      <c r="H39" s="846"/>
      <c r="I39" s="847">
        <f t="shared" si="3"/>
        <v>0.88888888888888884</v>
      </c>
      <c r="J39" s="847">
        <f t="shared" si="4"/>
        <v>0</v>
      </c>
    </row>
    <row r="40" spans="1:10">
      <c r="A40" s="848" t="s">
        <v>93</v>
      </c>
      <c r="B40" s="843" t="s">
        <v>94</v>
      </c>
      <c r="C40" s="849" t="s">
        <v>275</v>
      </c>
      <c r="D40" s="845">
        <v>50</v>
      </c>
      <c r="E40" s="845">
        <v>47</v>
      </c>
      <c r="F40" s="845">
        <v>3</v>
      </c>
      <c r="G40" s="845">
        <f t="shared" si="5"/>
        <v>0</v>
      </c>
      <c r="H40" s="846"/>
      <c r="I40" s="847">
        <f t="shared" si="3"/>
        <v>0.94</v>
      </c>
      <c r="J40" s="847">
        <f t="shared" si="4"/>
        <v>0.06</v>
      </c>
    </row>
    <row r="41" spans="1:10">
      <c r="A41" s="842" t="s">
        <v>95</v>
      </c>
      <c r="B41" s="843" t="s">
        <v>96</v>
      </c>
      <c r="C41" s="849" t="s">
        <v>271</v>
      </c>
      <c r="D41" s="845">
        <v>25</v>
      </c>
      <c r="E41" s="845">
        <v>19</v>
      </c>
      <c r="F41" s="845">
        <v>2</v>
      </c>
      <c r="G41" s="845">
        <f t="shared" si="5"/>
        <v>4</v>
      </c>
      <c r="H41" s="846"/>
      <c r="I41" s="847">
        <f t="shared" si="3"/>
        <v>0.76</v>
      </c>
      <c r="J41" s="847">
        <f t="shared" si="4"/>
        <v>0.08</v>
      </c>
    </row>
    <row r="42" spans="1:10">
      <c r="A42" s="842" t="s">
        <v>97</v>
      </c>
      <c r="B42" s="843" t="s">
        <v>98</v>
      </c>
      <c r="C42" s="849" t="s">
        <v>273</v>
      </c>
      <c r="D42" s="845">
        <v>26</v>
      </c>
      <c r="E42" s="845">
        <v>20</v>
      </c>
      <c r="F42" s="845">
        <v>3</v>
      </c>
      <c r="G42" s="845">
        <f t="shared" si="5"/>
        <v>3</v>
      </c>
      <c r="H42" s="846"/>
      <c r="I42" s="847">
        <f t="shared" si="3"/>
        <v>0.76923076923076927</v>
      </c>
      <c r="J42" s="847">
        <f t="shared" si="4"/>
        <v>0.11538461538461539</v>
      </c>
    </row>
    <row r="43" spans="1:10">
      <c r="A43" s="842" t="s">
        <v>99</v>
      </c>
      <c r="B43" s="843" t="s">
        <v>100</v>
      </c>
      <c r="C43" s="849" t="s">
        <v>275</v>
      </c>
      <c r="D43" s="845">
        <v>30</v>
      </c>
      <c r="E43" s="845">
        <v>28</v>
      </c>
      <c r="F43" s="845">
        <v>1</v>
      </c>
      <c r="G43" s="845">
        <f t="shared" si="5"/>
        <v>1</v>
      </c>
      <c r="H43" s="846"/>
      <c r="I43" s="847">
        <f t="shared" si="3"/>
        <v>0.93333333333333335</v>
      </c>
      <c r="J43" s="847">
        <f t="shared" si="4"/>
        <v>3.3333333333333333E-2</v>
      </c>
    </row>
    <row r="44" spans="1:10">
      <c r="A44" s="842" t="s">
        <v>101</v>
      </c>
      <c r="B44" s="843" t="s">
        <v>102</v>
      </c>
      <c r="C44" s="849" t="s">
        <v>274</v>
      </c>
      <c r="D44" s="845">
        <v>9</v>
      </c>
      <c r="E44" s="845">
        <v>7</v>
      </c>
      <c r="F44" s="845">
        <v>0</v>
      </c>
      <c r="G44" s="845">
        <f t="shared" si="5"/>
        <v>2</v>
      </c>
      <c r="H44" s="846"/>
      <c r="I44" s="847">
        <f t="shared" si="3"/>
        <v>0.77777777777777779</v>
      </c>
      <c r="J44" s="847">
        <f t="shared" si="4"/>
        <v>0</v>
      </c>
    </row>
    <row r="45" spans="1:10">
      <c r="A45" s="842" t="s">
        <v>103</v>
      </c>
      <c r="B45" s="843" t="s">
        <v>290</v>
      </c>
      <c r="C45" s="849" t="s">
        <v>271</v>
      </c>
      <c r="D45" s="845">
        <v>10</v>
      </c>
      <c r="E45" s="845">
        <v>1</v>
      </c>
      <c r="F45" s="845">
        <v>7</v>
      </c>
      <c r="G45" s="845">
        <f t="shared" si="5"/>
        <v>2</v>
      </c>
      <c r="H45" s="846"/>
      <c r="I45" s="847">
        <f t="shared" si="3"/>
        <v>0.1</v>
      </c>
      <c r="J45" s="847">
        <f t="shared" si="4"/>
        <v>0.7</v>
      </c>
    </row>
    <row r="46" spans="1:10">
      <c r="A46" s="842" t="s">
        <v>105</v>
      </c>
      <c r="B46" s="843" t="s">
        <v>106</v>
      </c>
      <c r="C46" s="849" t="s">
        <v>272</v>
      </c>
      <c r="D46" s="845">
        <v>31</v>
      </c>
      <c r="E46" s="845">
        <v>17</v>
      </c>
      <c r="F46" s="845">
        <v>14</v>
      </c>
      <c r="G46" s="845">
        <f t="shared" si="5"/>
        <v>0</v>
      </c>
      <c r="H46" s="846"/>
      <c r="I46" s="847">
        <f t="shared" si="3"/>
        <v>0.54838709677419351</v>
      </c>
      <c r="J46" s="847">
        <f t="shared" si="4"/>
        <v>0.45161290322580644</v>
      </c>
    </row>
    <row r="47" spans="1:10">
      <c r="A47" s="842" t="s">
        <v>109</v>
      </c>
      <c r="B47" s="843" t="s">
        <v>110</v>
      </c>
      <c r="C47" s="849" t="s">
        <v>273</v>
      </c>
      <c r="D47" s="845">
        <v>32</v>
      </c>
      <c r="E47" s="845">
        <v>25</v>
      </c>
      <c r="F47" s="845">
        <v>5</v>
      </c>
      <c r="G47" s="845">
        <f t="shared" si="5"/>
        <v>2</v>
      </c>
      <c r="H47" s="846"/>
      <c r="I47" s="847">
        <f t="shared" si="3"/>
        <v>0.78125</v>
      </c>
      <c r="J47" s="847">
        <f t="shared" si="4"/>
        <v>0.15625</v>
      </c>
    </row>
    <row r="48" spans="1:10">
      <c r="A48" s="842" t="s">
        <v>111</v>
      </c>
      <c r="B48" s="843" t="s">
        <v>112</v>
      </c>
      <c r="C48" s="849" t="s">
        <v>273</v>
      </c>
      <c r="D48" s="845">
        <v>80</v>
      </c>
      <c r="E48" s="845">
        <v>32</v>
      </c>
      <c r="F48" s="845">
        <v>42</v>
      </c>
      <c r="G48" s="845">
        <f t="shared" si="5"/>
        <v>6</v>
      </c>
      <c r="H48" s="846"/>
      <c r="I48" s="847">
        <f t="shared" si="3"/>
        <v>0.4</v>
      </c>
      <c r="J48" s="847">
        <f t="shared" si="4"/>
        <v>0.52500000000000002</v>
      </c>
    </row>
    <row r="49" spans="1:10">
      <c r="A49" s="842" t="s">
        <v>113</v>
      </c>
      <c r="B49" s="843" t="s">
        <v>114</v>
      </c>
      <c r="C49" s="849" t="s">
        <v>272</v>
      </c>
      <c r="D49" s="845">
        <v>41</v>
      </c>
      <c r="E49" s="845">
        <v>21</v>
      </c>
      <c r="F49" s="845">
        <v>10</v>
      </c>
      <c r="G49" s="845">
        <f t="shared" si="5"/>
        <v>10</v>
      </c>
      <c r="H49" s="846"/>
      <c r="I49" s="847">
        <f t="shared" si="3"/>
        <v>0.51219512195121952</v>
      </c>
      <c r="J49" s="847">
        <f t="shared" si="4"/>
        <v>0.24390243902439024</v>
      </c>
    </row>
    <row r="50" spans="1:10">
      <c r="A50" s="848" t="s">
        <v>115</v>
      </c>
      <c r="B50" s="843" t="s">
        <v>116</v>
      </c>
      <c r="C50" s="849" t="s">
        <v>272</v>
      </c>
      <c r="D50" s="845">
        <v>7</v>
      </c>
      <c r="E50" s="845">
        <v>7</v>
      </c>
      <c r="F50" s="845">
        <v>0</v>
      </c>
      <c r="G50" s="845">
        <f t="shared" si="5"/>
        <v>0</v>
      </c>
      <c r="H50" s="846"/>
      <c r="I50" s="847">
        <f t="shared" si="3"/>
        <v>1</v>
      </c>
      <c r="J50" s="847">
        <f t="shared" si="4"/>
        <v>0</v>
      </c>
    </row>
    <row r="51" spans="1:10">
      <c r="A51" s="842" t="s">
        <v>119</v>
      </c>
      <c r="B51" s="843" t="s">
        <v>120</v>
      </c>
      <c r="C51" s="849" t="s">
        <v>271</v>
      </c>
      <c r="D51" s="845">
        <v>19</v>
      </c>
      <c r="E51" s="845">
        <v>13</v>
      </c>
      <c r="F51" s="845">
        <v>5</v>
      </c>
      <c r="G51" s="845">
        <f t="shared" si="5"/>
        <v>1</v>
      </c>
      <c r="H51" s="846"/>
      <c r="I51" s="847">
        <f t="shared" si="3"/>
        <v>0.68421052631578949</v>
      </c>
      <c r="J51" s="847">
        <f t="shared" si="4"/>
        <v>0.26315789473684209</v>
      </c>
    </row>
    <row r="52" spans="1:10">
      <c r="A52" s="842" t="s">
        <v>121</v>
      </c>
      <c r="B52" s="843" t="s">
        <v>122</v>
      </c>
      <c r="C52" s="849" t="s">
        <v>271</v>
      </c>
      <c r="D52" s="845">
        <v>10</v>
      </c>
      <c r="E52" s="845">
        <v>2</v>
      </c>
      <c r="F52" s="845">
        <v>6</v>
      </c>
      <c r="G52" s="845">
        <f t="shared" si="5"/>
        <v>2</v>
      </c>
      <c r="H52" s="846"/>
      <c r="I52" s="847">
        <f t="shared" si="3"/>
        <v>0.2</v>
      </c>
      <c r="J52" s="847">
        <f t="shared" si="4"/>
        <v>0.6</v>
      </c>
    </row>
    <row r="53" spans="1:10">
      <c r="A53" s="842" t="s">
        <v>123</v>
      </c>
      <c r="B53" s="843" t="s">
        <v>124</v>
      </c>
      <c r="C53" s="849" t="s">
        <v>273</v>
      </c>
      <c r="D53" s="845">
        <v>8</v>
      </c>
      <c r="E53" s="845">
        <v>1</v>
      </c>
      <c r="F53" s="845">
        <v>6</v>
      </c>
      <c r="G53" s="845">
        <f t="shared" si="5"/>
        <v>1</v>
      </c>
      <c r="H53" s="846"/>
      <c r="I53" s="847">
        <f t="shared" si="3"/>
        <v>0.125</v>
      </c>
      <c r="J53" s="847">
        <f t="shared" si="4"/>
        <v>0.75</v>
      </c>
    </row>
    <row r="54" spans="1:10">
      <c r="A54" s="842" t="s">
        <v>125</v>
      </c>
      <c r="B54" s="843" t="s">
        <v>126</v>
      </c>
      <c r="C54" s="849" t="s">
        <v>274</v>
      </c>
      <c r="D54" s="845">
        <v>33</v>
      </c>
      <c r="E54" s="845">
        <v>26</v>
      </c>
      <c r="F54" s="845">
        <v>6</v>
      </c>
      <c r="G54" s="845">
        <f t="shared" si="5"/>
        <v>1</v>
      </c>
      <c r="H54" s="846"/>
      <c r="I54" s="847">
        <f t="shared" si="3"/>
        <v>0.78787878787878785</v>
      </c>
      <c r="J54" s="847">
        <f t="shared" si="4"/>
        <v>0.18181818181818182</v>
      </c>
    </row>
    <row r="55" spans="1:10">
      <c r="A55" s="842" t="s">
        <v>127</v>
      </c>
      <c r="B55" s="843" t="s">
        <v>128</v>
      </c>
      <c r="C55" s="849" t="s">
        <v>273</v>
      </c>
      <c r="D55" s="845">
        <v>4</v>
      </c>
      <c r="E55" s="845">
        <v>0</v>
      </c>
      <c r="F55" s="845">
        <v>2</v>
      </c>
      <c r="G55" s="845">
        <f t="shared" si="5"/>
        <v>2</v>
      </c>
      <c r="H55" s="846"/>
      <c r="I55" s="847">
        <f t="shared" si="3"/>
        <v>0</v>
      </c>
      <c r="J55" s="847">
        <f t="shared" si="4"/>
        <v>0.5</v>
      </c>
    </row>
    <row r="56" spans="1:10">
      <c r="A56" s="842" t="s">
        <v>129</v>
      </c>
      <c r="B56" s="843" t="s">
        <v>130</v>
      </c>
      <c r="C56" s="849" t="s">
        <v>273</v>
      </c>
      <c r="D56" s="845">
        <v>11</v>
      </c>
      <c r="E56" s="845">
        <v>5</v>
      </c>
      <c r="F56" s="845">
        <v>6</v>
      </c>
      <c r="G56" s="845">
        <f t="shared" si="5"/>
        <v>0</v>
      </c>
      <c r="H56" s="846"/>
      <c r="I56" s="847">
        <f t="shared" si="3"/>
        <v>0.45454545454545453</v>
      </c>
      <c r="J56" s="847">
        <f t="shared" si="4"/>
        <v>0.54545454545454541</v>
      </c>
    </row>
    <row r="57" spans="1:10">
      <c r="A57" s="848" t="s">
        <v>131</v>
      </c>
      <c r="B57" s="843" t="s">
        <v>132</v>
      </c>
      <c r="C57" s="849" t="s">
        <v>275</v>
      </c>
      <c r="D57" s="845">
        <v>38</v>
      </c>
      <c r="E57" s="845">
        <v>38</v>
      </c>
      <c r="F57" s="845">
        <v>0</v>
      </c>
      <c r="G57" s="845">
        <f t="shared" si="5"/>
        <v>0</v>
      </c>
      <c r="H57" s="846"/>
      <c r="I57" s="847">
        <f t="shared" ref="I57:I91" si="6">+E57/D57</f>
        <v>1</v>
      </c>
      <c r="J57" s="847">
        <f t="shared" ref="J57:J91" si="7">+F57/D57</f>
        <v>0</v>
      </c>
    </row>
    <row r="58" spans="1:10">
      <c r="A58" s="842" t="s">
        <v>133</v>
      </c>
      <c r="B58" s="843" t="s">
        <v>134</v>
      </c>
      <c r="C58" s="849" t="s">
        <v>274</v>
      </c>
      <c r="D58" s="845">
        <v>63</v>
      </c>
      <c r="E58" s="845">
        <v>31</v>
      </c>
      <c r="F58" s="845">
        <v>16</v>
      </c>
      <c r="G58" s="845">
        <f t="shared" si="5"/>
        <v>16</v>
      </c>
      <c r="H58" s="846"/>
      <c r="I58" s="847">
        <f t="shared" si="6"/>
        <v>0.49206349206349204</v>
      </c>
      <c r="J58" s="847">
        <f t="shared" si="7"/>
        <v>0.25396825396825395</v>
      </c>
    </row>
    <row r="59" spans="1:10">
      <c r="A59" s="842" t="s">
        <v>135</v>
      </c>
      <c r="B59" s="843" t="s">
        <v>136</v>
      </c>
      <c r="C59" s="849" t="s">
        <v>274</v>
      </c>
      <c r="D59" s="845">
        <v>29</v>
      </c>
      <c r="E59" s="845">
        <v>26</v>
      </c>
      <c r="F59" s="845">
        <v>3</v>
      </c>
      <c r="G59" s="845">
        <f t="shared" si="5"/>
        <v>0</v>
      </c>
      <c r="H59" s="846"/>
      <c r="I59" s="847">
        <f t="shared" si="6"/>
        <v>0.89655172413793105</v>
      </c>
      <c r="J59" s="847">
        <f t="shared" si="7"/>
        <v>0.10344827586206896</v>
      </c>
    </row>
    <row r="60" spans="1:10">
      <c r="A60" s="842" t="s">
        <v>137</v>
      </c>
      <c r="B60" s="843" t="s">
        <v>138</v>
      </c>
      <c r="C60" s="849" t="s">
        <v>273</v>
      </c>
      <c r="D60" s="845">
        <v>23</v>
      </c>
      <c r="E60" s="845">
        <v>3</v>
      </c>
      <c r="F60" s="845">
        <v>20</v>
      </c>
      <c r="G60" s="845">
        <f t="shared" si="5"/>
        <v>0</v>
      </c>
      <c r="H60" s="846"/>
      <c r="I60" s="847">
        <f t="shared" si="6"/>
        <v>0.13043478260869565</v>
      </c>
      <c r="J60" s="847">
        <f t="shared" si="7"/>
        <v>0.86956521739130432</v>
      </c>
    </row>
    <row r="61" spans="1:10">
      <c r="A61" s="842" t="s">
        <v>141</v>
      </c>
      <c r="B61" s="843" t="s">
        <v>142</v>
      </c>
      <c r="C61" s="849" t="s">
        <v>274</v>
      </c>
      <c r="D61" s="845">
        <v>34</v>
      </c>
      <c r="E61" s="845">
        <v>21</v>
      </c>
      <c r="F61" s="845">
        <v>10</v>
      </c>
      <c r="G61" s="845">
        <f t="shared" si="5"/>
        <v>3</v>
      </c>
      <c r="H61" s="846"/>
      <c r="I61" s="847">
        <f t="shared" si="6"/>
        <v>0.61764705882352944</v>
      </c>
      <c r="J61" s="847">
        <f t="shared" si="7"/>
        <v>0.29411764705882354</v>
      </c>
    </row>
    <row r="62" spans="1:10">
      <c r="A62" s="842" t="s">
        <v>147</v>
      </c>
      <c r="B62" s="843" t="s">
        <v>148</v>
      </c>
      <c r="C62" s="849" t="s">
        <v>271</v>
      </c>
      <c r="D62" s="845">
        <v>12</v>
      </c>
      <c r="E62" s="845">
        <v>12</v>
      </c>
      <c r="F62" s="845">
        <v>0</v>
      </c>
      <c r="G62" s="845">
        <f t="shared" si="5"/>
        <v>0</v>
      </c>
      <c r="H62" s="846"/>
      <c r="I62" s="847">
        <f t="shared" si="6"/>
        <v>1</v>
      </c>
      <c r="J62" s="847">
        <f t="shared" si="7"/>
        <v>0</v>
      </c>
    </row>
    <row r="63" spans="1:10">
      <c r="A63" s="842" t="s">
        <v>149</v>
      </c>
      <c r="B63" s="843" t="s">
        <v>150</v>
      </c>
      <c r="C63" s="849" t="s">
        <v>272</v>
      </c>
      <c r="D63" s="845">
        <v>18</v>
      </c>
      <c r="E63" s="845">
        <v>6</v>
      </c>
      <c r="F63" s="845">
        <v>11</v>
      </c>
      <c r="G63" s="845">
        <f t="shared" si="5"/>
        <v>1</v>
      </c>
      <c r="H63" s="846"/>
      <c r="I63" s="847">
        <f t="shared" si="6"/>
        <v>0.33333333333333331</v>
      </c>
      <c r="J63" s="847">
        <f t="shared" si="7"/>
        <v>0.61111111111111116</v>
      </c>
    </row>
    <row r="64" spans="1:10">
      <c r="A64" s="842" t="s">
        <v>151</v>
      </c>
      <c r="B64" s="843" t="s">
        <v>152</v>
      </c>
      <c r="C64" s="849" t="s">
        <v>273</v>
      </c>
      <c r="D64" s="845">
        <v>5</v>
      </c>
      <c r="E64" s="845">
        <v>3</v>
      </c>
      <c r="F64" s="845">
        <v>1</v>
      </c>
      <c r="G64" s="845">
        <f t="shared" si="5"/>
        <v>1</v>
      </c>
      <c r="H64" s="846"/>
      <c r="I64" s="847">
        <f t="shared" si="6"/>
        <v>0.6</v>
      </c>
      <c r="J64" s="847">
        <f t="shared" si="7"/>
        <v>0.2</v>
      </c>
    </row>
    <row r="65" spans="1:10">
      <c r="A65" s="842" t="s">
        <v>153</v>
      </c>
      <c r="B65" s="843" t="s">
        <v>154</v>
      </c>
      <c r="C65" s="849" t="s">
        <v>275</v>
      </c>
      <c r="D65" s="845">
        <v>50</v>
      </c>
      <c r="E65" s="845">
        <v>40</v>
      </c>
      <c r="F65" s="845">
        <v>3</v>
      </c>
      <c r="G65" s="845">
        <f t="shared" si="5"/>
        <v>7</v>
      </c>
      <c r="H65" s="846"/>
      <c r="I65" s="847">
        <f t="shared" si="6"/>
        <v>0.8</v>
      </c>
      <c r="J65" s="847">
        <f t="shared" si="7"/>
        <v>0.06</v>
      </c>
    </row>
    <row r="66" spans="1:10">
      <c r="A66" s="842" t="s">
        <v>155</v>
      </c>
      <c r="B66" s="843" t="s">
        <v>156</v>
      </c>
      <c r="C66" s="849" t="s">
        <v>272</v>
      </c>
      <c r="D66" s="845">
        <v>12</v>
      </c>
      <c r="E66" s="845">
        <v>11</v>
      </c>
      <c r="F66" s="845">
        <v>0</v>
      </c>
      <c r="G66" s="845">
        <f t="shared" si="5"/>
        <v>1</v>
      </c>
      <c r="H66" s="846"/>
      <c r="I66" s="847">
        <f t="shared" si="6"/>
        <v>0.91666666666666663</v>
      </c>
      <c r="J66" s="847">
        <f t="shared" si="7"/>
        <v>0</v>
      </c>
    </row>
    <row r="67" spans="1:10">
      <c r="A67" s="848" t="s">
        <v>157</v>
      </c>
      <c r="B67" s="843" t="s">
        <v>158</v>
      </c>
      <c r="C67" s="849" t="s">
        <v>273</v>
      </c>
      <c r="D67" s="845">
        <v>2</v>
      </c>
      <c r="E67" s="845">
        <v>2</v>
      </c>
      <c r="F67" s="845">
        <v>0</v>
      </c>
      <c r="G67" s="845">
        <f t="shared" si="5"/>
        <v>0</v>
      </c>
      <c r="H67" s="846"/>
      <c r="I67" s="847">
        <f t="shared" si="6"/>
        <v>1</v>
      </c>
      <c r="J67" s="847">
        <f t="shared" si="7"/>
        <v>0</v>
      </c>
    </row>
    <row r="68" spans="1:10">
      <c r="A68" s="842" t="s">
        <v>163</v>
      </c>
      <c r="B68" s="843" t="s">
        <v>164</v>
      </c>
      <c r="C68" s="849" t="s">
        <v>271</v>
      </c>
      <c r="D68" s="845">
        <v>8</v>
      </c>
      <c r="E68" s="845">
        <v>1</v>
      </c>
      <c r="F68" s="845">
        <v>7</v>
      </c>
      <c r="G68" s="845">
        <f t="shared" si="5"/>
        <v>0</v>
      </c>
      <c r="H68" s="846"/>
      <c r="I68" s="847">
        <f t="shared" si="6"/>
        <v>0.125</v>
      </c>
      <c r="J68" s="847">
        <f t="shared" si="7"/>
        <v>0.875</v>
      </c>
    </row>
    <row r="69" spans="1:10">
      <c r="A69" s="842" t="s">
        <v>165</v>
      </c>
      <c r="B69" s="843" t="s">
        <v>166</v>
      </c>
      <c r="C69" s="849" t="s">
        <v>273</v>
      </c>
      <c r="D69" s="845">
        <v>6</v>
      </c>
      <c r="E69" s="845">
        <v>4</v>
      </c>
      <c r="F69" s="845">
        <v>2</v>
      </c>
      <c r="G69" s="845">
        <f t="shared" ref="G69:G100" si="8">D69-E69-F69</f>
        <v>0</v>
      </c>
      <c r="H69" s="846"/>
      <c r="I69" s="847">
        <f t="shared" si="6"/>
        <v>0.66666666666666663</v>
      </c>
      <c r="J69" s="847">
        <f t="shared" si="7"/>
        <v>0.33333333333333331</v>
      </c>
    </row>
    <row r="70" spans="1:10">
      <c r="A70" s="842" t="s">
        <v>169</v>
      </c>
      <c r="B70" s="843" t="s">
        <v>170</v>
      </c>
      <c r="C70" s="849" t="s">
        <v>273</v>
      </c>
      <c r="D70" s="845">
        <v>9</v>
      </c>
      <c r="E70" s="845">
        <v>4</v>
      </c>
      <c r="F70" s="845">
        <v>5</v>
      </c>
      <c r="G70" s="845">
        <f t="shared" si="8"/>
        <v>0</v>
      </c>
      <c r="H70" s="846"/>
      <c r="I70" s="847">
        <f t="shared" si="6"/>
        <v>0.44444444444444442</v>
      </c>
      <c r="J70" s="847">
        <f t="shared" si="7"/>
        <v>0.55555555555555558</v>
      </c>
    </row>
    <row r="71" spans="1:10">
      <c r="A71" s="842" t="s">
        <v>171</v>
      </c>
      <c r="B71" s="843" t="s">
        <v>172</v>
      </c>
      <c r="C71" s="849" t="s">
        <v>274</v>
      </c>
      <c r="D71" s="845">
        <v>20</v>
      </c>
      <c r="E71" s="845">
        <v>16</v>
      </c>
      <c r="F71" s="845">
        <v>4</v>
      </c>
      <c r="G71" s="845">
        <f t="shared" si="8"/>
        <v>0</v>
      </c>
      <c r="H71" s="846"/>
      <c r="I71" s="847">
        <f t="shared" si="6"/>
        <v>0.8</v>
      </c>
      <c r="J71" s="847">
        <f t="shared" si="7"/>
        <v>0.2</v>
      </c>
    </row>
    <row r="72" spans="1:10">
      <c r="A72" s="848" t="s">
        <v>173</v>
      </c>
      <c r="B72" s="843" t="s">
        <v>174</v>
      </c>
      <c r="C72" s="849" t="s">
        <v>274</v>
      </c>
      <c r="D72" s="845">
        <v>11</v>
      </c>
      <c r="E72" s="845">
        <v>11</v>
      </c>
      <c r="F72" s="845">
        <v>0</v>
      </c>
      <c r="G72" s="845">
        <f t="shared" si="8"/>
        <v>0</v>
      </c>
      <c r="H72" s="846"/>
      <c r="I72" s="847">
        <f t="shared" si="6"/>
        <v>1</v>
      </c>
      <c r="J72" s="847">
        <f t="shared" si="7"/>
        <v>0</v>
      </c>
    </row>
    <row r="73" spans="1:10">
      <c r="A73" s="848" t="s">
        <v>175</v>
      </c>
      <c r="B73" s="843" t="s">
        <v>176</v>
      </c>
      <c r="C73" s="849" t="s">
        <v>275</v>
      </c>
      <c r="D73" s="845">
        <v>2</v>
      </c>
      <c r="E73" s="845">
        <v>2</v>
      </c>
      <c r="F73" s="845">
        <v>0</v>
      </c>
      <c r="G73" s="845">
        <f t="shared" si="8"/>
        <v>0</v>
      </c>
      <c r="H73" s="846"/>
      <c r="I73" s="847">
        <f t="shared" si="6"/>
        <v>1</v>
      </c>
      <c r="J73" s="847">
        <f t="shared" si="7"/>
        <v>0</v>
      </c>
    </row>
    <row r="74" spans="1:10">
      <c r="A74" s="842" t="s">
        <v>179</v>
      </c>
      <c r="B74" s="843" t="s">
        <v>180</v>
      </c>
      <c r="C74" s="849" t="s">
        <v>272</v>
      </c>
      <c r="D74" s="845">
        <v>19</v>
      </c>
      <c r="E74" s="845">
        <v>10</v>
      </c>
      <c r="F74" s="845">
        <v>9</v>
      </c>
      <c r="G74" s="845">
        <f t="shared" si="8"/>
        <v>0</v>
      </c>
      <c r="H74" s="846"/>
      <c r="I74" s="847">
        <f t="shared" si="6"/>
        <v>0.52631578947368418</v>
      </c>
      <c r="J74" s="847">
        <f t="shared" si="7"/>
        <v>0.47368421052631576</v>
      </c>
    </row>
    <row r="75" spans="1:10">
      <c r="A75" s="842" t="s">
        <v>183</v>
      </c>
      <c r="B75" s="843" t="s">
        <v>184</v>
      </c>
      <c r="C75" s="849" t="s">
        <v>273</v>
      </c>
      <c r="D75" s="845">
        <v>15</v>
      </c>
      <c r="E75" s="845">
        <v>13</v>
      </c>
      <c r="F75" s="845">
        <v>1</v>
      </c>
      <c r="G75" s="845">
        <f t="shared" si="8"/>
        <v>1</v>
      </c>
      <c r="H75" s="846"/>
      <c r="I75" s="847">
        <f t="shared" si="6"/>
        <v>0.8666666666666667</v>
      </c>
      <c r="J75" s="847">
        <f t="shared" si="7"/>
        <v>6.6666666666666666E-2</v>
      </c>
    </row>
    <row r="76" spans="1:10">
      <c r="A76" s="842" t="s">
        <v>185</v>
      </c>
      <c r="B76" s="843" t="s">
        <v>186</v>
      </c>
      <c r="C76" s="849" t="s">
        <v>273</v>
      </c>
      <c r="D76" s="845">
        <v>8</v>
      </c>
      <c r="E76" s="845">
        <v>5</v>
      </c>
      <c r="F76" s="845">
        <v>3</v>
      </c>
      <c r="G76" s="845">
        <f t="shared" si="8"/>
        <v>0</v>
      </c>
      <c r="H76" s="846"/>
      <c r="I76" s="847">
        <f t="shared" si="6"/>
        <v>0.625</v>
      </c>
      <c r="J76" s="847">
        <f t="shared" si="7"/>
        <v>0.375</v>
      </c>
    </row>
    <row r="77" spans="1:10">
      <c r="A77" s="842" t="s">
        <v>187</v>
      </c>
      <c r="B77" s="843" t="s">
        <v>188</v>
      </c>
      <c r="C77" s="849" t="s">
        <v>271</v>
      </c>
      <c r="D77" s="845">
        <v>18</v>
      </c>
      <c r="E77" s="845">
        <v>15</v>
      </c>
      <c r="F77" s="845">
        <v>2</v>
      </c>
      <c r="G77" s="845">
        <f t="shared" si="8"/>
        <v>1</v>
      </c>
      <c r="H77" s="846"/>
      <c r="I77" s="847">
        <f t="shared" si="6"/>
        <v>0.83333333333333337</v>
      </c>
      <c r="J77" s="847">
        <f t="shared" si="7"/>
        <v>0.1111111111111111</v>
      </c>
    </row>
    <row r="78" spans="1:10">
      <c r="A78" s="842" t="s">
        <v>189</v>
      </c>
      <c r="B78" s="843" t="s">
        <v>190</v>
      </c>
      <c r="C78" s="849" t="s">
        <v>274</v>
      </c>
      <c r="D78" s="845">
        <v>129</v>
      </c>
      <c r="E78" s="845">
        <v>41</v>
      </c>
      <c r="F78" s="845">
        <v>81</v>
      </c>
      <c r="G78" s="845">
        <f t="shared" si="8"/>
        <v>7</v>
      </c>
      <c r="H78" s="846"/>
      <c r="I78" s="847">
        <f t="shared" si="6"/>
        <v>0.31782945736434109</v>
      </c>
      <c r="J78" s="847">
        <f t="shared" si="7"/>
        <v>0.62790697674418605</v>
      </c>
    </row>
    <row r="79" spans="1:10">
      <c r="A79" s="842" t="s">
        <v>191</v>
      </c>
      <c r="B79" s="843" t="s">
        <v>192</v>
      </c>
      <c r="C79" s="849" t="s">
        <v>275</v>
      </c>
      <c r="D79" s="845">
        <v>71</v>
      </c>
      <c r="E79" s="845">
        <v>52</v>
      </c>
      <c r="F79" s="845">
        <v>8</v>
      </c>
      <c r="G79" s="845">
        <f t="shared" si="8"/>
        <v>11</v>
      </c>
      <c r="H79" s="846"/>
      <c r="I79" s="847">
        <f t="shared" si="6"/>
        <v>0.73239436619718312</v>
      </c>
      <c r="J79" s="847">
        <f t="shared" si="7"/>
        <v>0.11267605633802817</v>
      </c>
    </row>
    <row r="80" spans="1:10">
      <c r="A80" s="842" t="s">
        <v>195</v>
      </c>
      <c r="B80" s="843" t="s">
        <v>196</v>
      </c>
      <c r="C80" s="849" t="s">
        <v>274</v>
      </c>
      <c r="D80" s="845">
        <v>27</v>
      </c>
      <c r="E80" s="845">
        <v>17</v>
      </c>
      <c r="F80" s="845">
        <v>3</v>
      </c>
      <c r="G80" s="845">
        <f t="shared" si="8"/>
        <v>7</v>
      </c>
      <c r="H80" s="846"/>
      <c r="I80" s="847">
        <f t="shared" si="6"/>
        <v>0.62962962962962965</v>
      </c>
      <c r="J80" s="847">
        <f t="shared" si="7"/>
        <v>0.1111111111111111</v>
      </c>
    </row>
    <row r="81" spans="1:10">
      <c r="A81" s="842" t="s">
        <v>199</v>
      </c>
      <c r="B81" s="843" t="s">
        <v>279</v>
      </c>
      <c r="C81" s="849" t="s">
        <v>273</v>
      </c>
      <c r="D81" s="845">
        <v>5</v>
      </c>
      <c r="E81" s="845">
        <v>2</v>
      </c>
      <c r="F81" s="845">
        <v>2</v>
      </c>
      <c r="G81" s="845">
        <f t="shared" si="8"/>
        <v>1</v>
      </c>
      <c r="H81" s="846"/>
      <c r="I81" s="847">
        <f t="shared" si="6"/>
        <v>0.4</v>
      </c>
      <c r="J81" s="847">
        <f t="shared" si="7"/>
        <v>0.4</v>
      </c>
    </row>
    <row r="82" spans="1:10">
      <c r="A82" s="842" t="s">
        <v>203</v>
      </c>
      <c r="B82" s="843" t="s">
        <v>291</v>
      </c>
      <c r="C82" s="849" t="s">
        <v>272</v>
      </c>
      <c r="D82" s="845">
        <v>76</v>
      </c>
      <c r="E82" s="845">
        <v>60</v>
      </c>
      <c r="F82" s="845">
        <v>13</v>
      </c>
      <c r="G82" s="845">
        <f t="shared" si="8"/>
        <v>3</v>
      </c>
      <c r="H82" s="846"/>
      <c r="I82" s="847">
        <f t="shared" si="6"/>
        <v>0.78947368421052633</v>
      </c>
      <c r="J82" s="847">
        <f t="shared" si="7"/>
        <v>0.17105263157894737</v>
      </c>
    </row>
    <row r="83" spans="1:10">
      <c r="A83" s="842" t="s">
        <v>205</v>
      </c>
      <c r="B83" s="843" t="s">
        <v>292</v>
      </c>
      <c r="C83" s="849" t="s">
        <v>272</v>
      </c>
      <c r="D83" s="845">
        <v>15</v>
      </c>
      <c r="E83" s="845">
        <v>14</v>
      </c>
      <c r="F83" s="845">
        <v>1</v>
      </c>
      <c r="G83" s="845">
        <f t="shared" si="8"/>
        <v>0</v>
      </c>
      <c r="H83" s="846"/>
      <c r="I83" s="847">
        <f t="shared" si="6"/>
        <v>0.93333333333333335</v>
      </c>
      <c r="J83" s="847">
        <f t="shared" si="7"/>
        <v>6.6666666666666666E-2</v>
      </c>
    </row>
    <row r="84" spans="1:10">
      <c r="A84" s="842" t="s">
        <v>207</v>
      </c>
      <c r="B84" s="843" t="s">
        <v>208</v>
      </c>
      <c r="C84" s="849" t="s">
        <v>274</v>
      </c>
      <c r="D84" s="845">
        <v>195</v>
      </c>
      <c r="E84" s="845">
        <v>163</v>
      </c>
      <c r="F84" s="845">
        <v>15</v>
      </c>
      <c r="G84" s="845">
        <f t="shared" si="8"/>
        <v>17</v>
      </c>
      <c r="H84" s="846"/>
      <c r="I84" s="847">
        <f t="shared" si="6"/>
        <v>0.83589743589743593</v>
      </c>
      <c r="J84" s="847">
        <f t="shared" si="7"/>
        <v>7.6923076923076927E-2</v>
      </c>
    </row>
    <row r="85" spans="1:10">
      <c r="A85" s="842" t="s">
        <v>209</v>
      </c>
      <c r="B85" s="843" t="s">
        <v>210</v>
      </c>
      <c r="C85" s="849" t="s">
        <v>275</v>
      </c>
      <c r="D85" s="845">
        <v>59</v>
      </c>
      <c r="E85" s="845">
        <v>54</v>
      </c>
      <c r="F85" s="845">
        <v>0</v>
      </c>
      <c r="G85" s="845">
        <f t="shared" si="8"/>
        <v>5</v>
      </c>
      <c r="H85" s="846"/>
      <c r="I85" s="847">
        <f t="shared" si="6"/>
        <v>0.9152542372881356</v>
      </c>
      <c r="J85" s="847">
        <f t="shared" si="7"/>
        <v>0</v>
      </c>
    </row>
    <row r="86" spans="1:10">
      <c r="A86" s="848" t="s">
        <v>211</v>
      </c>
      <c r="B86" s="843" t="s">
        <v>212</v>
      </c>
      <c r="C86" s="849" t="s">
        <v>275</v>
      </c>
      <c r="D86" s="845">
        <v>36</v>
      </c>
      <c r="E86" s="845">
        <v>36</v>
      </c>
      <c r="F86" s="845">
        <v>0</v>
      </c>
      <c r="G86" s="845">
        <f t="shared" si="8"/>
        <v>0</v>
      </c>
      <c r="H86" s="846"/>
      <c r="I86" s="847">
        <f t="shared" si="6"/>
        <v>1</v>
      </c>
      <c r="J86" s="847">
        <f t="shared" si="7"/>
        <v>0</v>
      </c>
    </row>
    <row r="87" spans="1:10">
      <c r="A87" s="842" t="s">
        <v>213</v>
      </c>
      <c r="B87" s="843" t="s">
        <v>214</v>
      </c>
      <c r="C87" s="849" t="s">
        <v>274</v>
      </c>
      <c r="D87" s="845">
        <v>19</v>
      </c>
      <c r="E87" s="845">
        <v>17</v>
      </c>
      <c r="F87" s="845">
        <v>0</v>
      </c>
      <c r="G87" s="845">
        <f t="shared" si="8"/>
        <v>2</v>
      </c>
      <c r="H87" s="846"/>
      <c r="I87" s="847">
        <f t="shared" si="6"/>
        <v>0.89473684210526316</v>
      </c>
      <c r="J87" s="847">
        <f t="shared" si="7"/>
        <v>0</v>
      </c>
    </row>
    <row r="88" spans="1:10">
      <c r="A88" s="842" t="s">
        <v>215</v>
      </c>
      <c r="B88" s="843" t="s">
        <v>216</v>
      </c>
      <c r="C88" s="849" t="s">
        <v>275</v>
      </c>
      <c r="D88" s="845">
        <v>31</v>
      </c>
      <c r="E88" s="845">
        <v>27</v>
      </c>
      <c r="F88" s="845">
        <v>4</v>
      </c>
      <c r="G88" s="845">
        <f t="shared" si="8"/>
        <v>0</v>
      </c>
      <c r="H88" s="846"/>
      <c r="I88" s="847">
        <f t="shared" si="6"/>
        <v>0.87096774193548387</v>
      </c>
      <c r="J88" s="847">
        <f t="shared" si="7"/>
        <v>0.12903225806451613</v>
      </c>
    </row>
    <row r="89" spans="1:10">
      <c r="A89" s="842" t="s">
        <v>217</v>
      </c>
      <c r="B89" s="843" t="s">
        <v>218</v>
      </c>
      <c r="C89" s="849" t="s">
        <v>271</v>
      </c>
      <c r="D89" s="845">
        <v>5</v>
      </c>
      <c r="E89" s="845">
        <v>0</v>
      </c>
      <c r="F89" s="845">
        <v>5</v>
      </c>
      <c r="G89" s="845">
        <f t="shared" si="8"/>
        <v>0</v>
      </c>
      <c r="H89" s="846"/>
      <c r="I89" s="847">
        <f t="shared" si="6"/>
        <v>0</v>
      </c>
      <c r="J89" s="847">
        <f t="shared" si="7"/>
        <v>1</v>
      </c>
    </row>
    <row r="90" spans="1:10">
      <c r="A90" s="842" t="s">
        <v>219</v>
      </c>
      <c r="B90" s="843" t="s">
        <v>220</v>
      </c>
      <c r="C90" s="849" t="s">
        <v>274</v>
      </c>
      <c r="D90" s="845">
        <v>95</v>
      </c>
      <c r="E90" s="845">
        <v>60</v>
      </c>
      <c r="F90" s="845">
        <v>28</v>
      </c>
      <c r="G90" s="845">
        <f t="shared" si="8"/>
        <v>7</v>
      </c>
      <c r="H90" s="846"/>
      <c r="I90" s="847">
        <f t="shared" si="6"/>
        <v>0.63157894736842102</v>
      </c>
      <c r="J90" s="847">
        <f t="shared" si="7"/>
        <v>0.29473684210526313</v>
      </c>
    </row>
    <row r="91" spans="1:10">
      <c r="A91" s="842" t="s">
        <v>221</v>
      </c>
      <c r="B91" s="843" t="s">
        <v>222</v>
      </c>
      <c r="C91" s="849" t="s">
        <v>274</v>
      </c>
      <c r="D91" s="845">
        <v>44</v>
      </c>
      <c r="E91" s="845">
        <v>23</v>
      </c>
      <c r="F91" s="845">
        <v>18</v>
      </c>
      <c r="G91" s="845">
        <f t="shared" si="8"/>
        <v>3</v>
      </c>
      <c r="H91" s="846"/>
      <c r="I91" s="847">
        <f t="shared" si="6"/>
        <v>0.52272727272727271</v>
      </c>
      <c r="J91" s="847">
        <f t="shared" si="7"/>
        <v>0.40909090909090912</v>
      </c>
    </row>
    <row r="92" spans="1:10">
      <c r="A92" s="848" t="s">
        <v>225</v>
      </c>
      <c r="B92" s="843" t="s">
        <v>226</v>
      </c>
      <c r="C92" s="849" t="s">
        <v>271</v>
      </c>
      <c r="D92" s="845">
        <v>0</v>
      </c>
      <c r="E92" s="845">
        <v>0</v>
      </c>
      <c r="F92" s="845">
        <v>0</v>
      </c>
      <c r="G92" s="845">
        <f t="shared" si="8"/>
        <v>0</v>
      </c>
      <c r="H92" s="846"/>
      <c r="I92" s="847" t="s">
        <v>293</v>
      </c>
      <c r="J92" s="847" t="s">
        <v>293</v>
      </c>
    </row>
    <row r="93" spans="1:10">
      <c r="A93" s="842" t="s">
        <v>227</v>
      </c>
      <c r="B93" s="843" t="s">
        <v>228</v>
      </c>
      <c r="C93" s="849" t="s">
        <v>271</v>
      </c>
      <c r="D93" s="845">
        <v>6</v>
      </c>
      <c r="E93" s="845">
        <v>2</v>
      </c>
      <c r="F93" s="845">
        <v>3</v>
      </c>
      <c r="G93" s="845">
        <f t="shared" si="8"/>
        <v>1</v>
      </c>
      <c r="H93" s="846"/>
      <c r="I93" s="847">
        <f t="shared" ref="I93:I125" si="9">+E93/D93</f>
        <v>0.33333333333333331</v>
      </c>
      <c r="J93" s="847">
        <f t="shared" ref="J93:J125" si="10">+F93/D93</f>
        <v>0.5</v>
      </c>
    </row>
    <row r="94" spans="1:10">
      <c r="A94" s="842" t="s">
        <v>229</v>
      </c>
      <c r="B94" s="843" t="s">
        <v>230</v>
      </c>
      <c r="C94" s="849" t="s">
        <v>275</v>
      </c>
      <c r="D94" s="845">
        <v>79</v>
      </c>
      <c r="E94" s="845">
        <v>76</v>
      </c>
      <c r="F94" s="845">
        <v>2</v>
      </c>
      <c r="G94" s="845">
        <f t="shared" si="8"/>
        <v>1</v>
      </c>
      <c r="H94" s="846"/>
      <c r="I94" s="847">
        <f t="shared" si="9"/>
        <v>0.96202531645569622</v>
      </c>
      <c r="J94" s="847">
        <f t="shared" si="10"/>
        <v>2.5316455696202531E-2</v>
      </c>
    </row>
    <row r="95" spans="1:10">
      <c r="A95" s="842" t="s">
        <v>233</v>
      </c>
      <c r="B95" s="843" t="s">
        <v>234</v>
      </c>
      <c r="C95" s="849" t="s">
        <v>274</v>
      </c>
      <c r="D95" s="845">
        <v>28</v>
      </c>
      <c r="E95" s="845">
        <v>21</v>
      </c>
      <c r="F95" s="845">
        <v>3</v>
      </c>
      <c r="G95" s="845">
        <f t="shared" si="8"/>
        <v>4</v>
      </c>
      <c r="H95" s="846"/>
      <c r="I95" s="847">
        <f t="shared" si="9"/>
        <v>0.75</v>
      </c>
      <c r="J95" s="847">
        <f t="shared" si="10"/>
        <v>0.10714285714285714</v>
      </c>
    </row>
    <row r="96" spans="1:10">
      <c r="A96" s="842" t="s">
        <v>235</v>
      </c>
      <c r="B96" s="843" t="s">
        <v>236</v>
      </c>
      <c r="C96" s="849" t="s">
        <v>275</v>
      </c>
      <c r="D96" s="845">
        <v>25</v>
      </c>
      <c r="E96" s="845">
        <v>25</v>
      </c>
      <c r="F96" s="845">
        <v>0</v>
      </c>
      <c r="G96" s="845">
        <f t="shared" si="8"/>
        <v>0</v>
      </c>
      <c r="H96" s="846"/>
      <c r="I96" s="847">
        <f t="shared" si="9"/>
        <v>1</v>
      </c>
      <c r="J96" s="847">
        <f t="shared" si="10"/>
        <v>0</v>
      </c>
    </row>
    <row r="97" spans="1:10">
      <c r="A97" s="842" t="s">
        <v>237</v>
      </c>
      <c r="B97" s="843" t="s">
        <v>238</v>
      </c>
      <c r="C97" s="849" t="s">
        <v>273</v>
      </c>
      <c r="D97" s="845">
        <v>1</v>
      </c>
      <c r="E97" s="845">
        <v>1</v>
      </c>
      <c r="F97" s="845">
        <v>0</v>
      </c>
      <c r="G97" s="845">
        <f t="shared" si="8"/>
        <v>0</v>
      </c>
      <c r="H97" s="846"/>
      <c r="I97" s="847">
        <f t="shared" si="9"/>
        <v>1</v>
      </c>
      <c r="J97" s="847">
        <f t="shared" si="10"/>
        <v>0</v>
      </c>
    </row>
    <row r="98" spans="1:10">
      <c r="A98" s="842" t="s">
        <v>243</v>
      </c>
      <c r="B98" s="843" t="s">
        <v>244</v>
      </c>
      <c r="C98" s="849" t="s">
        <v>275</v>
      </c>
      <c r="D98" s="845">
        <v>149</v>
      </c>
      <c r="E98" s="845">
        <v>142</v>
      </c>
      <c r="F98" s="845">
        <v>1</v>
      </c>
      <c r="G98" s="845">
        <f t="shared" si="8"/>
        <v>6</v>
      </c>
      <c r="H98" s="846"/>
      <c r="I98" s="847">
        <f t="shared" si="9"/>
        <v>0.95302013422818788</v>
      </c>
      <c r="J98" s="847">
        <f t="shared" si="10"/>
        <v>6.7114093959731542E-3</v>
      </c>
    </row>
    <row r="99" spans="1:10">
      <c r="A99" s="842" t="s">
        <v>245</v>
      </c>
      <c r="B99" s="843" t="s">
        <v>246</v>
      </c>
      <c r="C99" s="849" t="s">
        <v>275</v>
      </c>
      <c r="D99" s="845">
        <v>60</v>
      </c>
      <c r="E99" s="845">
        <v>49</v>
      </c>
      <c r="F99" s="845">
        <v>6</v>
      </c>
      <c r="G99" s="845">
        <f t="shared" si="8"/>
        <v>5</v>
      </c>
      <c r="H99" s="846"/>
      <c r="I99" s="847">
        <f t="shared" si="9"/>
        <v>0.81666666666666665</v>
      </c>
      <c r="J99" s="847">
        <f t="shared" si="10"/>
        <v>0.1</v>
      </c>
    </row>
    <row r="100" spans="1:10">
      <c r="A100" s="842" t="s">
        <v>247</v>
      </c>
      <c r="B100" s="843" t="s">
        <v>248</v>
      </c>
      <c r="C100" s="849" t="s">
        <v>271</v>
      </c>
      <c r="D100" s="845">
        <v>10</v>
      </c>
      <c r="E100" s="845">
        <v>6</v>
      </c>
      <c r="F100" s="845">
        <v>3</v>
      </c>
      <c r="G100" s="845">
        <f t="shared" si="8"/>
        <v>1</v>
      </c>
      <c r="H100" s="846"/>
      <c r="I100" s="847">
        <f t="shared" si="9"/>
        <v>0.6</v>
      </c>
      <c r="J100" s="847">
        <f t="shared" si="10"/>
        <v>0.3</v>
      </c>
    </row>
    <row r="101" spans="1:10">
      <c r="A101" s="842" t="s">
        <v>14</v>
      </c>
      <c r="B101" s="843" t="s">
        <v>15</v>
      </c>
      <c r="C101" s="849" t="s">
        <v>274</v>
      </c>
      <c r="D101" s="845">
        <v>119</v>
      </c>
      <c r="E101" s="845">
        <v>41</v>
      </c>
      <c r="F101" s="845">
        <v>69</v>
      </c>
      <c r="G101" s="845">
        <f t="shared" ref="G101:G125" si="11">D101-E101-F101</f>
        <v>9</v>
      </c>
      <c r="H101" s="846"/>
      <c r="I101" s="847">
        <f t="shared" si="9"/>
        <v>0.34453781512605042</v>
      </c>
      <c r="J101" s="847">
        <f t="shared" si="10"/>
        <v>0.57983193277310929</v>
      </c>
    </row>
    <row r="102" spans="1:10">
      <c r="A102" s="842" t="s">
        <v>35</v>
      </c>
      <c r="B102" s="843" t="s">
        <v>36</v>
      </c>
      <c r="C102" s="849" t="s">
        <v>275</v>
      </c>
      <c r="D102" s="845">
        <v>48</v>
      </c>
      <c r="E102" s="845">
        <v>43</v>
      </c>
      <c r="F102" s="845">
        <v>3</v>
      </c>
      <c r="G102" s="845">
        <f t="shared" si="11"/>
        <v>2</v>
      </c>
      <c r="H102" s="846"/>
      <c r="I102" s="847">
        <f t="shared" si="9"/>
        <v>0.89583333333333337</v>
      </c>
      <c r="J102" s="847">
        <f t="shared" si="10"/>
        <v>6.25E-2</v>
      </c>
    </row>
    <row r="103" spans="1:10">
      <c r="A103" s="842" t="s">
        <v>53</v>
      </c>
      <c r="B103" s="843" t="s">
        <v>54</v>
      </c>
      <c r="C103" s="849" t="s">
        <v>272</v>
      </c>
      <c r="D103" s="845">
        <v>131</v>
      </c>
      <c r="E103" s="845">
        <v>28</v>
      </c>
      <c r="F103" s="845">
        <v>76</v>
      </c>
      <c r="G103" s="845">
        <f t="shared" si="11"/>
        <v>27</v>
      </c>
      <c r="H103" s="846"/>
      <c r="I103" s="847">
        <f t="shared" si="9"/>
        <v>0.21374045801526717</v>
      </c>
      <c r="J103" s="847">
        <f t="shared" si="10"/>
        <v>0.58015267175572516</v>
      </c>
    </row>
    <row r="104" spans="1:10">
      <c r="A104" s="842" t="s">
        <v>55</v>
      </c>
      <c r="B104" s="843" t="s">
        <v>56</v>
      </c>
      <c r="C104" s="849" t="s">
        <v>271</v>
      </c>
      <c r="D104" s="845">
        <v>85</v>
      </c>
      <c r="E104" s="845">
        <v>40</v>
      </c>
      <c r="F104" s="845">
        <v>41</v>
      </c>
      <c r="G104" s="845">
        <f t="shared" si="11"/>
        <v>4</v>
      </c>
      <c r="H104" s="846"/>
      <c r="I104" s="847">
        <f t="shared" si="9"/>
        <v>0.47058823529411764</v>
      </c>
      <c r="J104" s="847">
        <f t="shared" si="10"/>
        <v>0.4823529411764706</v>
      </c>
    </row>
    <row r="105" spans="1:10">
      <c r="A105" s="842" t="s">
        <v>67</v>
      </c>
      <c r="B105" s="843" t="s">
        <v>68</v>
      </c>
      <c r="C105" s="849" t="s">
        <v>272</v>
      </c>
      <c r="D105" s="845">
        <v>57</v>
      </c>
      <c r="E105" s="845">
        <v>11</v>
      </c>
      <c r="F105" s="845">
        <v>41</v>
      </c>
      <c r="G105" s="845">
        <f t="shared" si="11"/>
        <v>5</v>
      </c>
      <c r="H105" s="846"/>
      <c r="I105" s="847">
        <f t="shared" si="9"/>
        <v>0.19298245614035087</v>
      </c>
      <c r="J105" s="847">
        <f t="shared" si="10"/>
        <v>0.7192982456140351</v>
      </c>
    </row>
    <row r="106" spans="1:10">
      <c r="A106" s="842" t="s">
        <v>83</v>
      </c>
      <c r="B106" s="843" t="s">
        <v>84</v>
      </c>
      <c r="C106" s="849" t="s">
        <v>271</v>
      </c>
      <c r="D106" s="845">
        <v>7</v>
      </c>
      <c r="E106" s="845">
        <v>3</v>
      </c>
      <c r="F106" s="845">
        <v>4</v>
      </c>
      <c r="G106" s="845">
        <f t="shared" si="11"/>
        <v>0</v>
      </c>
      <c r="H106" s="846"/>
      <c r="I106" s="847">
        <f t="shared" si="9"/>
        <v>0.42857142857142855</v>
      </c>
      <c r="J106" s="847">
        <f t="shared" si="10"/>
        <v>0.5714285714285714</v>
      </c>
    </row>
    <row r="107" spans="1:10">
      <c r="A107" s="842" t="s">
        <v>89</v>
      </c>
      <c r="B107" s="843" t="s">
        <v>90</v>
      </c>
      <c r="C107" s="849" t="s">
        <v>274</v>
      </c>
      <c r="D107" s="845">
        <v>39</v>
      </c>
      <c r="E107" s="845">
        <v>20</v>
      </c>
      <c r="F107" s="845">
        <v>15</v>
      </c>
      <c r="G107" s="845">
        <f t="shared" si="11"/>
        <v>4</v>
      </c>
      <c r="H107" s="846"/>
      <c r="I107" s="847">
        <f t="shared" si="9"/>
        <v>0.51282051282051277</v>
      </c>
      <c r="J107" s="847">
        <f t="shared" si="10"/>
        <v>0.38461538461538464</v>
      </c>
    </row>
    <row r="108" spans="1:10">
      <c r="A108" s="848" t="s">
        <v>91</v>
      </c>
      <c r="B108" s="843" t="s">
        <v>92</v>
      </c>
      <c r="C108" s="849" t="s">
        <v>275</v>
      </c>
      <c r="D108" s="845">
        <v>1</v>
      </c>
      <c r="E108" s="845">
        <v>0</v>
      </c>
      <c r="F108" s="845">
        <v>1</v>
      </c>
      <c r="G108" s="845">
        <f t="shared" si="11"/>
        <v>0</v>
      </c>
      <c r="H108" s="846"/>
      <c r="I108" s="847">
        <f t="shared" si="9"/>
        <v>0</v>
      </c>
      <c r="J108" s="847">
        <f t="shared" si="10"/>
        <v>1</v>
      </c>
    </row>
    <row r="109" spans="1:10">
      <c r="A109" s="842" t="s">
        <v>107</v>
      </c>
      <c r="B109" s="843" t="s">
        <v>108</v>
      </c>
      <c r="C109" s="849" t="s">
        <v>271</v>
      </c>
      <c r="D109" s="845">
        <v>33</v>
      </c>
      <c r="E109" s="845">
        <v>5</v>
      </c>
      <c r="F109" s="845">
        <v>24</v>
      </c>
      <c r="G109" s="845">
        <f t="shared" si="11"/>
        <v>4</v>
      </c>
      <c r="H109" s="846"/>
      <c r="I109" s="847">
        <f t="shared" si="9"/>
        <v>0.15151515151515152</v>
      </c>
      <c r="J109" s="847">
        <f t="shared" si="10"/>
        <v>0.72727272727272729</v>
      </c>
    </row>
    <row r="110" spans="1:10">
      <c r="A110" s="842" t="s">
        <v>117</v>
      </c>
      <c r="B110" s="843" t="s">
        <v>118</v>
      </c>
      <c r="C110" s="849" t="s">
        <v>273</v>
      </c>
      <c r="D110" s="845">
        <v>38</v>
      </c>
      <c r="E110" s="845">
        <v>13</v>
      </c>
      <c r="F110" s="845">
        <v>23</v>
      </c>
      <c r="G110" s="845">
        <f t="shared" si="11"/>
        <v>2</v>
      </c>
      <c r="H110" s="846"/>
      <c r="I110" s="847">
        <f t="shared" si="9"/>
        <v>0.34210526315789475</v>
      </c>
      <c r="J110" s="847">
        <f t="shared" si="10"/>
        <v>0.60526315789473684</v>
      </c>
    </row>
    <row r="111" spans="1:10">
      <c r="A111" s="842" t="s">
        <v>139</v>
      </c>
      <c r="B111" s="843" t="s">
        <v>140</v>
      </c>
      <c r="C111" s="849" t="s">
        <v>272</v>
      </c>
      <c r="D111" s="845">
        <v>145</v>
      </c>
      <c r="E111" s="845">
        <v>47</v>
      </c>
      <c r="F111" s="845">
        <v>83</v>
      </c>
      <c r="G111" s="845">
        <f t="shared" si="11"/>
        <v>15</v>
      </c>
      <c r="H111" s="846"/>
      <c r="I111" s="847">
        <f t="shared" si="9"/>
        <v>0.32413793103448274</v>
      </c>
      <c r="J111" s="847">
        <f t="shared" si="10"/>
        <v>0.57241379310344831</v>
      </c>
    </row>
    <row r="112" spans="1:10">
      <c r="A112" s="842" t="s">
        <v>143</v>
      </c>
      <c r="B112" s="843" t="s">
        <v>144</v>
      </c>
      <c r="C112" s="849" t="s">
        <v>274</v>
      </c>
      <c r="D112" s="845">
        <v>9</v>
      </c>
      <c r="E112" s="845">
        <v>5</v>
      </c>
      <c r="F112" s="845">
        <v>3</v>
      </c>
      <c r="G112" s="845">
        <f t="shared" si="11"/>
        <v>1</v>
      </c>
      <c r="H112" s="846"/>
      <c r="I112" s="847">
        <f t="shared" si="9"/>
        <v>0.55555555555555558</v>
      </c>
      <c r="J112" s="847">
        <f t="shared" si="10"/>
        <v>0.33333333333333331</v>
      </c>
    </row>
    <row r="113" spans="1:10">
      <c r="A113" s="848" t="s">
        <v>145</v>
      </c>
      <c r="B113" s="843" t="s">
        <v>146</v>
      </c>
      <c r="C113" s="849" t="s">
        <v>274</v>
      </c>
      <c r="D113" s="845">
        <v>3</v>
      </c>
      <c r="E113" s="845">
        <v>3</v>
      </c>
      <c r="F113" s="845">
        <v>0</v>
      </c>
      <c r="G113" s="845">
        <f t="shared" si="11"/>
        <v>0</v>
      </c>
      <c r="H113" s="846"/>
      <c r="I113" s="847">
        <f t="shared" si="9"/>
        <v>1</v>
      </c>
      <c r="J113" s="847">
        <f t="shared" si="10"/>
        <v>0</v>
      </c>
    </row>
    <row r="114" spans="1:10">
      <c r="A114" s="842" t="s">
        <v>159</v>
      </c>
      <c r="B114" s="843" t="s">
        <v>160</v>
      </c>
      <c r="C114" s="849" t="s">
        <v>271</v>
      </c>
      <c r="D114" s="845">
        <v>138</v>
      </c>
      <c r="E114" s="845">
        <v>27</v>
      </c>
      <c r="F114" s="845">
        <v>88</v>
      </c>
      <c r="G114" s="845">
        <f t="shared" si="11"/>
        <v>23</v>
      </c>
      <c r="H114" s="846"/>
      <c r="I114" s="847">
        <f t="shared" si="9"/>
        <v>0.19565217391304349</v>
      </c>
      <c r="J114" s="847">
        <f t="shared" si="10"/>
        <v>0.6376811594202898</v>
      </c>
    </row>
    <row r="115" spans="1:10">
      <c r="A115" s="842" t="s">
        <v>161</v>
      </c>
      <c r="B115" s="843" t="s">
        <v>162</v>
      </c>
      <c r="C115" s="849" t="s">
        <v>271</v>
      </c>
      <c r="D115" s="845">
        <v>255</v>
      </c>
      <c r="E115" s="845">
        <v>47</v>
      </c>
      <c r="F115" s="845">
        <v>194</v>
      </c>
      <c r="G115" s="845">
        <f t="shared" si="11"/>
        <v>14</v>
      </c>
      <c r="H115" s="846"/>
      <c r="I115" s="847">
        <f t="shared" si="9"/>
        <v>0.18431372549019609</v>
      </c>
      <c r="J115" s="847">
        <f t="shared" si="10"/>
        <v>0.76078431372549016</v>
      </c>
    </row>
    <row r="116" spans="1:10">
      <c r="A116" s="842" t="s">
        <v>167</v>
      </c>
      <c r="B116" s="843" t="s">
        <v>168</v>
      </c>
      <c r="C116" s="849" t="s">
        <v>275</v>
      </c>
      <c r="D116" s="845">
        <v>15</v>
      </c>
      <c r="E116" s="845">
        <v>11</v>
      </c>
      <c r="F116" s="845">
        <v>1</v>
      </c>
      <c r="G116" s="845">
        <f t="shared" si="11"/>
        <v>3</v>
      </c>
      <c r="H116" s="846"/>
      <c r="I116" s="847">
        <f t="shared" si="9"/>
        <v>0.73333333333333328</v>
      </c>
      <c r="J116" s="847">
        <f t="shared" si="10"/>
        <v>6.6666666666666666E-2</v>
      </c>
    </row>
    <row r="117" spans="1:10">
      <c r="A117" s="842" t="s">
        <v>177</v>
      </c>
      <c r="B117" s="843" t="s">
        <v>178</v>
      </c>
      <c r="C117" s="849" t="s">
        <v>273</v>
      </c>
      <c r="D117" s="845">
        <v>57</v>
      </c>
      <c r="E117" s="845">
        <v>10</v>
      </c>
      <c r="F117" s="845">
        <v>39</v>
      </c>
      <c r="G117" s="845">
        <f t="shared" si="11"/>
        <v>8</v>
      </c>
      <c r="H117" s="846"/>
      <c r="I117" s="847">
        <f t="shared" si="9"/>
        <v>0.17543859649122806</v>
      </c>
      <c r="J117" s="847">
        <f t="shared" si="10"/>
        <v>0.68421052631578949</v>
      </c>
    </row>
    <row r="118" spans="1:10">
      <c r="A118" s="842" t="s">
        <v>181</v>
      </c>
      <c r="B118" s="843" t="s">
        <v>182</v>
      </c>
      <c r="C118" s="849" t="s">
        <v>271</v>
      </c>
      <c r="D118" s="845">
        <v>115</v>
      </c>
      <c r="E118" s="845">
        <v>13</v>
      </c>
      <c r="F118" s="845">
        <v>94</v>
      </c>
      <c r="G118" s="845">
        <f t="shared" si="11"/>
        <v>8</v>
      </c>
      <c r="H118" s="846"/>
      <c r="I118" s="847">
        <f t="shared" si="9"/>
        <v>0.11304347826086956</v>
      </c>
      <c r="J118" s="847">
        <f t="shared" si="10"/>
        <v>0.81739130434782614</v>
      </c>
    </row>
    <row r="119" spans="1:10">
      <c r="A119" s="842" t="s">
        <v>193</v>
      </c>
      <c r="B119" s="843" t="s">
        <v>194</v>
      </c>
      <c r="C119" s="849" t="s">
        <v>275</v>
      </c>
      <c r="D119" s="845">
        <v>23</v>
      </c>
      <c r="E119" s="845">
        <v>17</v>
      </c>
      <c r="F119" s="845">
        <v>0</v>
      </c>
      <c r="G119" s="845">
        <f t="shared" si="11"/>
        <v>6</v>
      </c>
      <c r="H119" s="846"/>
      <c r="I119" s="847">
        <f t="shared" si="9"/>
        <v>0.73913043478260865</v>
      </c>
      <c r="J119" s="847">
        <f t="shared" si="10"/>
        <v>0</v>
      </c>
    </row>
    <row r="120" spans="1:10">
      <c r="A120" s="842" t="s">
        <v>197</v>
      </c>
      <c r="B120" s="843" t="s">
        <v>198</v>
      </c>
      <c r="C120" s="849" t="s">
        <v>273</v>
      </c>
      <c r="D120" s="845">
        <v>199</v>
      </c>
      <c r="E120" s="845">
        <v>20</v>
      </c>
      <c r="F120" s="845">
        <v>164</v>
      </c>
      <c r="G120" s="845">
        <f t="shared" si="11"/>
        <v>15</v>
      </c>
      <c r="H120" s="846"/>
      <c r="I120" s="847">
        <f t="shared" si="9"/>
        <v>0.10050251256281408</v>
      </c>
      <c r="J120" s="847">
        <f t="shared" si="10"/>
        <v>0.82412060301507539</v>
      </c>
    </row>
    <row r="121" spans="1:10">
      <c r="A121" s="842" t="s">
        <v>201</v>
      </c>
      <c r="B121" s="843" t="s">
        <v>202</v>
      </c>
      <c r="C121" s="849" t="s">
        <v>272</v>
      </c>
      <c r="D121" s="845">
        <v>221</v>
      </c>
      <c r="E121" s="845">
        <v>110</v>
      </c>
      <c r="F121" s="845">
        <v>91</v>
      </c>
      <c r="G121" s="845">
        <f t="shared" si="11"/>
        <v>20</v>
      </c>
      <c r="H121" s="846"/>
      <c r="I121" s="847">
        <f t="shared" si="9"/>
        <v>0.49773755656108598</v>
      </c>
      <c r="J121" s="847">
        <f t="shared" si="10"/>
        <v>0.41176470588235292</v>
      </c>
    </row>
    <row r="122" spans="1:10">
      <c r="A122" s="842" t="s">
        <v>223</v>
      </c>
      <c r="B122" s="843" t="s">
        <v>224</v>
      </c>
      <c r="C122" s="849" t="s">
        <v>271</v>
      </c>
      <c r="D122" s="845">
        <v>33</v>
      </c>
      <c r="E122" s="845">
        <v>7</v>
      </c>
      <c r="F122" s="845">
        <v>26</v>
      </c>
      <c r="G122" s="845">
        <f t="shared" si="11"/>
        <v>0</v>
      </c>
      <c r="H122" s="846"/>
      <c r="I122" s="847">
        <f t="shared" si="9"/>
        <v>0.21212121212121213</v>
      </c>
      <c r="J122" s="847">
        <f t="shared" si="10"/>
        <v>0.78787878787878785</v>
      </c>
    </row>
    <row r="123" spans="1:10">
      <c r="A123" s="842" t="s">
        <v>231</v>
      </c>
      <c r="B123" s="843" t="s">
        <v>232</v>
      </c>
      <c r="C123" s="849" t="s">
        <v>271</v>
      </c>
      <c r="D123" s="845">
        <v>233</v>
      </c>
      <c r="E123" s="845">
        <v>114</v>
      </c>
      <c r="F123" s="845">
        <v>94</v>
      </c>
      <c r="G123" s="845">
        <f t="shared" si="11"/>
        <v>25</v>
      </c>
      <c r="H123" s="846"/>
      <c r="I123" s="847">
        <f t="shared" si="9"/>
        <v>0.48927038626609443</v>
      </c>
      <c r="J123" s="847">
        <f t="shared" si="10"/>
        <v>0.40343347639484978</v>
      </c>
    </row>
    <row r="124" spans="1:10">
      <c r="A124" s="842" t="s">
        <v>239</v>
      </c>
      <c r="B124" s="843" t="s">
        <v>240</v>
      </c>
      <c r="C124" s="849" t="s">
        <v>271</v>
      </c>
      <c r="D124" s="845">
        <v>6</v>
      </c>
      <c r="E124" s="845">
        <v>4</v>
      </c>
      <c r="F124" s="845">
        <v>2</v>
      </c>
      <c r="G124" s="845">
        <f t="shared" si="11"/>
        <v>0</v>
      </c>
      <c r="H124" s="846"/>
      <c r="I124" s="847">
        <f t="shared" si="9"/>
        <v>0.66666666666666663</v>
      </c>
      <c r="J124" s="847">
        <f t="shared" si="10"/>
        <v>0.33333333333333331</v>
      </c>
    </row>
    <row r="125" spans="1:10">
      <c r="A125" s="850" t="s">
        <v>241</v>
      </c>
      <c r="B125" s="851" t="s">
        <v>242</v>
      </c>
      <c r="C125" s="860" t="s">
        <v>274</v>
      </c>
      <c r="D125" s="852">
        <v>20</v>
      </c>
      <c r="E125" s="852">
        <v>17</v>
      </c>
      <c r="F125" s="852">
        <v>1</v>
      </c>
      <c r="G125" s="853">
        <f t="shared" si="11"/>
        <v>2</v>
      </c>
      <c r="H125" s="854"/>
      <c r="I125" s="855">
        <f t="shared" si="9"/>
        <v>0.85</v>
      </c>
      <c r="J125" s="855">
        <f t="shared" si="10"/>
        <v>0.05</v>
      </c>
    </row>
    <row r="127" spans="1:10" ht="15" customHeight="1">
      <c r="A127" s="1672" t="s">
        <v>1118</v>
      </c>
      <c r="B127" s="1672"/>
      <c r="C127" s="1672"/>
      <c r="D127" s="1672"/>
      <c r="E127" s="1672"/>
      <c r="F127" s="1672"/>
      <c r="G127" s="1672"/>
      <c r="H127" s="1672"/>
      <c r="I127" s="1672"/>
      <c r="J127" s="1672"/>
    </row>
    <row r="128" spans="1:10" ht="15" customHeight="1">
      <c r="A128" s="859"/>
      <c r="B128" s="859"/>
      <c r="C128" s="859"/>
      <c r="D128" s="859"/>
      <c r="E128" s="859"/>
      <c r="F128" s="859"/>
      <c r="G128" s="859"/>
      <c r="H128" s="859"/>
      <c r="I128" s="859"/>
      <c r="J128" s="859"/>
    </row>
    <row r="129" spans="1:10" ht="15" customHeight="1">
      <c r="A129" s="1673" t="s">
        <v>249</v>
      </c>
      <c r="B129" s="1673"/>
      <c r="C129" s="1673"/>
      <c r="D129" s="1673"/>
      <c r="E129" s="1673"/>
      <c r="F129" s="1673"/>
      <c r="G129" s="1673"/>
      <c r="H129" s="1673"/>
      <c r="I129" s="1673"/>
      <c r="J129" s="1673"/>
    </row>
    <row r="130" spans="1:10" ht="15" customHeight="1">
      <c r="A130" s="856" t="s">
        <v>250</v>
      </c>
      <c r="B130" s="857" t="s">
        <v>251</v>
      </c>
      <c r="C130" s="857"/>
      <c r="D130" s="858"/>
      <c r="E130" s="858"/>
      <c r="F130" s="858"/>
      <c r="G130" s="858"/>
      <c r="H130" s="858"/>
      <c r="I130" s="858"/>
      <c r="J130" s="858"/>
    </row>
  </sheetData>
  <autoFilter ref="A4:C4"/>
  <mergeCells count="5">
    <mergeCell ref="I3:J3"/>
    <mergeCell ref="A127:J127"/>
    <mergeCell ref="A129:J129"/>
    <mergeCell ref="D3:G3"/>
    <mergeCell ref="A1:D1"/>
  </mergeCells>
  <hyperlinks>
    <hyperlink ref="B130" r:id="rId1"/>
  </hyperlinks>
  <pageMargins left="1" right="0" top="0.4" bottom="0.45" header="0.3" footer="0.3"/>
  <pageSetup orientation="portrait" r:id="rId2"/>
  <headerFooter>
    <oddFooter>&amp;C&amp;"Courier New,Regular"&amp;10&amp;P of &amp;N</oddFooter>
  </headerFooter>
</worksheet>
</file>

<file path=xl/worksheets/sheet19.xml><?xml version="1.0" encoding="utf-8"?>
<worksheet xmlns="http://schemas.openxmlformats.org/spreadsheetml/2006/main" xmlns:r="http://schemas.openxmlformats.org/officeDocument/2006/relationships">
  <dimension ref="A1:N130"/>
  <sheetViews>
    <sheetView workbookViewId="0">
      <pane ySplit="4" topLeftCell="A5" activePane="bottomLeft" state="frozen"/>
      <selection pane="bottomLeft" sqref="A1:IV65536"/>
    </sheetView>
  </sheetViews>
  <sheetFormatPr defaultRowHeight="15.75"/>
  <cols>
    <col min="1" max="1" width="11" style="511" customWidth="1"/>
    <col min="2" max="2" width="25.625" style="511" bestFit="1" customWidth="1"/>
    <col min="3" max="3" width="14.25" style="511" customWidth="1"/>
    <col min="4" max="7" width="7.5" style="511" customWidth="1"/>
    <col min="8" max="11" width="12.25" style="511" customWidth="1"/>
    <col min="12" max="16384" width="9" style="511"/>
  </cols>
  <sheetData>
    <row r="1" spans="1:12">
      <c r="A1" s="199" t="s">
        <v>1075</v>
      </c>
    </row>
    <row r="3" spans="1:12" ht="32.25" customHeight="1">
      <c r="A3" s="1001" t="s">
        <v>4</v>
      </c>
      <c r="B3" s="1002" t="s">
        <v>5</v>
      </c>
      <c r="C3" s="1003" t="s">
        <v>252</v>
      </c>
      <c r="D3" s="1004" t="s">
        <v>289</v>
      </c>
      <c r="E3" s="1005" t="s">
        <v>2</v>
      </c>
      <c r="F3" s="1006" t="s">
        <v>608</v>
      </c>
      <c r="G3" s="1006" t="s">
        <v>609</v>
      </c>
      <c r="H3" s="1007"/>
      <c r="I3" s="1007"/>
      <c r="J3" s="1007"/>
      <c r="K3" s="1007"/>
    </row>
    <row r="4" spans="1:12">
      <c r="A4" s="1008">
        <v>999</v>
      </c>
      <c r="B4" s="1009" t="s">
        <v>9</v>
      </c>
      <c r="C4" s="1009"/>
      <c r="D4" s="1010">
        <f>SUM(D5:D124)</f>
        <v>639</v>
      </c>
      <c r="E4" s="1010">
        <f>SUM(E5:E124)</f>
        <v>314</v>
      </c>
      <c r="F4" s="1010">
        <f>SUM(F5:F124)</f>
        <v>201</v>
      </c>
      <c r="G4" s="1010">
        <f>SUM(G5:G124)</f>
        <v>124</v>
      </c>
      <c r="H4" s="1007"/>
      <c r="I4" s="1007"/>
      <c r="J4" s="1007"/>
      <c r="K4" s="1007"/>
    </row>
    <row r="5" spans="1:12" ht="16.5" customHeight="1">
      <c r="A5" s="1011" t="s">
        <v>10</v>
      </c>
      <c r="B5" s="1012" t="s">
        <v>11</v>
      </c>
      <c r="C5" s="844" t="s">
        <v>271</v>
      </c>
      <c r="D5" s="1013">
        <v>1</v>
      </c>
      <c r="E5" s="1014">
        <v>0</v>
      </c>
      <c r="F5" s="1015">
        <v>1</v>
      </c>
      <c r="G5" s="1015">
        <v>0</v>
      </c>
      <c r="H5" s="1016"/>
      <c r="I5" s="1017"/>
      <c r="J5" s="1016"/>
      <c r="K5" s="1016"/>
      <c r="L5" s="1016"/>
    </row>
    <row r="6" spans="1:12" ht="16.5" customHeight="1">
      <c r="A6" s="1011" t="s">
        <v>12</v>
      </c>
      <c r="B6" s="1012" t="s">
        <v>13</v>
      </c>
      <c r="C6" s="844" t="s">
        <v>272</v>
      </c>
      <c r="D6" s="1013">
        <v>2</v>
      </c>
      <c r="E6" s="1014">
        <v>0</v>
      </c>
      <c r="F6" s="1015">
        <v>2</v>
      </c>
      <c r="G6" s="1015">
        <v>0</v>
      </c>
      <c r="H6" s="1016"/>
      <c r="I6" s="1018"/>
      <c r="J6" s="1016"/>
      <c r="K6" s="1016"/>
      <c r="L6" s="1016"/>
    </row>
    <row r="7" spans="1:12" ht="16.5" customHeight="1">
      <c r="A7" s="1011" t="s">
        <v>16</v>
      </c>
      <c r="B7" s="1012" t="s">
        <v>307</v>
      </c>
      <c r="C7" s="844" t="s">
        <v>272</v>
      </c>
      <c r="D7" s="1013">
        <v>5</v>
      </c>
      <c r="E7" s="1014">
        <v>1</v>
      </c>
      <c r="F7" s="1015">
        <v>3</v>
      </c>
      <c r="G7" s="1015">
        <v>1</v>
      </c>
      <c r="H7" s="1016"/>
      <c r="I7" s="1018"/>
      <c r="J7" s="1016"/>
      <c r="K7" s="1019"/>
      <c r="L7" s="1016"/>
    </row>
    <row r="8" spans="1:12" ht="16.5" customHeight="1">
      <c r="A8" s="1011" t="s">
        <v>18</v>
      </c>
      <c r="B8" s="1012" t="s">
        <v>19</v>
      </c>
      <c r="C8" s="844" t="s">
        <v>273</v>
      </c>
      <c r="D8" s="1013">
        <v>0</v>
      </c>
      <c r="E8" s="1014">
        <v>0</v>
      </c>
      <c r="F8" s="1015">
        <v>0</v>
      </c>
      <c r="G8" s="1015">
        <v>0</v>
      </c>
      <c r="H8" s="1016"/>
      <c r="I8" s="1019"/>
      <c r="J8" s="1016"/>
      <c r="K8" s="1016"/>
      <c r="L8" s="1016"/>
    </row>
    <row r="9" spans="1:12" ht="16.5" customHeight="1">
      <c r="A9" s="1011" t="s">
        <v>20</v>
      </c>
      <c r="B9" s="1012" t="s">
        <v>21</v>
      </c>
      <c r="C9" s="844" t="s">
        <v>272</v>
      </c>
      <c r="D9" s="1013">
        <v>0</v>
      </c>
      <c r="E9" s="1014">
        <v>0</v>
      </c>
      <c r="F9" s="1015">
        <v>0</v>
      </c>
      <c r="G9" s="1015">
        <v>0</v>
      </c>
      <c r="H9" s="1016"/>
      <c r="I9" s="1020"/>
      <c r="J9" s="1016"/>
      <c r="K9" s="1016"/>
      <c r="L9" s="1016"/>
    </row>
    <row r="10" spans="1:12" ht="16.5" customHeight="1">
      <c r="A10" s="1011" t="s">
        <v>22</v>
      </c>
      <c r="B10" s="1012" t="s">
        <v>23</v>
      </c>
      <c r="C10" s="844" t="s">
        <v>272</v>
      </c>
      <c r="D10" s="1013">
        <v>0</v>
      </c>
      <c r="E10" s="1014">
        <v>0</v>
      </c>
      <c r="F10" s="1015">
        <v>0</v>
      </c>
      <c r="G10" s="1021">
        <v>0</v>
      </c>
      <c r="H10" s="1016"/>
      <c r="I10" s="1019"/>
      <c r="J10" s="1016"/>
      <c r="K10" s="1016"/>
      <c r="L10" s="1016"/>
    </row>
    <row r="11" spans="1:12" ht="16.5" customHeight="1">
      <c r="A11" s="1011" t="s">
        <v>24</v>
      </c>
      <c r="B11" s="1012" t="s">
        <v>25</v>
      </c>
      <c r="C11" s="844" t="s">
        <v>274</v>
      </c>
      <c r="D11" s="1013">
        <v>12</v>
      </c>
      <c r="E11" s="1014">
        <v>0</v>
      </c>
      <c r="F11" s="1015">
        <v>6</v>
      </c>
      <c r="G11" s="1015">
        <v>6</v>
      </c>
      <c r="H11" s="1016"/>
      <c r="I11" s="1020"/>
      <c r="J11" s="1016"/>
      <c r="K11" s="1020"/>
      <c r="L11" s="1016"/>
    </row>
    <row r="12" spans="1:12" ht="16.5" customHeight="1">
      <c r="A12" s="1011" t="s">
        <v>26</v>
      </c>
      <c r="B12" s="1012" t="s">
        <v>908</v>
      </c>
      <c r="C12" s="844" t="s">
        <v>272</v>
      </c>
      <c r="D12" s="1013">
        <v>18</v>
      </c>
      <c r="E12" s="1014">
        <v>14</v>
      </c>
      <c r="F12" s="1015">
        <v>2</v>
      </c>
      <c r="G12" s="1015">
        <v>2</v>
      </c>
      <c r="H12" s="1016"/>
      <c r="I12" s="1018"/>
      <c r="J12" s="1016"/>
      <c r="K12" s="1019"/>
      <c r="L12" s="1016"/>
    </row>
    <row r="13" spans="1:12" ht="16.5" customHeight="1">
      <c r="A13" s="1011" t="s">
        <v>27</v>
      </c>
      <c r="B13" s="1012" t="s">
        <v>28</v>
      </c>
      <c r="C13" s="849" t="s">
        <v>272</v>
      </c>
      <c r="D13" s="1013">
        <v>0</v>
      </c>
      <c r="E13" s="1022">
        <v>0</v>
      </c>
      <c r="F13" s="1021">
        <v>0</v>
      </c>
      <c r="G13" s="1021">
        <v>0</v>
      </c>
      <c r="H13" s="1016"/>
      <c r="I13" s="1018"/>
      <c r="J13" s="1016"/>
      <c r="K13" s="1016"/>
      <c r="L13" s="1016"/>
    </row>
    <row r="14" spans="1:12" ht="16.5" customHeight="1">
      <c r="A14" s="1011" t="s">
        <v>29</v>
      </c>
      <c r="B14" s="1012" t="s">
        <v>329</v>
      </c>
      <c r="C14" s="849" t="s">
        <v>272</v>
      </c>
      <c r="D14" s="1013">
        <v>4</v>
      </c>
      <c r="E14" s="1014">
        <v>3</v>
      </c>
      <c r="F14" s="1015">
        <v>1</v>
      </c>
      <c r="G14" s="1015">
        <v>0</v>
      </c>
      <c r="H14" s="1023"/>
      <c r="I14" s="1018"/>
      <c r="J14" s="1016"/>
      <c r="K14" s="1016"/>
      <c r="L14" s="1016"/>
    </row>
    <row r="15" spans="1:12" ht="16.5" customHeight="1">
      <c r="A15" s="1011" t="s">
        <v>31</v>
      </c>
      <c r="B15" s="1012" t="s">
        <v>32</v>
      </c>
      <c r="C15" s="849" t="s">
        <v>275</v>
      </c>
      <c r="D15" s="1013">
        <v>4</v>
      </c>
      <c r="E15" s="1014">
        <v>4</v>
      </c>
      <c r="F15" s="1015">
        <v>0</v>
      </c>
      <c r="G15" s="1021">
        <v>0</v>
      </c>
      <c r="H15" s="1019"/>
      <c r="I15" s="1018"/>
      <c r="J15" s="1016"/>
      <c r="K15" s="1016"/>
      <c r="L15" s="1016"/>
    </row>
    <row r="16" spans="1:12" ht="16.5" customHeight="1">
      <c r="A16" s="1011" t="s">
        <v>33</v>
      </c>
      <c r="B16" s="1012" t="s">
        <v>34</v>
      </c>
      <c r="C16" s="849" t="s">
        <v>272</v>
      </c>
      <c r="D16" s="1013">
        <v>0</v>
      </c>
      <c r="E16" s="1014">
        <v>0</v>
      </c>
      <c r="F16" s="1015">
        <v>0</v>
      </c>
      <c r="G16" s="1015">
        <v>0</v>
      </c>
      <c r="H16" s="1016"/>
      <c r="I16" s="1019"/>
      <c r="J16" s="1016"/>
      <c r="K16" s="1016"/>
      <c r="L16" s="1016"/>
    </row>
    <row r="17" spans="1:12" ht="16.5" customHeight="1">
      <c r="A17" s="1011" t="s">
        <v>37</v>
      </c>
      <c r="B17" s="1012" t="s">
        <v>38</v>
      </c>
      <c r="C17" s="849" t="s">
        <v>271</v>
      </c>
      <c r="D17" s="1013">
        <v>0</v>
      </c>
      <c r="E17" s="1014">
        <v>0</v>
      </c>
      <c r="F17" s="1015">
        <v>0</v>
      </c>
      <c r="G17" s="1021">
        <v>0</v>
      </c>
      <c r="H17" s="1016"/>
      <c r="I17" s="1016"/>
      <c r="J17" s="1016"/>
      <c r="K17" s="1016"/>
      <c r="L17" s="1016"/>
    </row>
    <row r="18" spans="1:12" ht="16.5" customHeight="1">
      <c r="A18" s="1011" t="s">
        <v>39</v>
      </c>
      <c r="B18" s="1012" t="s">
        <v>40</v>
      </c>
      <c r="C18" s="849" t="s">
        <v>275</v>
      </c>
      <c r="D18" s="1013">
        <v>9</v>
      </c>
      <c r="E18" s="1014">
        <v>8</v>
      </c>
      <c r="F18" s="1015">
        <v>0</v>
      </c>
      <c r="G18" s="1015">
        <v>1</v>
      </c>
      <c r="H18" s="1016"/>
      <c r="I18" s="1018"/>
      <c r="J18" s="1016"/>
      <c r="K18" s="1016"/>
      <c r="L18" s="1016"/>
    </row>
    <row r="19" spans="1:12" ht="16.5" customHeight="1">
      <c r="A19" s="1011" t="s">
        <v>41</v>
      </c>
      <c r="B19" s="1012" t="s">
        <v>42</v>
      </c>
      <c r="C19" s="849" t="s">
        <v>273</v>
      </c>
      <c r="D19" s="1013">
        <v>1</v>
      </c>
      <c r="E19" s="1014">
        <v>0</v>
      </c>
      <c r="F19" s="1015">
        <v>1</v>
      </c>
      <c r="G19" s="1015">
        <v>0</v>
      </c>
      <c r="H19" s="1016"/>
      <c r="I19" s="1016"/>
      <c r="J19" s="1016"/>
      <c r="K19" s="1016"/>
      <c r="L19" s="1016"/>
    </row>
    <row r="20" spans="1:12" ht="16.5" customHeight="1">
      <c r="A20" s="1011" t="s">
        <v>43</v>
      </c>
      <c r="B20" s="1012" t="s">
        <v>44</v>
      </c>
      <c r="C20" s="849" t="s">
        <v>272</v>
      </c>
      <c r="D20" s="1013">
        <v>5</v>
      </c>
      <c r="E20" s="1014">
        <v>5</v>
      </c>
      <c r="F20" s="1015">
        <v>0</v>
      </c>
      <c r="G20" s="1015">
        <v>0</v>
      </c>
      <c r="H20" s="1023"/>
      <c r="I20" s="1018"/>
      <c r="J20" s="1016"/>
      <c r="K20" s="1016"/>
      <c r="L20" s="1016"/>
    </row>
    <row r="21" spans="1:12" ht="16.5" customHeight="1">
      <c r="A21" s="1011" t="s">
        <v>45</v>
      </c>
      <c r="B21" s="1012" t="s">
        <v>46</v>
      </c>
      <c r="C21" s="849" t="s">
        <v>273</v>
      </c>
      <c r="D21" s="1013">
        <v>0</v>
      </c>
      <c r="E21" s="1014">
        <v>0</v>
      </c>
      <c r="F21" s="1015">
        <v>0</v>
      </c>
      <c r="G21" s="1015">
        <v>0</v>
      </c>
      <c r="H21" s="1016"/>
      <c r="I21" s="1020"/>
      <c r="J21" s="1016"/>
      <c r="K21" s="1016"/>
      <c r="L21" s="1016"/>
    </row>
    <row r="22" spans="1:12" ht="16.5" customHeight="1">
      <c r="A22" s="1011" t="s">
        <v>47</v>
      </c>
      <c r="B22" s="1012" t="s">
        <v>48</v>
      </c>
      <c r="C22" s="849" t="s">
        <v>275</v>
      </c>
      <c r="D22" s="1013">
        <v>5</v>
      </c>
      <c r="E22" s="1014">
        <v>5</v>
      </c>
      <c r="F22" s="1015">
        <v>0</v>
      </c>
      <c r="G22" s="1021">
        <v>0</v>
      </c>
      <c r="H22" s="1019"/>
      <c r="I22" s="1018"/>
      <c r="J22" s="1016"/>
      <c r="K22" s="1016"/>
      <c r="L22" s="1016"/>
    </row>
    <row r="23" spans="1:12" ht="16.5" customHeight="1">
      <c r="A23" s="1011" t="s">
        <v>49</v>
      </c>
      <c r="B23" s="1012" t="s">
        <v>276</v>
      </c>
      <c r="C23" s="849" t="s">
        <v>273</v>
      </c>
      <c r="D23" s="1013">
        <v>0</v>
      </c>
      <c r="E23" s="1022">
        <v>0</v>
      </c>
      <c r="F23" s="1021">
        <v>0</v>
      </c>
      <c r="G23" s="1015">
        <v>0</v>
      </c>
      <c r="H23" s="1016"/>
      <c r="I23" s="1019"/>
      <c r="J23" s="1016"/>
      <c r="K23" s="1016"/>
      <c r="L23" s="1016"/>
    </row>
    <row r="24" spans="1:12" ht="16.5" customHeight="1">
      <c r="A24" s="1011" t="s">
        <v>51</v>
      </c>
      <c r="B24" s="1012" t="s">
        <v>52</v>
      </c>
      <c r="C24" s="849" t="s">
        <v>272</v>
      </c>
      <c r="D24" s="1013">
        <v>2</v>
      </c>
      <c r="E24" s="1014">
        <v>1</v>
      </c>
      <c r="F24" s="1015">
        <v>0</v>
      </c>
      <c r="G24" s="1015">
        <v>1</v>
      </c>
      <c r="H24" s="1016"/>
      <c r="I24" s="1018"/>
      <c r="J24" s="1016"/>
      <c r="K24" s="1016"/>
      <c r="L24" s="1016"/>
    </row>
    <row r="25" spans="1:12" ht="16.5" customHeight="1">
      <c r="A25" s="1011" t="s">
        <v>57</v>
      </c>
      <c r="B25" s="1012" t="s">
        <v>305</v>
      </c>
      <c r="C25" s="849" t="s">
        <v>273</v>
      </c>
      <c r="D25" s="1013">
        <v>6</v>
      </c>
      <c r="E25" s="1014">
        <v>2</v>
      </c>
      <c r="F25" s="1015">
        <v>3</v>
      </c>
      <c r="G25" s="1015">
        <v>1</v>
      </c>
      <c r="H25" s="1016"/>
      <c r="I25" s="1020"/>
      <c r="J25" s="1016"/>
      <c r="K25" s="1020"/>
      <c r="L25" s="1016"/>
    </row>
    <row r="26" spans="1:12" ht="16.5" customHeight="1">
      <c r="A26" s="1011" t="s">
        <v>59</v>
      </c>
      <c r="B26" s="1012" t="s">
        <v>60</v>
      </c>
      <c r="C26" s="849" t="s">
        <v>274</v>
      </c>
      <c r="D26" s="1024">
        <v>3</v>
      </c>
      <c r="E26" s="1025">
        <v>1</v>
      </c>
      <c r="F26" s="1021">
        <v>0</v>
      </c>
      <c r="G26" s="1021">
        <v>2</v>
      </c>
      <c r="H26" s="1016"/>
      <c r="I26" s="1019"/>
      <c r="J26" s="1016"/>
      <c r="K26" s="1016"/>
      <c r="L26" s="1016"/>
    </row>
    <row r="27" spans="1:12" ht="16.5" customHeight="1">
      <c r="A27" s="1011" t="s">
        <v>61</v>
      </c>
      <c r="B27" s="1012" t="s">
        <v>62</v>
      </c>
      <c r="C27" s="849" t="s">
        <v>272</v>
      </c>
      <c r="D27" s="1024">
        <v>2</v>
      </c>
      <c r="E27" s="1025">
        <v>2</v>
      </c>
      <c r="F27" s="1021">
        <v>0</v>
      </c>
      <c r="G27" s="1021">
        <v>0</v>
      </c>
      <c r="H27" s="1016"/>
      <c r="I27" s="1019"/>
      <c r="J27" s="1016"/>
      <c r="K27" s="1016"/>
      <c r="L27" s="1016"/>
    </row>
    <row r="28" spans="1:12" ht="16.5" customHeight="1">
      <c r="A28" s="1011" t="s">
        <v>63</v>
      </c>
      <c r="B28" s="1012" t="s">
        <v>64</v>
      </c>
      <c r="C28" s="849" t="s">
        <v>274</v>
      </c>
      <c r="D28" s="1013">
        <v>5</v>
      </c>
      <c r="E28" s="1014">
        <v>0</v>
      </c>
      <c r="F28" s="1015">
        <v>0</v>
      </c>
      <c r="G28" s="1015">
        <v>5</v>
      </c>
      <c r="H28" s="1016"/>
      <c r="I28" s="1018"/>
      <c r="J28" s="1016"/>
      <c r="K28" s="1016"/>
      <c r="L28" s="1016"/>
    </row>
    <row r="29" spans="1:12" ht="16.5" customHeight="1">
      <c r="A29" s="1011" t="s">
        <v>65</v>
      </c>
      <c r="B29" s="1012" t="s">
        <v>66</v>
      </c>
      <c r="C29" s="849" t="s">
        <v>273</v>
      </c>
      <c r="D29" s="1013">
        <v>0</v>
      </c>
      <c r="E29" s="1014">
        <v>0</v>
      </c>
      <c r="F29" s="1015">
        <v>0</v>
      </c>
      <c r="G29" s="1015">
        <v>0</v>
      </c>
      <c r="H29" s="1016"/>
      <c r="I29" s="1019"/>
      <c r="J29" s="1016"/>
      <c r="K29" s="1019"/>
      <c r="L29" s="1016"/>
    </row>
    <row r="30" spans="1:12" ht="16.5" customHeight="1">
      <c r="A30" s="1011" t="s">
        <v>69</v>
      </c>
      <c r="B30" s="1012" t="s">
        <v>70</v>
      </c>
      <c r="C30" s="849" t="s">
        <v>275</v>
      </c>
      <c r="D30" s="1013">
        <v>12</v>
      </c>
      <c r="E30" s="1014">
        <v>12</v>
      </c>
      <c r="F30" s="1015">
        <v>0</v>
      </c>
      <c r="G30" s="1015">
        <v>0</v>
      </c>
      <c r="H30" s="1016"/>
      <c r="I30" s="1016"/>
      <c r="J30" s="1016"/>
      <c r="K30" s="1016"/>
      <c r="L30" s="1016"/>
    </row>
    <row r="31" spans="1:12" ht="16.5" customHeight="1">
      <c r="A31" s="1011" t="s">
        <v>71</v>
      </c>
      <c r="B31" s="1012" t="s">
        <v>72</v>
      </c>
      <c r="C31" s="849" t="s">
        <v>271</v>
      </c>
      <c r="D31" s="1013">
        <v>1</v>
      </c>
      <c r="E31" s="1014">
        <v>0</v>
      </c>
      <c r="F31" s="1015">
        <v>1</v>
      </c>
      <c r="G31" s="1015">
        <v>0</v>
      </c>
      <c r="H31" s="1016"/>
      <c r="I31" s="1020"/>
      <c r="J31" s="1016"/>
      <c r="K31" s="1016"/>
      <c r="L31" s="1016"/>
    </row>
    <row r="32" spans="1:12" ht="16.5" customHeight="1">
      <c r="A32" s="1011" t="s">
        <v>73</v>
      </c>
      <c r="B32" s="1012" t="s">
        <v>74</v>
      </c>
      <c r="C32" s="849" t="s">
        <v>273</v>
      </c>
      <c r="D32" s="1013">
        <v>0</v>
      </c>
      <c r="E32" s="1022">
        <v>0</v>
      </c>
      <c r="F32" s="1021">
        <v>0</v>
      </c>
      <c r="G32" s="1015">
        <v>0</v>
      </c>
      <c r="H32" s="1016"/>
      <c r="I32" s="1019"/>
      <c r="J32" s="1016"/>
      <c r="K32" s="1020"/>
      <c r="L32" s="1016"/>
    </row>
    <row r="33" spans="1:12" ht="16.5" customHeight="1">
      <c r="A33" s="1011" t="s">
        <v>75</v>
      </c>
      <c r="B33" s="1012" t="s">
        <v>312</v>
      </c>
      <c r="C33" s="849" t="s">
        <v>274</v>
      </c>
      <c r="D33" s="1013">
        <v>14</v>
      </c>
      <c r="E33" s="1014">
        <v>5</v>
      </c>
      <c r="F33" s="1015">
        <v>4</v>
      </c>
      <c r="G33" s="1015">
        <v>5</v>
      </c>
      <c r="H33" s="1023"/>
      <c r="I33" s="1020"/>
      <c r="J33" s="1020"/>
      <c r="K33" s="1020"/>
      <c r="L33" s="1016"/>
    </row>
    <row r="34" spans="1:12" ht="16.5" customHeight="1">
      <c r="A34" s="1011" t="s">
        <v>77</v>
      </c>
      <c r="B34" s="1012" t="s">
        <v>78</v>
      </c>
      <c r="C34" s="849" t="s">
        <v>274</v>
      </c>
      <c r="D34" s="1013">
        <v>2</v>
      </c>
      <c r="E34" s="1014">
        <v>2</v>
      </c>
      <c r="F34" s="1015">
        <v>0</v>
      </c>
      <c r="G34" s="1015">
        <v>0</v>
      </c>
      <c r="H34" s="1016"/>
      <c r="I34" s="1018"/>
      <c r="J34" s="1016"/>
      <c r="K34" s="1016"/>
      <c r="L34" s="1016"/>
    </row>
    <row r="35" spans="1:12" ht="16.5" customHeight="1">
      <c r="A35" s="1011" t="s">
        <v>79</v>
      </c>
      <c r="B35" s="1012" t="s">
        <v>80</v>
      </c>
      <c r="C35" s="849" t="s">
        <v>275</v>
      </c>
      <c r="D35" s="1013">
        <v>1</v>
      </c>
      <c r="E35" s="1014">
        <v>1</v>
      </c>
      <c r="F35" s="1015">
        <v>0</v>
      </c>
      <c r="G35" s="1021">
        <v>0</v>
      </c>
      <c r="H35" s="1016"/>
      <c r="I35" s="1016"/>
      <c r="J35" s="1016"/>
      <c r="K35" s="1016"/>
      <c r="L35" s="1016"/>
    </row>
    <row r="36" spans="1:12" ht="16.5" customHeight="1">
      <c r="A36" s="1011" t="s">
        <v>81</v>
      </c>
      <c r="B36" s="1012" t="s">
        <v>82</v>
      </c>
      <c r="C36" s="849" t="s">
        <v>273</v>
      </c>
      <c r="D36" s="1013">
        <v>0</v>
      </c>
      <c r="E36" s="1014">
        <v>0</v>
      </c>
      <c r="F36" s="1015">
        <v>0</v>
      </c>
      <c r="G36" s="1015">
        <v>0</v>
      </c>
      <c r="H36" s="1016"/>
      <c r="I36" s="1019"/>
      <c r="J36" s="1016"/>
      <c r="K36" s="1016"/>
      <c r="L36" s="1016"/>
    </row>
    <row r="37" spans="1:12" ht="16.5" customHeight="1">
      <c r="A37" s="1011" t="s">
        <v>85</v>
      </c>
      <c r="B37" s="1012" t="s">
        <v>330</v>
      </c>
      <c r="C37" s="849" t="s">
        <v>272</v>
      </c>
      <c r="D37" s="1013">
        <v>12</v>
      </c>
      <c r="E37" s="1014">
        <v>8</v>
      </c>
      <c r="F37" s="1015">
        <v>1</v>
      </c>
      <c r="G37" s="1015">
        <v>3</v>
      </c>
      <c r="H37" s="1016"/>
      <c r="I37" s="1020"/>
      <c r="J37" s="1016"/>
      <c r="K37" s="1019"/>
      <c r="L37" s="1016"/>
    </row>
    <row r="38" spans="1:12" ht="16.5" customHeight="1">
      <c r="A38" s="1011" t="s">
        <v>87</v>
      </c>
      <c r="B38" s="1012" t="s">
        <v>88</v>
      </c>
      <c r="C38" s="849" t="s">
        <v>274</v>
      </c>
      <c r="D38" s="1013">
        <v>8</v>
      </c>
      <c r="E38" s="1014">
        <v>7</v>
      </c>
      <c r="F38" s="1015">
        <v>0</v>
      </c>
      <c r="G38" s="1015">
        <v>1</v>
      </c>
      <c r="H38" s="1019"/>
      <c r="I38" s="1018"/>
      <c r="J38" s="1019"/>
      <c r="K38" s="1018"/>
      <c r="L38" s="1016"/>
    </row>
    <row r="39" spans="1:12" ht="16.5" customHeight="1">
      <c r="A39" s="1011" t="s">
        <v>93</v>
      </c>
      <c r="B39" s="1012" t="s">
        <v>94</v>
      </c>
      <c r="C39" s="849" t="s">
        <v>275</v>
      </c>
      <c r="D39" s="1013">
        <v>3</v>
      </c>
      <c r="E39" s="1014">
        <v>3</v>
      </c>
      <c r="F39" s="1015">
        <v>0</v>
      </c>
      <c r="G39" s="1021">
        <v>0</v>
      </c>
      <c r="H39" s="1016"/>
      <c r="I39" s="1019"/>
      <c r="J39" s="1016"/>
      <c r="K39" s="1016"/>
      <c r="L39" s="1016"/>
    </row>
    <row r="40" spans="1:12" ht="16.5" customHeight="1">
      <c r="A40" s="1011" t="s">
        <v>95</v>
      </c>
      <c r="B40" s="1012" t="s">
        <v>96</v>
      </c>
      <c r="C40" s="849" t="s">
        <v>271</v>
      </c>
      <c r="D40" s="1013">
        <v>1</v>
      </c>
      <c r="E40" s="1014">
        <v>1</v>
      </c>
      <c r="F40" s="1015">
        <v>0</v>
      </c>
      <c r="G40" s="1015">
        <v>0</v>
      </c>
      <c r="H40" s="1016"/>
      <c r="I40" s="1020"/>
      <c r="J40" s="1016"/>
      <c r="K40" s="1016"/>
      <c r="L40" s="1016"/>
    </row>
    <row r="41" spans="1:12" ht="16.5" customHeight="1">
      <c r="A41" s="1011" t="s">
        <v>97</v>
      </c>
      <c r="B41" s="1012" t="s">
        <v>98</v>
      </c>
      <c r="C41" s="849" t="s">
        <v>273</v>
      </c>
      <c r="D41" s="1013">
        <v>3</v>
      </c>
      <c r="E41" s="1014">
        <v>1</v>
      </c>
      <c r="F41" s="1015">
        <v>0</v>
      </c>
      <c r="G41" s="1015">
        <v>2</v>
      </c>
      <c r="H41" s="1016"/>
      <c r="I41" s="1016"/>
      <c r="J41" s="1016"/>
      <c r="K41" s="1016"/>
      <c r="L41" s="1016"/>
    </row>
    <row r="42" spans="1:12" ht="16.5" customHeight="1">
      <c r="A42" s="1011" t="s">
        <v>99</v>
      </c>
      <c r="B42" s="1012" t="s">
        <v>100</v>
      </c>
      <c r="C42" s="849" t="s">
        <v>275</v>
      </c>
      <c r="D42" s="1013">
        <v>0</v>
      </c>
      <c r="E42" s="1014">
        <v>0</v>
      </c>
      <c r="F42" s="1015">
        <v>0</v>
      </c>
      <c r="G42" s="1021">
        <v>0</v>
      </c>
      <c r="H42" s="1016"/>
      <c r="I42" s="1020"/>
      <c r="J42" s="1016"/>
      <c r="K42" s="1020"/>
      <c r="L42" s="1016"/>
    </row>
    <row r="43" spans="1:12" ht="16.5" customHeight="1">
      <c r="A43" s="1011" t="s">
        <v>101</v>
      </c>
      <c r="B43" s="1012" t="s">
        <v>102</v>
      </c>
      <c r="C43" s="849" t="s">
        <v>274</v>
      </c>
      <c r="D43" s="1013">
        <v>0</v>
      </c>
      <c r="E43" s="1014">
        <v>0</v>
      </c>
      <c r="F43" s="1015">
        <v>0</v>
      </c>
      <c r="G43" s="1015">
        <v>0</v>
      </c>
      <c r="H43" s="1016"/>
      <c r="I43" s="1018"/>
      <c r="J43" s="1016"/>
      <c r="K43" s="1016"/>
      <c r="L43" s="1016"/>
    </row>
    <row r="44" spans="1:12" ht="16.5" customHeight="1">
      <c r="A44" s="1011" t="s">
        <v>103</v>
      </c>
      <c r="B44" s="1012" t="s">
        <v>104</v>
      </c>
      <c r="C44" s="849" t="s">
        <v>271</v>
      </c>
      <c r="D44" s="1013">
        <v>0</v>
      </c>
      <c r="E44" s="1022">
        <v>0</v>
      </c>
      <c r="F44" s="1021">
        <v>0</v>
      </c>
      <c r="G44" s="1015">
        <v>0</v>
      </c>
      <c r="H44" s="1016"/>
      <c r="I44" s="1019"/>
      <c r="J44" s="1016"/>
      <c r="K44" s="1019"/>
      <c r="L44" s="1016"/>
    </row>
    <row r="45" spans="1:12" ht="16.5" customHeight="1">
      <c r="A45" s="1011" t="s">
        <v>105</v>
      </c>
      <c r="B45" s="1012" t="s">
        <v>331</v>
      </c>
      <c r="C45" s="849" t="s">
        <v>272</v>
      </c>
      <c r="D45" s="1013">
        <v>5</v>
      </c>
      <c r="E45" s="1014">
        <v>0</v>
      </c>
      <c r="F45" s="1015">
        <v>5</v>
      </c>
      <c r="G45" s="1015">
        <v>0</v>
      </c>
      <c r="H45" s="1016"/>
      <c r="I45" s="1018"/>
      <c r="J45" s="1016"/>
      <c r="K45" s="1019"/>
      <c r="L45" s="1016"/>
    </row>
    <row r="46" spans="1:12" ht="16.5" customHeight="1">
      <c r="A46" s="1011" t="s">
        <v>109</v>
      </c>
      <c r="B46" s="1012" t="s">
        <v>110</v>
      </c>
      <c r="C46" s="849" t="s">
        <v>273</v>
      </c>
      <c r="D46" s="1013">
        <v>3</v>
      </c>
      <c r="E46" s="1014">
        <v>2</v>
      </c>
      <c r="F46" s="1015">
        <v>0</v>
      </c>
      <c r="G46" s="1015">
        <v>1</v>
      </c>
      <c r="H46" s="1016"/>
      <c r="I46" s="1020"/>
      <c r="J46" s="1016"/>
      <c r="K46" s="1016"/>
      <c r="L46" s="1016"/>
    </row>
    <row r="47" spans="1:12" ht="16.5" customHeight="1">
      <c r="A47" s="1011" t="s">
        <v>111</v>
      </c>
      <c r="B47" s="1012" t="s">
        <v>112</v>
      </c>
      <c r="C47" s="849" t="s">
        <v>273</v>
      </c>
      <c r="D47" s="1013">
        <v>7</v>
      </c>
      <c r="E47" s="1014">
        <v>1</v>
      </c>
      <c r="F47" s="1015">
        <v>2</v>
      </c>
      <c r="G47" s="1015">
        <v>4</v>
      </c>
      <c r="H47" s="1016"/>
      <c r="I47" s="1020"/>
      <c r="J47" s="1016"/>
      <c r="K47" s="1016"/>
      <c r="L47" s="1016"/>
    </row>
    <row r="48" spans="1:12" ht="16.5" customHeight="1">
      <c r="A48" s="1011" t="s">
        <v>113</v>
      </c>
      <c r="B48" s="1012" t="s">
        <v>310</v>
      </c>
      <c r="C48" s="849" t="s">
        <v>272</v>
      </c>
      <c r="D48" s="1013">
        <v>3</v>
      </c>
      <c r="E48" s="1014">
        <v>1</v>
      </c>
      <c r="F48" s="1015">
        <v>2</v>
      </c>
      <c r="G48" s="1015">
        <v>0</v>
      </c>
      <c r="H48" s="1016"/>
      <c r="I48" s="1018"/>
      <c r="J48" s="1016"/>
      <c r="K48" s="1016"/>
      <c r="L48" s="1016"/>
    </row>
    <row r="49" spans="1:12" ht="16.5" customHeight="1">
      <c r="A49" s="1011" t="s">
        <v>115</v>
      </c>
      <c r="B49" s="1012" t="s">
        <v>116</v>
      </c>
      <c r="C49" s="849" t="s">
        <v>272</v>
      </c>
      <c r="D49" s="1024">
        <v>0</v>
      </c>
      <c r="E49" s="1025">
        <v>0</v>
      </c>
      <c r="F49" s="1021">
        <v>0</v>
      </c>
      <c r="G49" s="1021">
        <v>0</v>
      </c>
      <c r="H49" s="1016"/>
      <c r="I49" s="1016"/>
      <c r="J49" s="1016"/>
      <c r="K49" s="1016"/>
      <c r="L49" s="1016"/>
    </row>
    <row r="50" spans="1:12" ht="16.5" customHeight="1">
      <c r="A50" s="1011" t="s">
        <v>119</v>
      </c>
      <c r="B50" s="1012" t="s">
        <v>120</v>
      </c>
      <c r="C50" s="849" t="s">
        <v>271</v>
      </c>
      <c r="D50" s="1013">
        <v>0</v>
      </c>
      <c r="E50" s="1014">
        <v>0</v>
      </c>
      <c r="F50" s="1015">
        <v>0</v>
      </c>
      <c r="G50" s="1015">
        <v>0</v>
      </c>
      <c r="H50" s="1016"/>
      <c r="I50" s="1019"/>
      <c r="J50" s="1016"/>
      <c r="K50" s="1019"/>
      <c r="L50" s="1016"/>
    </row>
    <row r="51" spans="1:12" ht="16.5" customHeight="1">
      <c r="A51" s="1011" t="s">
        <v>121</v>
      </c>
      <c r="B51" s="1012" t="s">
        <v>122</v>
      </c>
      <c r="C51" s="849" t="s">
        <v>271</v>
      </c>
      <c r="D51" s="1013">
        <v>3</v>
      </c>
      <c r="E51" s="1014">
        <v>3</v>
      </c>
      <c r="F51" s="1015">
        <v>0</v>
      </c>
      <c r="G51" s="1015">
        <v>0</v>
      </c>
      <c r="H51" s="1016"/>
      <c r="I51" s="1018"/>
      <c r="J51" s="1016"/>
      <c r="K51" s="1016"/>
      <c r="L51" s="1016"/>
    </row>
    <row r="52" spans="1:12" ht="16.5" customHeight="1">
      <c r="A52" s="1011" t="s">
        <v>123</v>
      </c>
      <c r="B52" s="1012" t="s">
        <v>278</v>
      </c>
      <c r="C52" s="849" t="s">
        <v>273</v>
      </c>
      <c r="D52" s="1013">
        <v>2</v>
      </c>
      <c r="E52" s="1014">
        <v>2</v>
      </c>
      <c r="F52" s="1015">
        <v>0</v>
      </c>
      <c r="G52" s="1015">
        <v>0</v>
      </c>
      <c r="H52" s="1016"/>
      <c r="I52" s="1016"/>
      <c r="J52" s="1016"/>
      <c r="K52" s="1016"/>
      <c r="L52" s="1016"/>
    </row>
    <row r="53" spans="1:12" ht="16.5" customHeight="1">
      <c r="A53" s="1011" t="s">
        <v>125</v>
      </c>
      <c r="B53" s="1012" t="s">
        <v>126</v>
      </c>
      <c r="C53" s="849" t="s">
        <v>274</v>
      </c>
      <c r="D53" s="1013">
        <v>0</v>
      </c>
      <c r="E53" s="1014">
        <v>0</v>
      </c>
      <c r="F53" s="1015">
        <v>0</v>
      </c>
      <c r="G53" s="1015">
        <v>0</v>
      </c>
      <c r="H53" s="1016"/>
      <c r="I53" s="1019"/>
      <c r="J53" s="1016"/>
      <c r="K53" s="1016"/>
      <c r="L53" s="1016"/>
    </row>
    <row r="54" spans="1:12" ht="16.5" customHeight="1">
      <c r="A54" s="1011" t="s">
        <v>127</v>
      </c>
      <c r="B54" s="1012" t="s">
        <v>128</v>
      </c>
      <c r="C54" s="849" t="s">
        <v>273</v>
      </c>
      <c r="D54" s="1013">
        <v>0</v>
      </c>
      <c r="E54" s="1014">
        <v>0</v>
      </c>
      <c r="F54" s="1015">
        <v>0</v>
      </c>
      <c r="G54" s="1015">
        <v>0</v>
      </c>
      <c r="H54" s="1016"/>
      <c r="I54" s="1019"/>
      <c r="J54" s="1016"/>
      <c r="K54" s="1016"/>
      <c r="L54" s="1016"/>
    </row>
    <row r="55" spans="1:12" ht="16.5" customHeight="1">
      <c r="A55" s="1011" t="s">
        <v>129</v>
      </c>
      <c r="B55" s="1012" t="s">
        <v>130</v>
      </c>
      <c r="C55" s="849" t="s">
        <v>273</v>
      </c>
      <c r="D55" s="1013">
        <v>1</v>
      </c>
      <c r="E55" s="1014">
        <v>1</v>
      </c>
      <c r="F55" s="1015">
        <v>0</v>
      </c>
      <c r="G55" s="1015">
        <v>0</v>
      </c>
      <c r="H55" s="1016"/>
      <c r="I55" s="1019"/>
      <c r="J55" s="1016"/>
      <c r="K55" s="1016"/>
      <c r="L55" s="1016"/>
    </row>
    <row r="56" spans="1:12" ht="16.5" customHeight="1">
      <c r="A56" s="1011" t="s">
        <v>131</v>
      </c>
      <c r="B56" s="1012" t="s">
        <v>132</v>
      </c>
      <c r="C56" s="849" t="s">
        <v>275</v>
      </c>
      <c r="D56" s="1013">
        <v>8</v>
      </c>
      <c r="E56" s="1014">
        <v>7</v>
      </c>
      <c r="F56" s="1015">
        <v>0</v>
      </c>
      <c r="G56" s="1015">
        <v>1</v>
      </c>
      <c r="H56" s="1016"/>
      <c r="I56" s="1018"/>
      <c r="J56" s="1016"/>
      <c r="K56" s="1016"/>
      <c r="L56" s="1016"/>
    </row>
    <row r="57" spans="1:12" ht="16.5" customHeight="1">
      <c r="A57" s="1011" t="s">
        <v>133</v>
      </c>
      <c r="B57" s="1012" t="s">
        <v>134</v>
      </c>
      <c r="C57" s="849" t="s">
        <v>274</v>
      </c>
      <c r="D57" s="1013">
        <v>10</v>
      </c>
      <c r="E57" s="1014">
        <v>2</v>
      </c>
      <c r="F57" s="1015">
        <v>1</v>
      </c>
      <c r="G57" s="1015">
        <v>7</v>
      </c>
      <c r="H57" s="1023"/>
      <c r="I57" s="1018"/>
      <c r="J57" s="1016"/>
      <c r="K57" s="1016"/>
      <c r="L57" s="1016"/>
    </row>
    <row r="58" spans="1:12" ht="16.5" customHeight="1">
      <c r="A58" s="1011" t="s">
        <v>135</v>
      </c>
      <c r="B58" s="1012" t="s">
        <v>136</v>
      </c>
      <c r="C58" s="849" t="s">
        <v>274</v>
      </c>
      <c r="D58" s="1013">
        <v>14</v>
      </c>
      <c r="E58" s="1014">
        <v>8</v>
      </c>
      <c r="F58" s="1015">
        <v>3</v>
      </c>
      <c r="G58" s="1015">
        <v>3</v>
      </c>
      <c r="H58" s="1016"/>
      <c r="I58" s="1020"/>
      <c r="J58" s="1016"/>
      <c r="K58" s="1016"/>
      <c r="L58" s="1016"/>
    </row>
    <row r="59" spans="1:12" ht="16.5" customHeight="1">
      <c r="A59" s="1011" t="s">
        <v>137</v>
      </c>
      <c r="B59" s="1012" t="s">
        <v>138</v>
      </c>
      <c r="C59" s="849" t="s">
        <v>273</v>
      </c>
      <c r="D59" s="1013">
        <v>5</v>
      </c>
      <c r="E59" s="1022">
        <v>0</v>
      </c>
      <c r="F59" s="1021">
        <v>4</v>
      </c>
      <c r="G59" s="1015">
        <v>1</v>
      </c>
      <c r="H59" s="1016"/>
      <c r="I59" s="1020"/>
      <c r="J59" s="1016"/>
      <c r="K59" s="1016"/>
      <c r="L59" s="1016"/>
    </row>
    <row r="60" spans="1:12" ht="16.5" customHeight="1">
      <c r="A60" s="1011" t="s">
        <v>141</v>
      </c>
      <c r="B60" s="1012" t="s">
        <v>142</v>
      </c>
      <c r="C60" s="849" t="s">
        <v>274</v>
      </c>
      <c r="D60" s="1013">
        <v>0</v>
      </c>
      <c r="E60" s="1014">
        <v>0</v>
      </c>
      <c r="F60" s="1015">
        <v>0</v>
      </c>
      <c r="G60" s="1015">
        <v>0</v>
      </c>
      <c r="H60" s="1016"/>
      <c r="I60" s="1016"/>
      <c r="J60" s="1016"/>
      <c r="K60" s="1016"/>
      <c r="L60" s="1016"/>
    </row>
    <row r="61" spans="1:12" ht="16.5" customHeight="1">
      <c r="A61" s="1011" t="s">
        <v>147</v>
      </c>
      <c r="B61" s="1012" t="s">
        <v>148</v>
      </c>
      <c r="C61" s="849" t="s">
        <v>271</v>
      </c>
      <c r="D61" s="1013">
        <v>0</v>
      </c>
      <c r="E61" s="1014">
        <v>0</v>
      </c>
      <c r="F61" s="1015">
        <v>0</v>
      </c>
      <c r="G61" s="1015">
        <v>0</v>
      </c>
      <c r="H61" s="1016"/>
      <c r="I61" s="1019"/>
      <c r="J61" s="1016"/>
      <c r="K61" s="1016"/>
      <c r="L61" s="1016"/>
    </row>
    <row r="62" spans="1:12" ht="16.5" customHeight="1">
      <c r="A62" s="1011" t="s">
        <v>149</v>
      </c>
      <c r="B62" s="1012" t="s">
        <v>150</v>
      </c>
      <c r="C62" s="849" t="s">
        <v>272</v>
      </c>
      <c r="D62" s="1013">
        <v>3</v>
      </c>
      <c r="E62" s="1014">
        <v>0</v>
      </c>
      <c r="F62" s="1015">
        <v>3</v>
      </c>
      <c r="G62" s="1015">
        <v>0</v>
      </c>
      <c r="H62" s="1016"/>
      <c r="I62" s="1020"/>
      <c r="J62" s="1016"/>
      <c r="K62" s="1016"/>
      <c r="L62" s="1016"/>
    </row>
    <row r="63" spans="1:12" ht="16.5" customHeight="1">
      <c r="A63" s="1011" t="s">
        <v>151</v>
      </c>
      <c r="B63" s="1012" t="s">
        <v>152</v>
      </c>
      <c r="C63" s="849" t="s">
        <v>273</v>
      </c>
      <c r="D63" s="1013">
        <v>3</v>
      </c>
      <c r="E63" s="1022">
        <v>1</v>
      </c>
      <c r="F63" s="1021">
        <v>2</v>
      </c>
      <c r="G63" s="1015">
        <v>0</v>
      </c>
      <c r="H63" s="1016"/>
      <c r="I63" s="1020"/>
      <c r="J63" s="1016"/>
      <c r="K63" s="1016"/>
      <c r="L63" s="1016"/>
    </row>
    <row r="64" spans="1:12" ht="16.5" customHeight="1">
      <c r="A64" s="1011" t="s">
        <v>153</v>
      </c>
      <c r="B64" s="1012" t="s">
        <v>154</v>
      </c>
      <c r="C64" s="849" t="s">
        <v>275</v>
      </c>
      <c r="D64" s="1013">
        <v>15</v>
      </c>
      <c r="E64" s="1014">
        <v>7</v>
      </c>
      <c r="F64" s="1015">
        <v>3</v>
      </c>
      <c r="G64" s="1015">
        <v>5</v>
      </c>
      <c r="H64" s="1016"/>
      <c r="I64" s="1016"/>
      <c r="J64" s="1016"/>
      <c r="K64" s="1020"/>
      <c r="L64" s="1016"/>
    </row>
    <row r="65" spans="1:12" ht="16.5" customHeight="1">
      <c r="A65" s="1011" t="s">
        <v>155</v>
      </c>
      <c r="B65" s="1012" t="s">
        <v>156</v>
      </c>
      <c r="C65" s="849" t="s">
        <v>272</v>
      </c>
      <c r="D65" s="1024">
        <v>0</v>
      </c>
      <c r="E65" s="1025">
        <v>0</v>
      </c>
      <c r="F65" s="1021">
        <v>0</v>
      </c>
      <c r="G65" s="1021">
        <v>0</v>
      </c>
      <c r="H65" s="1016"/>
      <c r="I65" s="1016"/>
      <c r="J65" s="1016"/>
      <c r="K65" s="1016"/>
      <c r="L65" s="1016"/>
    </row>
    <row r="66" spans="1:12" ht="16.5" customHeight="1">
      <c r="A66" s="1011" t="s">
        <v>157</v>
      </c>
      <c r="B66" s="1012" t="s">
        <v>158</v>
      </c>
      <c r="C66" s="849" t="s">
        <v>273</v>
      </c>
      <c r="D66" s="1013">
        <v>1</v>
      </c>
      <c r="E66" s="1014">
        <v>1</v>
      </c>
      <c r="F66" s="1015">
        <v>0</v>
      </c>
      <c r="G66" s="1021">
        <v>0</v>
      </c>
      <c r="H66" s="1016"/>
      <c r="I66" s="1019"/>
      <c r="J66" s="1016"/>
      <c r="K66" s="1016"/>
      <c r="L66" s="1016"/>
    </row>
    <row r="67" spans="1:12" ht="16.5" customHeight="1">
      <c r="A67" s="1011" t="s">
        <v>163</v>
      </c>
      <c r="B67" s="1012" t="s">
        <v>164</v>
      </c>
      <c r="C67" s="849" t="s">
        <v>271</v>
      </c>
      <c r="D67" s="1013">
        <v>0</v>
      </c>
      <c r="E67" s="1014">
        <v>0</v>
      </c>
      <c r="F67" s="1015">
        <v>0</v>
      </c>
      <c r="G67" s="1015">
        <v>0</v>
      </c>
      <c r="H67" s="1019"/>
      <c r="I67" s="1019"/>
      <c r="J67" s="1016"/>
      <c r="K67" s="1016"/>
      <c r="L67" s="1016"/>
    </row>
    <row r="68" spans="1:12" ht="16.5" customHeight="1">
      <c r="A68" s="1011" t="s">
        <v>165</v>
      </c>
      <c r="B68" s="1012" t="s">
        <v>166</v>
      </c>
      <c r="C68" s="849" t="s">
        <v>273</v>
      </c>
      <c r="D68" s="1013">
        <v>0</v>
      </c>
      <c r="E68" s="1014">
        <v>0</v>
      </c>
      <c r="F68" s="1015">
        <v>0</v>
      </c>
      <c r="G68" s="1015">
        <v>0</v>
      </c>
      <c r="H68" s="1016"/>
      <c r="I68" s="1019"/>
      <c r="J68" s="1016"/>
      <c r="K68" s="1016"/>
      <c r="L68" s="1016"/>
    </row>
    <row r="69" spans="1:12" ht="16.5" customHeight="1">
      <c r="A69" s="1011" t="s">
        <v>169</v>
      </c>
      <c r="B69" s="1012" t="s">
        <v>170</v>
      </c>
      <c r="C69" s="849" t="s">
        <v>273</v>
      </c>
      <c r="D69" s="1013">
        <v>1</v>
      </c>
      <c r="E69" s="1014">
        <v>0</v>
      </c>
      <c r="F69" s="1015">
        <v>1</v>
      </c>
      <c r="G69" s="1015">
        <v>0</v>
      </c>
      <c r="H69" s="1016"/>
      <c r="I69" s="1018"/>
      <c r="J69" s="1016"/>
      <c r="K69" s="1016"/>
      <c r="L69" s="1016"/>
    </row>
    <row r="70" spans="1:12" ht="16.5" customHeight="1">
      <c r="A70" s="1011" t="s">
        <v>171</v>
      </c>
      <c r="B70" s="1012" t="s">
        <v>172</v>
      </c>
      <c r="C70" s="849" t="s">
        <v>274</v>
      </c>
      <c r="D70" s="1013">
        <v>3</v>
      </c>
      <c r="E70" s="1014">
        <v>3</v>
      </c>
      <c r="F70" s="1015">
        <v>0</v>
      </c>
      <c r="G70" s="1015">
        <v>0</v>
      </c>
      <c r="H70" s="1016"/>
      <c r="I70" s="1018"/>
      <c r="J70" s="1016"/>
      <c r="K70" s="1019"/>
      <c r="L70" s="1016"/>
    </row>
    <row r="71" spans="1:12" ht="16.5" customHeight="1">
      <c r="A71" s="1011" t="s">
        <v>173</v>
      </c>
      <c r="B71" s="1012" t="s">
        <v>174</v>
      </c>
      <c r="C71" s="849" t="s">
        <v>274</v>
      </c>
      <c r="D71" s="1013">
        <v>2</v>
      </c>
      <c r="E71" s="1014">
        <v>2</v>
      </c>
      <c r="F71" s="1015">
        <v>0</v>
      </c>
      <c r="G71" s="1021">
        <v>0</v>
      </c>
      <c r="H71" s="1016"/>
      <c r="I71" s="1016"/>
      <c r="J71" s="1016"/>
      <c r="K71" s="1016"/>
      <c r="L71" s="1016"/>
    </row>
    <row r="72" spans="1:12" ht="16.5" customHeight="1">
      <c r="A72" s="1011" t="s">
        <v>175</v>
      </c>
      <c r="B72" s="1012" t="s">
        <v>176</v>
      </c>
      <c r="C72" s="849" t="s">
        <v>275</v>
      </c>
      <c r="D72" s="1013">
        <v>0</v>
      </c>
      <c r="E72" s="1014">
        <v>0</v>
      </c>
      <c r="F72" s="1015">
        <v>0</v>
      </c>
      <c r="G72" s="1021">
        <v>0</v>
      </c>
      <c r="H72" s="1016"/>
      <c r="I72" s="1016"/>
      <c r="J72" s="1016"/>
      <c r="K72" s="1016"/>
      <c r="L72" s="1016"/>
    </row>
    <row r="73" spans="1:12" ht="16.5" customHeight="1">
      <c r="A73" s="1011" t="s">
        <v>179</v>
      </c>
      <c r="B73" s="1012" t="s">
        <v>180</v>
      </c>
      <c r="C73" s="849" t="s">
        <v>272</v>
      </c>
      <c r="D73" s="1013">
        <v>0</v>
      </c>
      <c r="E73" s="1014">
        <v>0</v>
      </c>
      <c r="F73" s="1015">
        <v>0</v>
      </c>
      <c r="G73" s="1015">
        <v>0</v>
      </c>
      <c r="H73" s="1016"/>
      <c r="I73" s="1020"/>
      <c r="J73" s="1016"/>
      <c r="K73" s="1020"/>
      <c r="L73" s="1016"/>
    </row>
    <row r="74" spans="1:12" ht="16.5" customHeight="1">
      <c r="A74" s="1011" t="s">
        <v>183</v>
      </c>
      <c r="B74" s="1012" t="s">
        <v>184</v>
      </c>
      <c r="C74" s="849" t="s">
        <v>273</v>
      </c>
      <c r="D74" s="1013">
        <v>0</v>
      </c>
      <c r="E74" s="1014">
        <v>0</v>
      </c>
      <c r="F74" s="1015">
        <v>0</v>
      </c>
      <c r="G74" s="1021">
        <v>0</v>
      </c>
      <c r="H74" s="1016"/>
      <c r="I74" s="1020"/>
      <c r="J74" s="1016"/>
      <c r="K74" s="1016"/>
      <c r="L74" s="1016"/>
    </row>
    <row r="75" spans="1:12" ht="16.5" customHeight="1">
      <c r="A75" s="1011" t="s">
        <v>185</v>
      </c>
      <c r="B75" s="1012" t="s">
        <v>186</v>
      </c>
      <c r="C75" s="849" t="s">
        <v>273</v>
      </c>
      <c r="D75" s="1013">
        <v>7</v>
      </c>
      <c r="E75" s="1014">
        <v>3</v>
      </c>
      <c r="F75" s="1015">
        <v>3</v>
      </c>
      <c r="G75" s="1015">
        <v>1</v>
      </c>
      <c r="H75" s="1016"/>
      <c r="I75" s="1018"/>
      <c r="J75" s="1016"/>
      <c r="K75" s="1016"/>
      <c r="L75" s="1016"/>
    </row>
    <row r="76" spans="1:12" ht="16.5" customHeight="1">
      <c r="A76" s="1011" t="s">
        <v>187</v>
      </c>
      <c r="B76" s="1012" t="s">
        <v>188</v>
      </c>
      <c r="C76" s="849" t="s">
        <v>271</v>
      </c>
      <c r="D76" s="1013">
        <v>2</v>
      </c>
      <c r="E76" s="1014">
        <v>2</v>
      </c>
      <c r="F76" s="1015">
        <v>0</v>
      </c>
      <c r="G76" s="1015">
        <v>0</v>
      </c>
      <c r="H76" s="1016"/>
      <c r="I76" s="1019"/>
      <c r="J76" s="1016"/>
      <c r="K76" s="1016"/>
      <c r="L76" s="1016"/>
    </row>
    <row r="77" spans="1:12" ht="16.5" customHeight="1">
      <c r="A77" s="1011" t="s">
        <v>189</v>
      </c>
      <c r="B77" s="1012" t="s">
        <v>190</v>
      </c>
      <c r="C77" s="849" t="s">
        <v>274</v>
      </c>
      <c r="D77" s="1013">
        <v>7</v>
      </c>
      <c r="E77" s="1014">
        <v>1</v>
      </c>
      <c r="F77" s="1015">
        <v>6</v>
      </c>
      <c r="G77" s="1015">
        <v>0</v>
      </c>
      <c r="H77" s="1016"/>
      <c r="I77" s="1020"/>
      <c r="J77" s="1016"/>
      <c r="K77" s="1018"/>
      <c r="L77" s="1016"/>
    </row>
    <row r="78" spans="1:12" ht="16.5" customHeight="1">
      <c r="A78" s="1011" t="s">
        <v>191</v>
      </c>
      <c r="B78" s="1012" t="s">
        <v>192</v>
      </c>
      <c r="C78" s="849" t="s">
        <v>275</v>
      </c>
      <c r="D78" s="1013">
        <v>12</v>
      </c>
      <c r="E78" s="1014">
        <v>8</v>
      </c>
      <c r="F78" s="1015">
        <v>0</v>
      </c>
      <c r="G78" s="1015">
        <v>4</v>
      </c>
      <c r="H78" s="1016"/>
      <c r="I78" s="1020"/>
      <c r="J78" s="1016"/>
      <c r="K78" s="1016"/>
      <c r="L78" s="1016"/>
    </row>
    <row r="79" spans="1:12" ht="16.5" customHeight="1">
      <c r="A79" s="1011" t="s">
        <v>195</v>
      </c>
      <c r="B79" s="1012" t="s">
        <v>196</v>
      </c>
      <c r="C79" s="849" t="s">
        <v>274</v>
      </c>
      <c r="D79" s="1013">
        <v>0</v>
      </c>
      <c r="E79" s="1014">
        <v>0</v>
      </c>
      <c r="F79" s="1015">
        <v>0</v>
      </c>
      <c r="G79" s="1021">
        <v>0</v>
      </c>
      <c r="H79" s="1016"/>
      <c r="I79" s="1016"/>
      <c r="J79" s="1016"/>
      <c r="K79" s="1016"/>
      <c r="L79" s="1016"/>
    </row>
    <row r="80" spans="1:12" ht="16.5" customHeight="1">
      <c r="A80" s="1011" t="s">
        <v>199</v>
      </c>
      <c r="B80" s="1012" t="s">
        <v>200</v>
      </c>
      <c r="C80" s="849" t="s">
        <v>273</v>
      </c>
      <c r="D80" s="1013">
        <v>0</v>
      </c>
      <c r="E80" s="1014">
        <v>0</v>
      </c>
      <c r="F80" s="1015">
        <v>0</v>
      </c>
      <c r="G80" s="1015">
        <v>0</v>
      </c>
      <c r="H80" s="1016"/>
      <c r="I80" s="1019"/>
      <c r="J80" s="1016"/>
      <c r="K80" s="1016"/>
      <c r="L80" s="1016"/>
    </row>
    <row r="81" spans="1:12" ht="16.5" customHeight="1">
      <c r="A81" s="1011" t="s">
        <v>203</v>
      </c>
      <c r="B81" s="1012" t="s">
        <v>204</v>
      </c>
      <c r="C81" s="849" t="s">
        <v>272</v>
      </c>
      <c r="D81" s="1013">
        <v>8</v>
      </c>
      <c r="E81" s="1014">
        <v>8</v>
      </c>
      <c r="F81" s="1015">
        <v>0</v>
      </c>
      <c r="G81" s="1015">
        <v>0</v>
      </c>
      <c r="H81" s="1016"/>
      <c r="I81" s="1018"/>
      <c r="J81" s="1019"/>
      <c r="K81" s="1016"/>
      <c r="L81" s="1016"/>
    </row>
    <row r="82" spans="1:12" ht="16.5" customHeight="1">
      <c r="A82" s="1011" t="s">
        <v>205</v>
      </c>
      <c r="B82" s="1012" t="s">
        <v>206</v>
      </c>
      <c r="C82" s="849" t="s">
        <v>272</v>
      </c>
      <c r="D82" s="1013">
        <v>1</v>
      </c>
      <c r="E82" s="1014">
        <v>1</v>
      </c>
      <c r="F82" s="1015">
        <v>0</v>
      </c>
      <c r="G82" s="1021">
        <v>0</v>
      </c>
      <c r="H82" s="1016"/>
      <c r="I82" s="1020"/>
      <c r="J82" s="1016"/>
      <c r="K82" s="1016"/>
      <c r="L82" s="1016"/>
    </row>
    <row r="83" spans="1:12" ht="16.5" customHeight="1">
      <c r="A83" s="1011" t="s">
        <v>207</v>
      </c>
      <c r="B83" s="1012" t="s">
        <v>208</v>
      </c>
      <c r="C83" s="849" t="s">
        <v>274</v>
      </c>
      <c r="D83" s="1013">
        <v>36</v>
      </c>
      <c r="E83" s="1014">
        <v>18</v>
      </c>
      <c r="F83" s="1015">
        <v>1</v>
      </c>
      <c r="G83" s="1015">
        <v>17</v>
      </c>
      <c r="H83" s="1016"/>
      <c r="I83" s="1020"/>
      <c r="J83" s="1016"/>
      <c r="K83" s="1020"/>
      <c r="L83" s="1016"/>
    </row>
    <row r="84" spans="1:12" ht="16.5" customHeight="1">
      <c r="A84" s="1011" t="s">
        <v>209</v>
      </c>
      <c r="B84" s="1012" t="s">
        <v>210</v>
      </c>
      <c r="C84" s="849" t="s">
        <v>275</v>
      </c>
      <c r="D84" s="1013">
        <v>14</v>
      </c>
      <c r="E84" s="1014">
        <v>14</v>
      </c>
      <c r="F84" s="1015">
        <v>0</v>
      </c>
      <c r="G84" s="1021">
        <v>0</v>
      </c>
      <c r="H84" s="1016"/>
      <c r="I84" s="1019"/>
      <c r="J84" s="1016"/>
      <c r="K84" s="1016"/>
      <c r="L84" s="1016"/>
    </row>
    <row r="85" spans="1:12" ht="16.5" customHeight="1">
      <c r="A85" s="1011" t="s">
        <v>211</v>
      </c>
      <c r="B85" s="1012" t="s">
        <v>212</v>
      </c>
      <c r="C85" s="849" t="s">
        <v>275</v>
      </c>
      <c r="D85" s="1013">
        <v>2</v>
      </c>
      <c r="E85" s="1014">
        <v>2</v>
      </c>
      <c r="F85" s="1015">
        <v>0</v>
      </c>
      <c r="G85" s="1021">
        <v>0</v>
      </c>
      <c r="H85" s="1016"/>
      <c r="I85" s="1019"/>
      <c r="J85" s="1016"/>
      <c r="K85" s="1016"/>
      <c r="L85" s="1016"/>
    </row>
    <row r="86" spans="1:12" ht="16.5" customHeight="1">
      <c r="A86" s="1011" t="s">
        <v>213</v>
      </c>
      <c r="B86" s="1012" t="s">
        <v>214</v>
      </c>
      <c r="C86" s="849" t="s">
        <v>274</v>
      </c>
      <c r="D86" s="1013">
        <v>5</v>
      </c>
      <c r="E86" s="1014">
        <v>5</v>
      </c>
      <c r="F86" s="1015">
        <v>0</v>
      </c>
      <c r="G86" s="1015">
        <v>0</v>
      </c>
      <c r="H86" s="1016"/>
      <c r="I86" s="1018"/>
      <c r="J86" s="1016"/>
      <c r="K86" s="1016"/>
      <c r="L86" s="1016"/>
    </row>
    <row r="87" spans="1:12" ht="16.5" customHeight="1">
      <c r="A87" s="1011" t="s">
        <v>215</v>
      </c>
      <c r="B87" s="1012" t="s">
        <v>216</v>
      </c>
      <c r="C87" s="849" t="s">
        <v>275</v>
      </c>
      <c r="D87" s="1013">
        <v>0</v>
      </c>
      <c r="E87" s="1014">
        <v>0</v>
      </c>
      <c r="F87" s="1015">
        <v>0</v>
      </c>
      <c r="G87" s="1021">
        <v>0</v>
      </c>
      <c r="H87" s="1016"/>
      <c r="I87" s="1020"/>
      <c r="J87" s="1016"/>
      <c r="K87" s="1016"/>
      <c r="L87" s="1016"/>
    </row>
    <row r="88" spans="1:12" ht="16.5" customHeight="1">
      <c r="A88" s="1011" t="s">
        <v>217</v>
      </c>
      <c r="B88" s="1012" t="s">
        <v>218</v>
      </c>
      <c r="C88" s="849" t="s">
        <v>271</v>
      </c>
      <c r="D88" s="1013">
        <v>0</v>
      </c>
      <c r="E88" s="1014">
        <v>0</v>
      </c>
      <c r="F88" s="1015">
        <v>0</v>
      </c>
      <c r="G88" s="1015">
        <v>0</v>
      </c>
      <c r="H88" s="1016"/>
      <c r="I88" s="1016"/>
      <c r="J88" s="1016"/>
      <c r="K88" s="1020"/>
      <c r="L88" s="1016"/>
    </row>
    <row r="89" spans="1:12" ht="16.5" customHeight="1">
      <c r="A89" s="1011" t="s">
        <v>219</v>
      </c>
      <c r="B89" s="1012" t="s">
        <v>220</v>
      </c>
      <c r="C89" s="849" t="s">
        <v>274</v>
      </c>
      <c r="D89" s="1013">
        <v>8</v>
      </c>
      <c r="E89" s="1014">
        <v>6</v>
      </c>
      <c r="F89" s="1015">
        <v>2</v>
      </c>
      <c r="G89" s="1015">
        <v>0</v>
      </c>
      <c r="H89" s="1016"/>
      <c r="I89" s="1019"/>
      <c r="J89" s="1016"/>
      <c r="K89" s="1019"/>
      <c r="L89" s="1016"/>
    </row>
    <row r="90" spans="1:12" ht="16.5" customHeight="1">
      <c r="A90" s="1011" t="s">
        <v>221</v>
      </c>
      <c r="B90" s="1012" t="s">
        <v>222</v>
      </c>
      <c r="C90" s="849" t="s">
        <v>274</v>
      </c>
      <c r="D90" s="1013">
        <v>12</v>
      </c>
      <c r="E90" s="1014">
        <v>3</v>
      </c>
      <c r="F90" s="1015">
        <v>3</v>
      </c>
      <c r="G90" s="1015">
        <v>6</v>
      </c>
      <c r="H90" s="1016"/>
      <c r="I90" s="1018"/>
      <c r="J90" s="1016"/>
      <c r="K90" s="1018"/>
      <c r="L90" s="1016"/>
    </row>
    <row r="91" spans="1:12" ht="16.5" customHeight="1">
      <c r="A91" s="1011" t="s">
        <v>225</v>
      </c>
      <c r="B91" s="1012" t="s">
        <v>226</v>
      </c>
      <c r="C91" s="849" t="s">
        <v>271</v>
      </c>
      <c r="D91" s="1013">
        <v>0</v>
      </c>
      <c r="E91" s="1022">
        <v>0</v>
      </c>
      <c r="F91" s="1021">
        <v>0</v>
      </c>
      <c r="G91" s="1015">
        <v>0</v>
      </c>
      <c r="H91" s="1016"/>
      <c r="I91" s="1019"/>
      <c r="J91" s="1016"/>
      <c r="K91" s="1016"/>
      <c r="L91" s="1016"/>
    </row>
    <row r="92" spans="1:12" ht="16.5" customHeight="1">
      <c r="A92" s="1011" t="s">
        <v>227</v>
      </c>
      <c r="B92" s="1012" t="s">
        <v>228</v>
      </c>
      <c r="C92" s="849" t="s">
        <v>271</v>
      </c>
      <c r="D92" s="1013">
        <v>2</v>
      </c>
      <c r="E92" s="1014">
        <v>0</v>
      </c>
      <c r="F92" s="1015">
        <v>2</v>
      </c>
      <c r="G92" s="1015">
        <v>0</v>
      </c>
      <c r="H92" s="1016"/>
      <c r="I92" s="1019"/>
      <c r="J92" s="1016"/>
      <c r="K92" s="1016"/>
      <c r="L92" s="1016"/>
    </row>
    <row r="93" spans="1:12" ht="16.5" customHeight="1">
      <c r="A93" s="1011" t="s">
        <v>229</v>
      </c>
      <c r="B93" s="1012" t="s">
        <v>230</v>
      </c>
      <c r="C93" s="849" t="s">
        <v>275</v>
      </c>
      <c r="D93" s="1013">
        <v>22</v>
      </c>
      <c r="E93" s="1014">
        <v>22</v>
      </c>
      <c r="F93" s="1015">
        <v>0</v>
      </c>
      <c r="G93" s="1015">
        <v>0</v>
      </c>
      <c r="H93" s="1016"/>
      <c r="I93" s="1019"/>
      <c r="J93" s="1016"/>
      <c r="K93" s="1016"/>
      <c r="L93" s="1016"/>
    </row>
    <row r="94" spans="1:12" ht="16.5" customHeight="1">
      <c r="A94" s="1011" t="s">
        <v>233</v>
      </c>
      <c r="B94" s="1012" t="s">
        <v>234</v>
      </c>
      <c r="C94" s="849" t="s">
        <v>274</v>
      </c>
      <c r="D94" s="1013">
        <v>3</v>
      </c>
      <c r="E94" s="1014">
        <v>3</v>
      </c>
      <c r="F94" s="1015">
        <v>0</v>
      </c>
      <c r="G94" s="1015">
        <v>0</v>
      </c>
      <c r="H94" s="1016"/>
      <c r="I94" s="1020"/>
      <c r="J94" s="1016"/>
      <c r="K94" s="1016"/>
      <c r="L94" s="1016"/>
    </row>
    <row r="95" spans="1:12" ht="16.5" customHeight="1">
      <c r="A95" s="1011" t="s">
        <v>235</v>
      </c>
      <c r="B95" s="1012" t="s">
        <v>236</v>
      </c>
      <c r="C95" s="849" t="s">
        <v>275</v>
      </c>
      <c r="D95" s="1013">
        <v>13</v>
      </c>
      <c r="E95" s="1014">
        <v>13</v>
      </c>
      <c r="F95" s="1015">
        <v>0</v>
      </c>
      <c r="G95" s="1021">
        <v>0</v>
      </c>
      <c r="H95" s="1016"/>
      <c r="I95" s="1018"/>
      <c r="J95" s="1016"/>
      <c r="K95" s="1019"/>
      <c r="L95" s="1016"/>
    </row>
    <row r="96" spans="1:12" ht="16.5" customHeight="1">
      <c r="A96" s="1011" t="s">
        <v>237</v>
      </c>
      <c r="B96" s="1012" t="s">
        <v>238</v>
      </c>
      <c r="C96" s="849" t="s">
        <v>273</v>
      </c>
      <c r="D96" s="1013">
        <v>0</v>
      </c>
      <c r="E96" s="1014">
        <v>0</v>
      </c>
      <c r="F96" s="1015">
        <v>0</v>
      </c>
      <c r="G96" s="1015">
        <v>0</v>
      </c>
      <c r="H96" s="1016"/>
      <c r="I96" s="1018"/>
      <c r="J96" s="1016"/>
      <c r="K96" s="1016"/>
      <c r="L96" s="1016"/>
    </row>
    <row r="97" spans="1:12" ht="16.5" customHeight="1">
      <c r="A97" s="1011" t="s">
        <v>243</v>
      </c>
      <c r="B97" s="1012" t="s">
        <v>244</v>
      </c>
      <c r="C97" s="849" t="s">
        <v>275</v>
      </c>
      <c r="D97" s="1013">
        <v>9</v>
      </c>
      <c r="E97" s="1014">
        <v>9</v>
      </c>
      <c r="F97" s="1015">
        <v>0</v>
      </c>
      <c r="G97" s="1015">
        <v>0</v>
      </c>
      <c r="H97" s="1016"/>
      <c r="I97" s="1016"/>
      <c r="J97" s="1016"/>
      <c r="K97" s="1016"/>
      <c r="L97" s="1016"/>
    </row>
    <row r="98" spans="1:12" ht="16.5" customHeight="1">
      <c r="A98" s="1011" t="s">
        <v>245</v>
      </c>
      <c r="B98" s="1012" t="s">
        <v>246</v>
      </c>
      <c r="C98" s="849" t="s">
        <v>275</v>
      </c>
      <c r="D98" s="1013">
        <v>3</v>
      </c>
      <c r="E98" s="1014">
        <v>3</v>
      </c>
      <c r="F98" s="1015">
        <v>0</v>
      </c>
      <c r="G98" s="1021">
        <v>0</v>
      </c>
      <c r="H98" s="1016"/>
      <c r="I98" s="1016"/>
      <c r="J98" s="1016"/>
      <c r="K98" s="1016"/>
      <c r="L98" s="1016"/>
    </row>
    <row r="99" spans="1:12" ht="16.5" customHeight="1">
      <c r="A99" s="1011" t="s">
        <v>247</v>
      </c>
      <c r="B99" s="1012" t="s">
        <v>332</v>
      </c>
      <c r="C99" s="849" t="s">
        <v>271</v>
      </c>
      <c r="D99" s="1013">
        <v>2</v>
      </c>
      <c r="E99" s="1014">
        <v>1</v>
      </c>
      <c r="F99" s="1015">
        <v>0</v>
      </c>
      <c r="G99" s="1015">
        <v>1</v>
      </c>
      <c r="H99" s="1016"/>
      <c r="I99" s="1018"/>
      <c r="J99" s="1016"/>
      <c r="K99" s="1019"/>
      <c r="L99" s="1016"/>
    </row>
    <row r="100" spans="1:12" ht="16.5" customHeight="1">
      <c r="A100" s="1011" t="s">
        <v>14</v>
      </c>
      <c r="B100" s="1012" t="s">
        <v>15</v>
      </c>
      <c r="C100" s="849" t="s">
        <v>274</v>
      </c>
      <c r="D100" s="1013">
        <v>10</v>
      </c>
      <c r="E100" s="1014">
        <v>0</v>
      </c>
      <c r="F100" s="1015">
        <v>9</v>
      </c>
      <c r="G100" s="1015">
        <v>1</v>
      </c>
      <c r="H100" s="1016"/>
      <c r="I100" s="1020"/>
      <c r="J100" s="1016"/>
      <c r="K100" s="1020"/>
      <c r="L100" s="1016"/>
    </row>
    <row r="101" spans="1:12" ht="16.5" customHeight="1">
      <c r="A101" s="1011" t="s">
        <v>35</v>
      </c>
      <c r="B101" s="1012" t="s">
        <v>36</v>
      </c>
      <c r="C101" s="849" t="s">
        <v>275</v>
      </c>
      <c r="D101" s="1013">
        <v>4</v>
      </c>
      <c r="E101" s="1014">
        <v>4</v>
      </c>
      <c r="F101" s="1015">
        <v>0</v>
      </c>
      <c r="G101" s="1021">
        <v>0</v>
      </c>
      <c r="H101" s="1016"/>
      <c r="I101" s="1018"/>
      <c r="J101" s="1016"/>
      <c r="K101" s="1019"/>
      <c r="L101" s="1016"/>
    </row>
    <row r="102" spans="1:12" ht="16.5" customHeight="1">
      <c r="A102" s="1011" t="s">
        <v>53</v>
      </c>
      <c r="B102" s="1012" t="s">
        <v>54</v>
      </c>
      <c r="C102" s="849" t="s">
        <v>272</v>
      </c>
      <c r="D102" s="1013">
        <v>11</v>
      </c>
      <c r="E102" s="1014">
        <v>2</v>
      </c>
      <c r="F102" s="1015">
        <v>1</v>
      </c>
      <c r="G102" s="1015">
        <v>8</v>
      </c>
      <c r="H102" s="1016"/>
      <c r="I102" s="1018"/>
      <c r="J102" s="1016"/>
      <c r="K102" s="1016"/>
      <c r="L102" s="1016"/>
    </row>
    <row r="103" spans="1:12" ht="16.5" customHeight="1">
      <c r="A103" s="1011" t="s">
        <v>55</v>
      </c>
      <c r="B103" s="1012" t="s">
        <v>56</v>
      </c>
      <c r="C103" s="849" t="s">
        <v>271</v>
      </c>
      <c r="D103" s="1013">
        <v>5</v>
      </c>
      <c r="E103" s="1014">
        <v>2</v>
      </c>
      <c r="F103" s="1015">
        <v>3</v>
      </c>
      <c r="G103" s="1015">
        <v>0</v>
      </c>
      <c r="H103" s="1016"/>
      <c r="I103" s="1018"/>
      <c r="J103" s="1016"/>
      <c r="K103" s="1016"/>
      <c r="L103" s="1016"/>
    </row>
    <row r="104" spans="1:12" ht="16.5" customHeight="1">
      <c r="A104" s="1011" t="s">
        <v>67</v>
      </c>
      <c r="B104" s="1012" t="s">
        <v>68</v>
      </c>
      <c r="C104" s="849" t="s">
        <v>272</v>
      </c>
      <c r="D104" s="1013">
        <v>3</v>
      </c>
      <c r="E104" s="1014">
        <v>1</v>
      </c>
      <c r="F104" s="1015">
        <v>2</v>
      </c>
      <c r="G104" s="1015">
        <v>0</v>
      </c>
      <c r="H104" s="1016"/>
      <c r="I104" s="1018"/>
      <c r="J104" s="1016"/>
      <c r="K104" s="1019"/>
      <c r="L104" s="1016"/>
    </row>
    <row r="105" spans="1:12" ht="16.5" customHeight="1">
      <c r="A105" s="1011" t="s">
        <v>83</v>
      </c>
      <c r="B105" s="1012" t="s">
        <v>333</v>
      </c>
      <c r="C105" s="849" t="s">
        <v>271</v>
      </c>
      <c r="D105" s="1013">
        <v>0</v>
      </c>
      <c r="E105" s="1014">
        <v>0</v>
      </c>
      <c r="F105" s="1015">
        <v>0</v>
      </c>
      <c r="G105" s="1015">
        <v>0</v>
      </c>
      <c r="H105" s="1016"/>
      <c r="I105" s="1016"/>
      <c r="J105" s="1016"/>
      <c r="K105" s="1016"/>
      <c r="L105" s="1016"/>
    </row>
    <row r="106" spans="1:12" ht="16.5" customHeight="1">
      <c r="A106" s="1011" t="s">
        <v>89</v>
      </c>
      <c r="B106" s="1012" t="s">
        <v>90</v>
      </c>
      <c r="C106" s="849" t="s">
        <v>274</v>
      </c>
      <c r="D106" s="1013">
        <v>6</v>
      </c>
      <c r="E106" s="1014">
        <v>1</v>
      </c>
      <c r="F106" s="1015">
        <v>3</v>
      </c>
      <c r="G106" s="1015">
        <v>2</v>
      </c>
      <c r="H106" s="1016"/>
      <c r="I106" s="1020"/>
      <c r="J106" s="1016"/>
      <c r="K106" s="1020"/>
      <c r="L106" s="1016"/>
    </row>
    <row r="107" spans="1:12" ht="16.5" customHeight="1">
      <c r="A107" s="1011" t="s">
        <v>91</v>
      </c>
      <c r="B107" s="1012" t="s">
        <v>92</v>
      </c>
      <c r="C107" s="849" t="s">
        <v>275</v>
      </c>
      <c r="D107" s="1013">
        <v>0</v>
      </c>
      <c r="E107" s="1014">
        <v>0</v>
      </c>
      <c r="F107" s="1015">
        <v>0</v>
      </c>
      <c r="G107" s="1015">
        <v>0</v>
      </c>
      <c r="H107" s="1016"/>
      <c r="I107" s="1019"/>
      <c r="J107" s="1016"/>
      <c r="K107" s="1016"/>
      <c r="L107" s="1016"/>
    </row>
    <row r="108" spans="1:12" ht="16.5" customHeight="1">
      <c r="A108" s="1011" t="s">
        <v>107</v>
      </c>
      <c r="B108" s="1012" t="s">
        <v>108</v>
      </c>
      <c r="C108" s="849" t="s">
        <v>271</v>
      </c>
      <c r="D108" s="1013">
        <v>0</v>
      </c>
      <c r="E108" s="1014">
        <v>0</v>
      </c>
      <c r="F108" s="1015">
        <v>0</v>
      </c>
      <c r="G108" s="1015">
        <v>0</v>
      </c>
      <c r="H108" s="1016"/>
      <c r="I108" s="1018"/>
      <c r="J108" s="1016"/>
      <c r="K108" s="1016"/>
      <c r="L108" s="1016"/>
    </row>
    <row r="109" spans="1:12" ht="16.5" customHeight="1">
      <c r="A109" s="1011" t="s">
        <v>117</v>
      </c>
      <c r="B109" s="1012" t="s">
        <v>118</v>
      </c>
      <c r="C109" s="849" t="s">
        <v>273</v>
      </c>
      <c r="D109" s="1013">
        <v>4</v>
      </c>
      <c r="E109" s="1014">
        <v>1</v>
      </c>
      <c r="F109" s="1015">
        <v>3</v>
      </c>
      <c r="G109" s="1015">
        <v>0</v>
      </c>
      <c r="H109" s="1016"/>
      <c r="I109" s="1016"/>
      <c r="J109" s="1016"/>
      <c r="K109" s="1019"/>
      <c r="L109" s="1016"/>
    </row>
    <row r="110" spans="1:12" ht="16.5" customHeight="1">
      <c r="A110" s="1011" t="s">
        <v>139</v>
      </c>
      <c r="B110" s="1012" t="s">
        <v>140</v>
      </c>
      <c r="C110" s="849" t="s">
        <v>272</v>
      </c>
      <c r="D110" s="1013">
        <v>24</v>
      </c>
      <c r="E110" s="1014">
        <v>8</v>
      </c>
      <c r="F110" s="1015">
        <v>15</v>
      </c>
      <c r="G110" s="1015">
        <v>1</v>
      </c>
      <c r="H110" s="1016"/>
      <c r="I110" s="1020"/>
      <c r="J110" s="1016"/>
      <c r="K110" s="1020"/>
      <c r="L110" s="1016"/>
    </row>
    <row r="111" spans="1:12" ht="16.5" customHeight="1">
      <c r="A111" s="1011" t="s">
        <v>143</v>
      </c>
      <c r="B111" s="1012" t="s">
        <v>144</v>
      </c>
      <c r="C111" s="849" t="s">
        <v>274</v>
      </c>
      <c r="D111" s="1013">
        <v>0</v>
      </c>
      <c r="E111" s="1014">
        <v>0</v>
      </c>
      <c r="F111" s="1015">
        <v>0</v>
      </c>
      <c r="G111" s="1015">
        <v>0</v>
      </c>
      <c r="H111" s="1016"/>
      <c r="I111" s="1019"/>
      <c r="J111" s="1016"/>
      <c r="K111" s="1019"/>
      <c r="L111" s="1016"/>
    </row>
    <row r="112" spans="1:12" ht="16.5" customHeight="1">
      <c r="A112" s="1011" t="s">
        <v>145</v>
      </c>
      <c r="B112" s="1012" t="s">
        <v>146</v>
      </c>
      <c r="C112" s="849" t="s">
        <v>274</v>
      </c>
      <c r="D112" s="1013">
        <v>0</v>
      </c>
      <c r="E112" s="1014">
        <v>0</v>
      </c>
      <c r="F112" s="1015">
        <v>0</v>
      </c>
      <c r="G112" s="1021">
        <v>0</v>
      </c>
      <c r="H112" s="1016"/>
      <c r="I112" s="1016"/>
      <c r="J112" s="1016"/>
      <c r="K112" s="1016"/>
      <c r="L112" s="1016"/>
    </row>
    <row r="113" spans="1:14" ht="16.5" customHeight="1">
      <c r="A113" s="1011" t="s">
        <v>159</v>
      </c>
      <c r="B113" s="1012" t="s">
        <v>160</v>
      </c>
      <c r="C113" s="849" t="s">
        <v>271</v>
      </c>
      <c r="D113" s="1013">
        <v>18</v>
      </c>
      <c r="E113" s="1014">
        <v>3</v>
      </c>
      <c r="F113" s="1015">
        <v>12</v>
      </c>
      <c r="G113" s="1015">
        <v>3</v>
      </c>
      <c r="H113" s="1016"/>
      <c r="I113" s="1020"/>
      <c r="J113" s="1016"/>
      <c r="K113" s="1016"/>
      <c r="L113" s="1016"/>
    </row>
    <row r="114" spans="1:14" ht="16.5" customHeight="1">
      <c r="A114" s="1011" t="s">
        <v>161</v>
      </c>
      <c r="B114" s="1012" t="s">
        <v>162</v>
      </c>
      <c r="C114" s="849" t="s">
        <v>271</v>
      </c>
      <c r="D114" s="1013">
        <v>34</v>
      </c>
      <c r="E114" s="1014">
        <v>7</v>
      </c>
      <c r="F114" s="1015">
        <v>27</v>
      </c>
      <c r="G114" s="1015">
        <v>0</v>
      </c>
      <c r="H114" s="1016"/>
      <c r="I114" s="1020"/>
      <c r="J114" s="1020"/>
      <c r="K114" s="1016"/>
      <c r="L114" s="1016"/>
    </row>
    <row r="115" spans="1:14" ht="16.5" customHeight="1">
      <c r="A115" s="1011" t="s">
        <v>167</v>
      </c>
      <c r="B115" s="1012" t="s">
        <v>168</v>
      </c>
      <c r="C115" s="849" t="s">
        <v>275</v>
      </c>
      <c r="D115" s="1013">
        <v>0</v>
      </c>
      <c r="E115" s="1014">
        <v>0</v>
      </c>
      <c r="F115" s="1015">
        <v>0</v>
      </c>
      <c r="G115" s="1021">
        <v>0</v>
      </c>
      <c r="H115" s="1016"/>
      <c r="I115" s="1020"/>
      <c r="J115" s="1016"/>
      <c r="K115" s="1016"/>
      <c r="L115" s="1016"/>
    </row>
    <row r="116" spans="1:14" ht="16.5" customHeight="1">
      <c r="A116" s="1011" t="s">
        <v>177</v>
      </c>
      <c r="B116" s="1012" t="s">
        <v>178</v>
      </c>
      <c r="C116" s="849" t="s">
        <v>273</v>
      </c>
      <c r="D116" s="1013">
        <v>16</v>
      </c>
      <c r="E116" s="1014">
        <v>5</v>
      </c>
      <c r="F116" s="1015">
        <v>3</v>
      </c>
      <c r="G116" s="1015">
        <v>8</v>
      </c>
      <c r="H116" s="1016"/>
      <c r="I116" s="1018"/>
      <c r="J116" s="1016"/>
      <c r="K116" s="1018"/>
      <c r="L116" s="1016"/>
    </row>
    <row r="117" spans="1:14" ht="16.5" customHeight="1">
      <c r="A117" s="1011" t="s">
        <v>181</v>
      </c>
      <c r="B117" s="1012" t="s">
        <v>182</v>
      </c>
      <c r="C117" s="849" t="s">
        <v>271</v>
      </c>
      <c r="D117" s="1013">
        <v>12</v>
      </c>
      <c r="E117" s="1014">
        <v>1</v>
      </c>
      <c r="F117" s="1015">
        <v>11</v>
      </c>
      <c r="G117" s="1015">
        <v>0</v>
      </c>
      <c r="H117" s="1016"/>
      <c r="I117" s="1018"/>
      <c r="J117" s="1016"/>
      <c r="K117" s="1016"/>
      <c r="L117" s="1016"/>
    </row>
    <row r="118" spans="1:14" ht="16.5" customHeight="1">
      <c r="A118" s="1011" t="s">
        <v>193</v>
      </c>
      <c r="B118" s="1012" t="s">
        <v>194</v>
      </c>
      <c r="C118" s="849" t="s">
        <v>275</v>
      </c>
      <c r="D118" s="1013">
        <v>1</v>
      </c>
      <c r="E118" s="1014">
        <v>1</v>
      </c>
      <c r="F118" s="1015">
        <v>0</v>
      </c>
      <c r="G118" s="1015">
        <v>0</v>
      </c>
      <c r="H118" s="1016"/>
      <c r="I118" s="1019"/>
      <c r="J118" s="1016"/>
      <c r="K118" s="1016"/>
      <c r="L118" s="1016"/>
    </row>
    <row r="119" spans="1:14" ht="16.5" customHeight="1">
      <c r="A119" s="1011" t="s">
        <v>197</v>
      </c>
      <c r="B119" s="1012" t="s">
        <v>334</v>
      </c>
      <c r="C119" s="849" t="s">
        <v>273</v>
      </c>
      <c r="D119" s="1013">
        <v>27</v>
      </c>
      <c r="E119" s="1014">
        <v>1</v>
      </c>
      <c r="F119" s="1015">
        <v>24</v>
      </c>
      <c r="G119" s="1015">
        <v>2</v>
      </c>
      <c r="H119" s="1016"/>
      <c r="I119" s="1018"/>
      <c r="J119" s="1016"/>
      <c r="K119" s="1020"/>
      <c r="L119" s="1016"/>
    </row>
    <row r="120" spans="1:14" ht="16.5" customHeight="1">
      <c r="A120" s="1011" t="s">
        <v>201</v>
      </c>
      <c r="B120" s="1012" t="s">
        <v>335</v>
      </c>
      <c r="C120" s="849" t="s">
        <v>272</v>
      </c>
      <c r="D120" s="1013">
        <v>34</v>
      </c>
      <c r="E120" s="1014">
        <v>14</v>
      </c>
      <c r="F120" s="1015">
        <v>11</v>
      </c>
      <c r="G120" s="1015">
        <v>9</v>
      </c>
      <c r="H120" s="1016"/>
      <c r="I120" s="1020"/>
      <c r="J120" s="1016"/>
      <c r="K120" s="1020"/>
      <c r="L120" s="1016"/>
    </row>
    <row r="121" spans="1:14" ht="16.5" customHeight="1">
      <c r="A121" s="1011" t="s">
        <v>223</v>
      </c>
      <c r="B121" s="1012" t="s">
        <v>224</v>
      </c>
      <c r="C121" s="849" t="s">
        <v>271</v>
      </c>
      <c r="D121" s="1013">
        <v>5</v>
      </c>
      <c r="E121" s="1014">
        <v>3</v>
      </c>
      <c r="F121" s="1015">
        <v>1</v>
      </c>
      <c r="G121" s="1015">
        <v>1</v>
      </c>
      <c r="H121" s="1016"/>
      <c r="I121" s="1019"/>
      <c r="J121" s="1016"/>
      <c r="K121" s="1016"/>
      <c r="L121" s="1016"/>
    </row>
    <row r="122" spans="1:14" ht="16.5" customHeight="1">
      <c r="A122" s="1011" t="s">
        <v>231</v>
      </c>
      <c r="B122" s="1012" t="s">
        <v>232</v>
      </c>
      <c r="C122" s="849" t="s">
        <v>271</v>
      </c>
      <c r="D122" s="1013">
        <v>16</v>
      </c>
      <c r="E122" s="1014">
        <v>6</v>
      </c>
      <c r="F122" s="1015">
        <v>4</v>
      </c>
      <c r="G122" s="1015">
        <v>6</v>
      </c>
      <c r="H122" s="1016"/>
      <c r="I122" s="1020"/>
      <c r="J122" s="1016"/>
      <c r="K122" s="1020"/>
      <c r="L122" s="1016"/>
    </row>
    <row r="123" spans="1:14" ht="16.5" customHeight="1">
      <c r="A123" s="1011" t="s">
        <v>239</v>
      </c>
      <c r="B123" s="1012" t="s">
        <v>240</v>
      </c>
      <c r="C123" s="849" t="s">
        <v>271</v>
      </c>
      <c r="D123" s="1013">
        <v>5</v>
      </c>
      <c r="E123" s="1014">
        <v>1</v>
      </c>
      <c r="F123" s="1015">
        <v>4</v>
      </c>
      <c r="G123" s="1015">
        <v>0</v>
      </c>
      <c r="H123" s="1016"/>
      <c r="I123" s="1016"/>
      <c r="J123" s="1016"/>
      <c r="K123" s="1016"/>
      <c r="L123" s="1016"/>
    </row>
    <row r="124" spans="1:14" ht="16.5" customHeight="1">
      <c r="A124" s="1011" t="s">
        <v>241</v>
      </c>
      <c r="B124" s="1012" t="s">
        <v>242</v>
      </c>
      <c r="C124" s="849" t="s">
        <v>274</v>
      </c>
      <c r="D124" s="1013">
        <v>6</v>
      </c>
      <c r="E124" s="1014">
        <v>4</v>
      </c>
      <c r="F124" s="1015">
        <v>0</v>
      </c>
      <c r="G124" s="1015">
        <v>2</v>
      </c>
      <c r="H124" s="1016"/>
      <c r="I124" s="1018"/>
      <c r="J124" s="1016"/>
      <c r="K124" s="1016"/>
      <c r="L124" s="1016"/>
    </row>
    <row r="125" spans="1:14">
      <c r="D125" s="1016"/>
      <c r="E125" s="1016"/>
      <c r="F125" s="1016"/>
      <c r="G125" s="1026"/>
      <c r="H125" s="1016"/>
      <c r="I125" s="1016"/>
      <c r="J125" s="1016"/>
      <c r="K125" s="1016"/>
      <c r="L125" s="1016"/>
    </row>
    <row r="126" spans="1:14" ht="32.25" customHeight="1">
      <c r="A126" s="1676" t="s">
        <v>1133</v>
      </c>
      <c r="B126" s="1676"/>
      <c r="C126" s="1676"/>
      <c r="D126" s="1676"/>
      <c r="E126" s="1676"/>
      <c r="F126" s="1676"/>
      <c r="G126" s="1676"/>
      <c r="H126" s="1676"/>
      <c r="I126" s="1676"/>
      <c r="J126" s="1027"/>
      <c r="K126" s="1027"/>
      <c r="L126" s="1027"/>
      <c r="M126" s="1027"/>
      <c r="N126" s="1027"/>
    </row>
    <row r="127" spans="1:14">
      <c r="A127" s="511" t="s">
        <v>1076</v>
      </c>
    </row>
    <row r="129" spans="1:3" s="542" customFormat="1">
      <c r="A129" s="542" t="s">
        <v>249</v>
      </c>
    </row>
    <row r="130" spans="1:3" s="542" customFormat="1">
      <c r="A130" s="543" t="s">
        <v>250</v>
      </c>
      <c r="B130" s="544" t="s">
        <v>251</v>
      </c>
      <c r="C130" s="544"/>
    </row>
  </sheetData>
  <autoFilter ref="A3:C3"/>
  <mergeCells count="1">
    <mergeCell ref="A126:I126"/>
  </mergeCells>
  <hyperlinks>
    <hyperlink ref="B130" r:id="rId1"/>
  </hyperlinks>
  <pageMargins left="0.75" right="0.75" top="1" bottom="1" header="0.5" footer="0.5"/>
  <pageSetup orientation="portrait" r:id="rId2"/>
</worksheet>
</file>

<file path=xl/worksheets/sheet2.xml><?xml version="1.0" encoding="utf-8"?>
<worksheet xmlns="http://schemas.openxmlformats.org/spreadsheetml/2006/main" xmlns:r="http://schemas.openxmlformats.org/officeDocument/2006/relationships">
  <dimension ref="A1:E132"/>
  <sheetViews>
    <sheetView workbookViewId="0">
      <pane ySplit="3" topLeftCell="A4" activePane="bottomLeft" state="frozen"/>
      <selection pane="bottomLeft" activeCell="C3" sqref="C3"/>
    </sheetView>
  </sheetViews>
  <sheetFormatPr defaultRowHeight="15.75"/>
  <cols>
    <col min="1" max="1" width="8.75" style="730" customWidth="1"/>
    <col min="2" max="2" width="33.875" style="280" customWidth="1"/>
    <col min="3" max="3" width="11.625" style="280" customWidth="1"/>
    <col min="4" max="4" width="14" style="280" customWidth="1"/>
    <col min="5" max="5" width="18.125" style="730" customWidth="1"/>
    <col min="6" max="16384" width="9" style="280"/>
  </cols>
  <sheetData>
    <row r="1" spans="1:5">
      <c r="A1" s="63" t="s">
        <v>869</v>
      </c>
    </row>
    <row r="2" spans="1:5">
      <c r="A2" s="63"/>
    </row>
    <row r="3" spans="1:5">
      <c r="A3" s="735" t="s">
        <v>4</v>
      </c>
      <c r="B3" s="736" t="s">
        <v>5</v>
      </c>
      <c r="C3" s="727" t="s">
        <v>252</v>
      </c>
      <c r="D3" s="737" t="s">
        <v>315</v>
      </c>
      <c r="E3" s="510" t="s">
        <v>795</v>
      </c>
    </row>
    <row r="4" spans="1:5">
      <c r="A4" s="738" t="s">
        <v>10</v>
      </c>
      <c r="B4" s="666" t="s">
        <v>11</v>
      </c>
      <c r="C4" s="666" t="s">
        <v>271</v>
      </c>
      <c r="D4" s="739" t="s">
        <v>10</v>
      </c>
      <c r="E4" s="730" t="s">
        <v>951</v>
      </c>
    </row>
    <row r="5" spans="1:5">
      <c r="A5" s="738" t="s">
        <v>12</v>
      </c>
      <c r="B5" s="666" t="s">
        <v>13</v>
      </c>
      <c r="C5" s="666" t="s">
        <v>272</v>
      </c>
      <c r="D5" s="739" t="s">
        <v>12</v>
      </c>
      <c r="E5" s="730" t="s">
        <v>953</v>
      </c>
    </row>
    <row r="6" spans="1:5">
      <c r="A6" s="738" t="s">
        <v>16</v>
      </c>
      <c r="B6" s="666" t="s">
        <v>787</v>
      </c>
      <c r="C6" s="666" t="s">
        <v>272</v>
      </c>
      <c r="D6" s="739" t="s">
        <v>16</v>
      </c>
      <c r="E6" s="730" t="s">
        <v>951</v>
      </c>
    </row>
    <row r="7" spans="1:5">
      <c r="A7" s="738" t="s">
        <v>18</v>
      </c>
      <c r="B7" s="666" t="s">
        <v>19</v>
      </c>
      <c r="C7" s="666" t="s">
        <v>273</v>
      </c>
      <c r="D7" s="739" t="s">
        <v>18</v>
      </c>
      <c r="E7" s="730" t="s">
        <v>952</v>
      </c>
    </row>
    <row r="8" spans="1:5">
      <c r="A8" s="738" t="s">
        <v>20</v>
      </c>
      <c r="B8" s="666" t="s">
        <v>21</v>
      </c>
      <c r="C8" s="666" t="s">
        <v>272</v>
      </c>
      <c r="D8" s="739" t="s">
        <v>20</v>
      </c>
      <c r="E8" s="730" t="s">
        <v>951</v>
      </c>
    </row>
    <row r="9" spans="1:5">
      <c r="A9" s="738" t="s">
        <v>22</v>
      </c>
      <c r="B9" s="666" t="s">
        <v>23</v>
      </c>
      <c r="C9" s="666" t="s">
        <v>272</v>
      </c>
      <c r="D9" s="739" t="s">
        <v>22</v>
      </c>
      <c r="E9" s="730" t="s">
        <v>952</v>
      </c>
    </row>
    <row r="10" spans="1:5">
      <c r="A10" s="738" t="s">
        <v>24</v>
      </c>
      <c r="B10" s="666" t="s">
        <v>25</v>
      </c>
      <c r="C10" s="666" t="s">
        <v>274</v>
      </c>
      <c r="D10" s="739" t="s">
        <v>24</v>
      </c>
      <c r="E10" s="740" t="s">
        <v>953</v>
      </c>
    </row>
    <row r="11" spans="1:5">
      <c r="A11" s="738" t="s">
        <v>26</v>
      </c>
      <c r="B11" s="666" t="s">
        <v>308</v>
      </c>
      <c r="C11" s="666" t="s">
        <v>272</v>
      </c>
      <c r="D11" s="739" t="s">
        <v>26</v>
      </c>
      <c r="E11" s="730" t="s">
        <v>953</v>
      </c>
    </row>
    <row r="12" spans="1:5">
      <c r="A12" s="738" t="s">
        <v>27</v>
      </c>
      <c r="B12" s="666" t="s">
        <v>28</v>
      </c>
      <c r="C12" s="666" t="s">
        <v>272</v>
      </c>
      <c r="D12" s="739" t="s">
        <v>27</v>
      </c>
      <c r="E12" s="730" t="s">
        <v>952</v>
      </c>
    </row>
    <row r="13" spans="1:5">
      <c r="A13" s="738" t="s">
        <v>29</v>
      </c>
      <c r="B13" s="666" t="s">
        <v>804</v>
      </c>
      <c r="C13" s="666" t="s">
        <v>272</v>
      </c>
      <c r="D13" s="739" t="s">
        <v>29</v>
      </c>
      <c r="E13" s="730" t="s">
        <v>951</v>
      </c>
    </row>
    <row r="14" spans="1:5">
      <c r="A14" s="738" t="s">
        <v>31</v>
      </c>
      <c r="B14" s="666" t="s">
        <v>32</v>
      </c>
      <c r="C14" s="666" t="s">
        <v>275</v>
      </c>
      <c r="D14" s="739" t="s">
        <v>31</v>
      </c>
      <c r="E14" s="730" t="s">
        <v>952</v>
      </c>
    </row>
    <row r="15" spans="1:5">
      <c r="A15" s="738" t="s">
        <v>33</v>
      </c>
      <c r="B15" s="666" t="s">
        <v>34</v>
      </c>
      <c r="C15" s="666" t="s">
        <v>272</v>
      </c>
      <c r="D15" s="739" t="s">
        <v>33</v>
      </c>
      <c r="E15" s="730" t="s">
        <v>952</v>
      </c>
    </row>
    <row r="16" spans="1:5">
      <c r="A16" s="738" t="s">
        <v>37</v>
      </c>
      <c r="B16" s="666" t="s">
        <v>38</v>
      </c>
      <c r="C16" s="666" t="s">
        <v>271</v>
      </c>
      <c r="D16" s="739" t="s">
        <v>37</v>
      </c>
      <c r="E16" s="730" t="s">
        <v>951</v>
      </c>
    </row>
    <row r="17" spans="1:5">
      <c r="A17" s="738" t="s">
        <v>39</v>
      </c>
      <c r="B17" s="666" t="s">
        <v>40</v>
      </c>
      <c r="C17" s="666" t="s">
        <v>275</v>
      </c>
      <c r="D17" s="739" t="s">
        <v>39</v>
      </c>
      <c r="E17" s="730" t="s">
        <v>951</v>
      </c>
    </row>
    <row r="18" spans="1:5">
      <c r="A18" s="738" t="s">
        <v>41</v>
      </c>
      <c r="B18" s="666" t="s">
        <v>42</v>
      </c>
      <c r="C18" s="666" t="s">
        <v>273</v>
      </c>
      <c r="D18" s="739" t="s">
        <v>41</v>
      </c>
      <c r="E18" s="730" t="s">
        <v>951</v>
      </c>
    </row>
    <row r="19" spans="1:5">
      <c r="A19" s="738" t="s">
        <v>43</v>
      </c>
      <c r="B19" s="666" t="s">
        <v>44</v>
      </c>
      <c r="C19" s="666" t="s">
        <v>272</v>
      </c>
      <c r="D19" s="739" t="s">
        <v>43</v>
      </c>
      <c r="E19" s="730" t="s">
        <v>951</v>
      </c>
    </row>
    <row r="20" spans="1:5">
      <c r="A20" s="738" t="s">
        <v>45</v>
      </c>
      <c r="B20" s="666" t="s">
        <v>46</v>
      </c>
      <c r="C20" s="666" t="s">
        <v>273</v>
      </c>
      <c r="D20" s="739" t="s">
        <v>45</v>
      </c>
      <c r="E20" s="730" t="s">
        <v>951</v>
      </c>
    </row>
    <row r="21" spans="1:5">
      <c r="A21" s="738" t="s">
        <v>47</v>
      </c>
      <c r="B21" s="666" t="s">
        <v>48</v>
      </c>
      <c r="C21" s="666" t="s">
        <v>275</v>
      </c>
      <c r="D21" s="739" t="s">
        <v>47</v>
      </c>
      <c r="E21" s="730" t="s">
        <v>951</v>
      </c>
    </row>
    <row r="22" spans="1:5">
      <c r="A22" s="738" t="s">
        <v>49</v>
      </c>
      <c r="B22" s="666" t="s">
        <v>276</v>
      </c>
      <c r="C22" s="666" t="s">
        <v>273</v>
      </c>
      <c r="D22" s="739" t="s">
        <v>49</v>
      </c>
      <c r="E22" s="730" t="s">
        <v>952</v>
      </c>
    </row>
    <row r="23" spans="1:5">
      <c r="A23" s="738" t="s">
        <v>51</v>
      </c>
      <c r="B23" s="666" t="s">
        <v>52</v>
      </c>
      <c r="C23" s="666" t="s">
        <v>272</v>
      </c>
      <c r="D23" s="739" t="s">
        <v>51</v>
      </c>
      <c r="E23" s="730" t="s">
        <v>951</v>
      </c>
    </row>
    <row r="24" spans="1:5">
      <c r="A24" s="738" t="s">
        <v>57</v>
      </c>
      <c r="B24" s="666" t="s">
        <v>305</v>
      </c>
      <c r="C24" s="666" t="s">
        <v>273</v>
      </c>
      <c r="D24" s="739" t="s">
        <v>57</v>
      </c>
      <c r="E24" s="730" t="s">
        <v>953</v>
      </c>
    </row>
    <row r="25" spans="1:5">
      <c r="A25" s="738" t="s">
        <v>59</v>
      </c>
      <c r="B25" s="666" t="s">
        <v>60</v>
      </c>
      <c r="C25" s="666" t="s">
        <v>274</v>
      </c>
      <c r="D25" s="739" t="s">
        <v>59</v>
      </c>
      <c r="E25" s="730" t="s">
        <v>952</v>
      </c>
    </row>
    <row r="26" spans="1:5">
      <c r="A26" s="738" t="s">
        <v>61</v>
      </c>
      <c r="B26" s="666" t="s">
        <v>62</v>
      </c>
      <c r="C26" s="666" t="s">
        <v>272</v>
      </c>
      <c r="D26" s="739" t="s">
        <v>61</v>
      </c>
      <c r="E26" s="730" t="s">
        <v>952</v>
      </c>
    </row>
    <row r="27" spans="1:5">
      <c r="A27" s="738" t="s">
        <v>63</v>
      </c>
      <c r="B27" s="666" t="s">
        <v>64</v>
      </c>
      <c r="C27" s="666" t="s">
        <v>274</v>
      </c>
      <c r="D27" s="739" t="s">
        <v>63</v>
      </c>
      <c r="E27" s="730" t="s">
        <v>951</v>
      </c>
    </row>
    <row r="28" spans="1:5">
      <c r="A28" s="738" t="s">
        <v>65</v>
      </c>
      <c r="B28" s="666" t="s">
        <v>66</v>
      </c>
      <c r="C28" s="666" t="s">
        <v>273</v>
      </c>
      <c r="D28" s="739" t="s">
        <v>65</v>
      </c>
      <c r="E28" s="730" t="s">
        <v>952</v>
      </c>
    </row>
    <row r="29" spans="1:5">
      <c r="A29" s="738" t="s">
        <v>69</v>
      </c>
      <c r="B29" s="666" t="s">
        <v>70</v>
      </c>
      <c r="C29" s="666" t="s">
        <v>275</v>
      </c>
      <c r="D29" s="739" t="s">
        <v>69</v>
      </c>
      <c r="E29" s="730" t="s">
        <v>951</v>
      </c>
    </row>
    <row r="30" spans="1:5">
      <c r="A30" s="738" t="s">
        <v>71</v>
      </c>
      <c r="B30" s="666" t="s">
        <v>72</v>
      </c>
      <c r="C30" s="666" t="s">
        <v>271</v>
      </c>
      <c r="D30" s="739" t="s">
        <v>71</v>
      </c>
      <c r="E30" s="730" t="s">
        <v>951</v>
      </c>
    </row>
    <row r="31" spans="1:5">
      <c r="A31" s="738" t="s">
        <v>73</v>
      </c>
      <c r="B31" s="666" t="s">
        <v>74</v>
      </c>
      <c r="C31" s="666" t="s">
        <v>273</v>
      </c>
      <c r="D31" s="739" t="s">
        <v>73</v>
      </c>
      <c r="E31" s="730" t="s">
        <v>952</v>
      </c>
    </row>
    <row r="32" spans="1:5">
      <c r="A32" s="738" t="s">
        <v>75</v>
      </c>
      <c r="B32" s="666" t="s">
        <v>1074</v>
      </c>
      <c r="C32" s="666" t="s">
        <v>274</v>
      </c>
      <c r="D32" s="739" t="s">
        <v>75</v>
      </c>
      <c r="E32" s="730" t="s">
        <v>953</v>
      </c>
    </row>
    <row r="33" spans="1:5">
      <c r="A33" s="738" t="s">
        <v>77</v>
      </c>
      <c r="B33" s="666" t="s">
        <v>78</v>
      </c>
      <c r="C33" s="666" t="s">
        <v>274</v>
      </c>
      <c r="D33" s="739" t="s">
        <v>77</v>
      </c>
      <c r="E33" s="730" t="s">
        <v>951</v>
      </c>
    </row>
    <row r="34" spans="1:5">
      <c r="A34" s="738" t="s">
        <v>79</v>
      </c>
      <c r="B34" s="666" t="s">
        <v>80</v>
      </c>
      <c r="C34" s="666" t="s">
        <v>275</v>
      </c>
      <c r="D34" s="739" t="s">
        <v>79</v>
      </c>
      <c r="E34" s="730" t="s">
        <v>952</v>
      </c>
    </row>
    <row r="35" spans="1:5">
      <c r="A35" s="738" t="s">
        <v>81</v>
      </c>
      <c r="B35" s="666" t="s">
        <v>82</v>
      </c>
      <c r="C35" s="666" t="s">
        <v>273</v>
      </c>
      <c r="D35" s="739" t="s">
        <v>81</v>
      </c>
      <c r="E35" s="730" t="s">
        <v>951</v>
      </c>
    </row>
    <row r="36" spans="1:5">
      <c r="A36" s="738" t="s">
        <v>85</v>
      </c>
      <c r="B36" s="666" t="s">
        <v>330</v>
      </c>
      <c r="C36" s="666" t="s">
        <v>272</v>
      </c>
      <c r="D36" s="739" t="s">
        <v>85</v>
      </c>
      <c r="E36" s="730" t="s">
        <v>951</v>
      </c>
    </row>
    <row r="37" spans="1:5">
      <c r="A37" s="738" t="s">
        <v>87</v>
      </c>
      <c r="B37" s="666" t="s">
        <v>88</v>
      </c>
      <c r="C37" s="666" t="s">
        <v>274</v>
      </c>
      <c r="D37" s="739" t="s">
        <v>87</v>
      </c>
      <c r="E37" s="730" t="s">
        <v>951</v>
      </c>
    </row>
    <row r="38" spans="1:5">
      <c r="A38" s="738" t="s">
        <v>93</v>
      </c>
      <c r="B38" s="666" t="s">
        <v>94</v>
      </c>
      <c r="C38" s="666" t="s">
        <v>275</v>
      </c>
      <c r="D38" s="739" t="s">
        <v>93</v>
      </c>
      <c r="E38" s="730" t="s">
        <v>951</v>
      </c>
    </row>
    <row r="39" spans="1:5">
      <c r="A39" s="738" t="s">
        <v>95</v>
      </c>
      <c r="B39" s="666" t="s">
        <v>96</v>
      </c>
      <c r="C39" s="666" t="s">
        <v>271</v>
      </c>
      <c r="D39" s="739" t="s">
        <v>95</v>
      </c>
      <c r="E39" s="730" t="s">
        <v>951</v>
      </c>
    </row>
    <row r="40" spans="1:5">
      <c r="A40" s="738" t="s">
        <v>97</v>
      </c>
      <c r="B40" s="666" t="s">
        <v>98</v>
      </c>
      <c r="C40" s="666" t="s">
        <v>273</v>
      </c>
      <c r="D40" s="739" t="s">
        <v>97</v>
      </c>
      <c r="E40" s="730" t="s">
        <v>952</v>
      </c>
    </row>
    <row r="41" spans="1:5">
      <c r="A41" s="738" t="s">
        <v>99</v>
      </c>
      <c r="B41" s="666" t="s">
        <v>100</v>
      </c>
      <c r="C41" s="666" t="s">
        <v>275</v>
      </c>
      <c r="D41" s="739" t="s">
        <v>99</v>
      </c>
      <c r="E41" s="730" t="s">
        <v>951</v>
      </c>
    </row>
    <row r="42" spans="1:5">
      <c r="A42" s="738" t="s">
        <v>101</v>
      </c>
      <c r="B42" s="666" t="s">
        <v>102</v>
      </c>
      <c r="C42" s="666" t="s">
        <v>274</v>
      </c>
      <c r="D42" s="739" t="s">
        <v>101</v>
      </c>
      <c r="E42" s="730" t="s">
        <v>952</v>
      </c>
    </row>
    <row r="43" spans="1:5">
      <c r="A43" s="738" t="s">
        <v>103</v>
      </c>
      <c r="B43" s="666" t="s">
        <v>290</v>
      </c>
      <c r="C43" s="666" t="s">
        <v>271</v>
      </c>
      <c r="D43" s="739" t="s">
        <v>103</v>
      </c>
      <c r="E43" s="730" t="s">
        <v>951</v>
      </c>
    </row>
    <row r="44" spans="1:5">
      <c r="A44" s="738" t="s">
        <v>105</v>
      </c>
      <c r="B44" s="666" t="s">
        <v>790</v>
      </c>
      <c r="C44" s="666" t="s">
        <v>272</v>
      </c>
      <c r="D44" s="739" t="s">
        <v>105</v>
      </c>
      <c r="E44" s="730" t="s">
        <v>951</v>
      </c>
    </row>
    <row r="45" spans="1:5">
      <c r="A45" s="738" t="s">
        <v>109</v>
      </c>
      <c r="B45" s="666" t="s">
        <v>110</v>
      </c>
      <c r="C45" s="666" t="s">
        <v>273</v>
      </c>
      <c r="D45" s="739" t="s">
        <v>109</v>
      </c>
      <c r="E45" s="730" t="s">
        <v>951</v>
      </c>
    </row>
    <row r="46" spans="1:5">
      <c r="A46" s="738" t="s">
        <v>111</v>
      </c>
      <c r="B46" s="666" t="s">
        <v>112</v>
      </c>
      <c r="C46" s="666" t="s">
        <v>273</v>
      </c>
      <c r="D46" s="739" t="s">
        <v>111</v>
      </c>
      <c r="E46" s="730" t="s">
        <v>953</v>
      </c>
    </row>
    <row r="47" spans="1:5">
      <c r="A47" s="738" t="s">
        <v>113</v>
      </c>
      <c r="B47" s="666" t="s">
        <v>310</v>
      </c>
      <c r="C47" s="666" t="s">
        <v>272</v>
      </c>
      <c r="D47" s="739" t="s">
        <v>113</v>
      </c>
      <c r="E47" s="730" t="s">
        <v>953</v>
      </c>
    </row>
    <row r="48" spans="1:5">
      <c r="A48" s="738" t="s">
        <v>115</v>
      </c>
      <c r="B48" s="666" t="s">
        <v>116</v>
      </c>
      <c r="C48" s="666" t="s">
        <v>272</v>
      </c>
      <c r="D48" s="739" t="s">
        <v>115</v>
      </c>
      <c r="E48" s="730" t="s">
        <v>952</v>
      </c>
    </row>
    <row r="49" spans="1:5">
      <c r="A49" s="738" t="s">
        <v>119</v>
      </c>
      <c r="B49" s="666" t="s">
        <v>120</v>
      </c>
      <c r="C49" s="666" t="s">
        <v>271</v>
      </c>
      <c r="D49" s="739" t="s">
        <v>119</v>
      </c>
      <c r="E49" s="730" t="s">
        <v>951</v>
      </c>
    </row>
    <row r="50" spans="1:5">
      <c r="A50" s="738" t="s">
        <v>121</v>
      </c>
      <c r="B50" s="666" t="s">
        <v>122</v>
      </c>
      <c r="C50" s="666" t="s">
        <v>271</v>
      </c>
      <c r="D50" s="739" t="s">
        <v>121</v>
      </c>
      <c r="E50" s="730" t="s">
        <v>951</v>
      </c>
    </row>
    <row r="51" spans="1:5">
      <c r="A51" s="738" t="s">
        <v>123</v>
      </c>
      <c r="B51" s="666" t="s">
        <v>278</v>
      </c>
      <c r="C51" s="666" t="s">
        <v>273</v>
      </c>
      <c r="D51" s="739" t="s">
        <v>123</v>
      </c>
      <c r="E51" s="730" t="s">
        <v>952</v>
      </c>
    </row>
    <row r="52" spans="1:5">
      <c r="A52" s="738" t="s">
        <v>125</v>
      </c>
      <c r="B52" s="666" t="s">
        <v>126</v>
      </c>
      <c r="C52" s="666" t="s">
        <v>274</v>
      </c>
      <c r="D52" s="739" t="s">
        <v>125</v>
      </c>
      <c r="E52" s="730" t="s">
        <v>952</v>
      </c>
    </row>
    <row r="53" spans="1:5">
      <c r="A53" s="738" t="s">
        <v>127</v>
      </c>
      <c r="B53" s="666" t="s">
        <v>128</v>
      </c>
      <c r="C53" s="666" t="s">
        <v>273</v>
      </c>
      <c r="D53" s="739" t="s">
        <v>127</v>
      </c>
      <c r="E53" s="730" t="s">
        <v>952</v>
      </c>
    </row>
    <row r="54" spans="1:5">
      <c r="A54" s="738" t="s">
        <v>129</v>
      </c>
      <c r="B54" s="666" t="s">
        <v>130</v>
      </c>
      <c r="C54" s="666" t="s">
        <v>273</v>
      </c>
      <c r="D54" s="739" t="s">
        <v>129</v>
      </c>
      <c r="E54" s="730" t="s">
        <v>952</v>
      </c>
    </row>
    <row r="55" spans="1:5">
      <c r="A55" s="738" t="s">
        <v>131</v>
      </c>
      <c r="B55" s="666" t="s">
        <v>132</v>
      </c>
      <c r="C55" s="666" t="s">
        <v>275</v>
      </c>
      <c r="D55" s="739" t="s">
        <v>131</v>
      </c>
      <c r="E55" s="730" t="s">
        <v>951</v>
      </c>
    </row>
    <row r="56" spans="1:5">
      <c r="A56" s="738" t="s">
        <v>133</v>
      </c>
      <c r="B56" s="666" t="s">
        <v>134</v>
      </c>
      <c r="C56" s="666" t="s">
        <v>274</v>
      </c>
      <c r="D56" s="739" t="s">
        <v>133</v>
      </c>
      <c r="E56" s="730" t="s">
        <v>953</v>
      </c>
    </row>
    <row r="57" spans="1:5">
      <c r="A57" s="738" t="s">
        <v>135</v>
      </c>
      <c r="B57" s="666" t="s">
        <v>136</v>
      </c>
      <c r="C57" s="666" t="s">
        <v>274</v>
      </c>
      <c r="D57" s="739" t="s">
        <v>135</v>
      </c>
      <c r="E57" s="730" t="s">
        <v>951</v>
      </c>
    </row>
    <row r="58" spans="1:5">
      <c r="A58" s="738" t="s">
        <v>137</v>
      </c>
      <c r="B58" s="666" t="s">
        <v>138</v>
      </c>
      <c r="C58" s="666" t="s">
        <v>273</v>
      </c>
      <c r="D58" s="739" t="s">
        <v>137</v>
      </c>
      <c r="E58" s="730" t="s">
        <v>952</v>
      </c>
    </row>
    <row r="59" spans="1:5">
      <c r="A59" s="738" t="s">
        <v>141</v>
      </c>
      <c r="B59" s="666" t="s">
        <v>142</v>
      </c>
      <c r="C59" s="666" t="s">
        <v>274</v>
      </c>
      <c r="D59" s="739" t="s">
        <v>141</v>
      </c>
      <c r="E59" s="730" t="s">
        <v>952</v>
      </c>
    </row>
    <row r="60" spans="1:5">
      <c r="A60" s="738" t="s">
        <v>147</v>
      </c>
      <c r="B60" s="666" t="s">
        <v>148</v>
      </c>
      <c r="C60" s="666" t="s">
        <v>271</v>
      </c>
      <c r="D60" s="739" t="s">
        <v>147</v>
      </c>
      <c r="E60" s="730" t="s">
        <v>952</v>
      </c>
    </row>
    <row r="61" spans="1:5">
      <c r="A61" s="738" t="s">
        <v>149</v>
      </c>
      <c r="B61" s="666" t="s">
        <v>150</v>
      </c>
      <c r="C61" s="666" t="s">
        <v>272</v>
      </c>
      <c r="D61" s="739" t="s">
        <v>149</v>
      </c>
      <c r="E61" s="730" t="s">
        <v>951</v>
      </c>
    </row>
    <row r="62" spans="1:5">
      <c r="A62" s="738" t="s">
        <v>151</v>
      </c>
      <c r="B62" s="666" t="s">
        <v>152</v>
      </c>
      <c r="C62" s="666" t="s">
        <v>273</v>
      </c>
      <c r="D62" s="739" t="s">
        <v>151</v>
      </c>
      <c r="E62" s="730" t="s">
        <v>952</v>
      </c>
    </row>
    <row r="63" spans="1:5">
      <c r="A63" s="738" t="s">
        <v>153</v>
      </c>
      <c r="B63" s="666" t="s">
        <v>154</v>
      </c>
      <c r="C63" s="666" t="s">
        <v>275</v>
      </c>
      <c r="D63" s="739" t="s">
        <v>153</v>
      </c>
      <c r="E63" s="730" t="s">
        <v>951</v>
      </c>
    </row>
    <row r="64" spans="1:5">
      <c r="A64" s="738" t="s">
        <v>155</v>
      </c>
      <c r="B64" s="666" t="s">
        <v>156</v>
      </c>
      <c r="C64" s="666" t="s">
        <v>272</v>
      </c>
      <c r="D64" s="739" t="s">
        <v>155</v>
      </c>
      <c r="E64" s="730" t="s">
        <v>952</v>
      </c>
    </row>
    <row r="65" spans="1:5">
      <c r="A65" s="738" t="s">
        <v>157</v>
      </c>
      <c r="B65" s="666" t="s">
        <v>158</v>
      </c>
      <c r="C65" s="666" t="s">
        <v>273</v>
      </c>
      <c r="D65" s="739" t="s">
        <v>157</v>
      </c>
      <c r="E65" s="730" t="s">
        <v>952</v>
      </c>
    </row>
    <row r="66" spans="1:5">
      <c r="A66" s="738" t="s">
        <v>163</v>
      </c>
      <c r="B66" s="666" t="s">
        <v>164</v>
      </c>
      <c r="C66" s="666" t="s">
        <v>271</v>
      </c>
      <c r="D66" s="739" t="s">
        <v>163</v>
      </c>
      <c r="E66" s="730" t="s">
        <v>951</v>
      </c>
    </row>
    <row r="67" spans="1:5">
      <c r="A67" s="738" t="s">
        <v>165</v>
      </c>
      <c r="B67" s="666" t="s">
        <v>166</v>
      </c>
      <c r="C67" s="666" t="s">
        <v>273</v>
      </c>
      <c r="D67" s="739" t="s">
        <v>165</v>
      </c>
      <c r="E67" s="730" t="s">
        <v>952</v>
      </c>
    </row>
    <row r="68" spans="1:5">
      <c r="A68" s="738" t="s">
        <v>169</v>
      </c>
      <c r="B68" s="666" t="s">
        <v>170</v>
      </c>
      <c r="C68" s="666" t="s">
        <v>273</v>
      </c>
      <c r="D68" s="739" t="s">
        <v>169</v>
      </c>
      <c r="E68" s="730" t="s">
        <v>952</v>
      </c>
    </row>
    <row r="69" spans="1:5">
      <c r="A69" s="738" t="s">
        <v>171</v>
      </c>
      <c r="B69" s="666" t="s">
        <v>172</v>
      </c>
      <c r="C69" s="666" t="s">
        <v>274</v>
      </c>
      <c r="D69" s="739" t="s">
        <v>171</v>
      </c>
      <c r="E69" s="730" t="s">
        <v>951</v>
      </c>
    </row>
    <row r="70" spans="1:5">
      <c r="A70" s="738" t="s">
        <v>173</v>
      </c>
      <c r="B70" s="666" t="s">
        <v>174</v>
      </c>
      <c r="C70" s="666" t="s">
        <v>274</v>
      </c>
      <c r="D70" s="739" t="s">
        <v>173</v>
      </c>
      <c r="E70" s="730" t="s">
        <v>951</v>
      </c>
    </row>
    <row r="71" spans="1:5">
      <c r="A71" s="738" t="s">
        <v>175</v>
      </c>
      <c r="B71" s="666" t="s">
        <v>176</v>
      </c>
      <c r="C71" s="666" t="s">
        <v>275</v>
      </c>
      <c r="D71" s="739" t="s">
        <v>175</v>
      </c>
      <c r="E71" s="730" t="s">
        <v>951</v>
      </c>
    </row>
    <row r="72" spans="1:5">
      <c r="A72" s="738" t="s">
        <v>179</v>
      </c>
      <c r="B72" s="666" t="s">
        <v>180</v>
      </c>
      <c r="C72" s="666" t="s">
        <v>272</v>
      </c>
      <c r="D72" s="739" t="s">
        <v>179</v>
      </c>
      <c r="E72" s="730" t="s">
        <v>951</v>
      </c>
    </row>
    <row r="73" spans="1:5">
      <c r="A73" s="738" t="s">
        <v>183</v>
      </c>
      <c r="B73" s="666" t="s">
        <v>184</v>
      </c>
      <c r="C73" s="666" t="s">
        <v>273</v>
      </c>
      <c r="D73" s="739" t="s">
        <v>183</v>
      </c>
      <c r="E73" s="730" t="s">
        <v>952</v>
      </c>
    </row>
    <row r="74" spans="1:5">
      <c r="A74" s="738" t="s">
        <v>185</v>
      </c>
      <c r="B74" s="666" t="s">
        <v>186</v>
      </c>
      <c r="C74" s="666" t="s">
        <v>273</v>
      </c>
      <c r="D74" s="739" t="s">
        <v>185</v>
      </c>
      <c r="E74" s="730" t="s">
        <v>951</v>
      </c>
    </row>
    <row r="75" spans="1:5">
      <c r="A75" s="738" t="s">
        <v>187</v>
      </c>
      <c r="B75" s="666" t="s">
        <v>188</v>
      </c>
      <c r="C75" s="666" t="s">
        <v>271</v>
      </c>
      <c r="D75" s="739" t="s">
        <v>187</v>
      </c>
      <c r="E75" s="730" t="s">
        <v>951</v>
      </c>
    </row>
    <row r="76" spans="1:5">
      <c r="A76" s="738" t="s">
        <v>189</v>
      </c>
      <c r="B76" s="666" t="s">
        <v>190</v>
      </c>
      <c r="C76" s="666" t="s">
        <v>274</v>
      </c>
      <c r="D76" s="739" t="s">
        <v>189</v>
      </c>
      <c r="E76" s="730" t="s">
        <v>953</v>
      </c>
    </row>
    <row r="77" spans="1:5">
      <c r="A77" s="738" t="s">
        <v>191</v>
      </c>
      <c r="B77" s="666" t="s">
        <v>192</v>
      </c>
      <c r="C77" s="666" t="s">
        <v>275</v>
      </c>
      <c r="D77" s="739" t="s">
        <v>191</v>
      </c>
      <c r="E77" s="730" t="s">
        <v>951</v>
      </c>
    </row>
    <row r="78" spans="1:5">
      <c r="A78" s="738" t="s">
        <v>195</v>
      </c>
      <c r="B78" s="666" t="s">
        <v>196</v>
      </c>
      <c r="C78" s="666" t="s">
        <v>274</v>
      </c>
      <c r="D78" s="739" t="s">
        <v>195</v>
      </c>
      <c r="E78" s="730" t="s">
        <v>952</v>
      </c>
    </row>
    <row r="79" spans="1:5">
      <c r="A79" s="738" t="s">
        <v>199</v>
      </c>
      <c r="B79" s="666" t="s">
        <v>200</v>
      </c>
      <c r="C79" s="666" t="s">
        <v>273</v>
      </c>
      <c r="D79" s="739" t="s">
        <v>199</v>
      </c>
      <c r="E79" s="730" t="s">
        <v>952</v>
      </c>
    </row>
    <row r="80" spans="1:5">
      <c r="A80" s="738" t="s">
        <v>203</v>
      </c>
      <c r="B80" s="666" t="s">
        <v>805</v>
      </c>
      <c r="C80" s="666" t="s">
        <v>272</v>
      </c>
      <c r="D80" s="739" t="s">
        <v>203</v>
      </c>
      <c r="E80" s="730" t="s">
        <v>953</v>
      </c>
    </row>
    <row r="81" spans="1:5">
      <c r="A81" s="738" t="s">
        <v>205</v>
      </c>
      <c r="B81" s="666" t="s">
        <v>303</v>
      </c>
      <c r="C81" s="666" t="s">
        <v>272</v>
      </c>
      <c r="D81" s="739" t="s">
        <v>205</v>
      </c>
      <c r="E81" s="730" t="s">
        <v>951</v>
      </c>
    </row>
    <row r="82" spans="1:5">
      <c r="A82" s="738" t="s">
        <v>207</v>
      </c>
      <c r="B82" s="666" t="s">
        <v>304</v>
      </c>
      <c r="C82" s="666" t="s">
        <v>274</v>
      </c>
      <c r="D82" s="739" t="s">
        <v>207</v>
      </c>
      <c r="E82" s="730" t="s">
        <v>953</v>
      </c>
    </row>
    <row r="83" spans="1:5">
      <c r="A83" s="738" t="s">
        <v>209</v>
      </c>
      <c r="B83" s="666" t="s">
        <v>210</v>
      </c>
      <c r="C83" s="666" t="s">
        <v>275</v>
      </c>
      <c r="D83" s="739" t="s">
        <v>209</v>
      </c>
      <c r="E83" s="730" t="s">
        <v>951</v>
      </c>
    </row>
    <row r="84" spans="1:5">
      <c r="A84" s="738" t="s">
        <v>211</v>
      </c>
      <c r="B84" s="666" t="s">
        <v>212</v>
      </c>
      <c r="C84" s="666" t="s">
        <v>275</v>
      </c>
      <c r="D84" s="739" t="s">
        <v>211</v>
      </c>
      <c r="E84" s="730" t="s">
        <v>951</v>
      </c>
    </row>
    <row r="85" spans="1:5">
      <c r="A85" s="738" t="s">
        <v>213</v>
      </c>
      <c r="B85" s="666" t="s">
        <v>214</v>
      </c>
      <c r="C85" s="666" t="s">
        <v>274</v>
      </c>
      <c r="D85" s="739" t="s">
        <v>213</v>
      </c>
      <c r="E85" s="730" t="s">
        <v>951</v>
      </c>
    </row>
    <row r="86" spans="1:5">
      <c r="A86" s="738" t="s">
        <v>215</v>
      </c>
      <c r="B86" s="666" t="s">
        <v>216</v>
      </c>
      <c r="C86" s="666" t="s">
        <v>275</v>
      </c>
      <c r="D86" s="739" t="s">
        <v>215</v>
      </c>
      <c r="E86" s="730" t="s">
        <v>951</v>
      </c>
    </row>
    <row r="87" spans="1:5">
      <c r="A87" s="738" t="s">
        <v>217</v>
      </c>
      <c r="B87" s="666" t="s">
        <v>218</v>
      </c>
      <c r="C87" s="666" t="s">
        <v>271</v>
      </c>
      <c r="D87" s="739" t="s">
        <v>217</v>
      </c>
      <c r="E87" s="730" t="s">
        <v>951</v>
      </c>
    </row>
    <row r="88" spans="1:5">
      <c r="A88" s="738" t="s">
        <v>219</v>
      </c>
      <c r="B88" s="666" t="s">
        <v>220</v>
      </c>
      <c r="C88" s="666" t="s">
        <v>274</v>
      </c>
      <c r="D88" s="739" t="s">
        <v>219</v>
      </c>
      <c r="E88" s="730" t="s">
        <v>951</v>
      </c>
    </row>
    <row r="89" spans="1:5">
      <c r="A89" s="738" t="s">
        <v>221</v>
      </c>
      <c r="B89" s="666" t="s">
        <v>222</v>
      </c>
      <c r="C89" s="666" t="s">
        <v>274</v>
      </c>
      <c r="D89" s="739" t="s">
        <v>221</v>
      </c>
      <c r="E89" s="730" t="s">
        <v>951</v>
      </c>
    </row>
    <row r="90" spans="1:5">
      <c r="A90" s="738" t="s">
        <v>225</v>
      </c>
      <c r="B90" s="666" t="s">
        <v>226</v>
      </c>
      <c r="C90" s="666" t="s">
        <v>271</v>
      </c>
      <c r="D90" s="739" t="s">
        <v>225</v>
      </c>
      <c r="E90" s="730" t="s">
        <v>951</v>
      </c>
    </row>
    <row r="91" spans="1:5">
      <c r="A91" s="738" t="s">
        <v>227</v>
      </c>
      <c r="B91" s="666" t="s">
        <v>228</v>
      </c>
      <c r="C91" s="666" t="s">
        <v>271</v>
      </c>
      <c r="D91" s="739" t="s">
        <v>227</v>
      </c>
      <c r="E91" s="730" t="s">
        <v>951</v>
      </c>
    </row>
    <row r="92" spans="1:5">
      <c r="A92" s="738" t="s">
        <v>229</v>
      </c>
      <c r="B92" s="666" t="s">
        <v>230</v>
      </c>
      <c r="C92" s="666" t="s">
        <v>275</v>
      </c>
      <c r="D92" s="739" t="s">
        <v>229</v>
      </c>
      <c r="E92" s="730" t="s">
        <v>951</v>
      </c>
    </row>
    <row r="93" spans="1:5">
      <c r="A93" s="738" t="s">
        <v>233</v>
      </c>
      <c r="B93" s="666" t="s">
        <v>234</v>
      </c>
      <c r="C93" s="666" t="s">
        <v>274</v>
      </c>
      <c r="D93" s="739" t="s">
        <v>233</v>
      </c>
      <c r="E93" s="730" t="s">
        <v>951</v>
      </c>
    </row>
    <row r="94" spans="1:5">
      <c r="A94" s="738" t="s">
        <v>235</v>
      </c>
      <c r="B94" s="666" t="s">
        <v>236</v>
      </c>
      <c r="C94" s="666" t="s">
        <v>275</v>
      </c>
      <c r="D94" s="739" t="s">
        <v>235</v>
      </c>
      <c r="E94" s="730" t="s">
        <v>951</v>
      </c>
    </row>
    <row r="95" spans="1:5">
      <c r="A95" s="738" t="s">
        <v>237</v>
      </c>
      <c r="B95" s="666" t="s">
        <v>238</v>
      </c>
      <c r="C95" s="666" t="s">
        <v>273</v>
      </c>
      <c r="D95" s="739" t="s">
        <v>237</v>
      </c>
      <c r="E95" s="730" t="s">
        <v>951</v>
      </c>
    </row>
    <row r="96" spans="1:5">
      <c r="A96" s="738" t="s">
        <v>243</v>
      </c>
      <c r="B96" s="666" t="s">
        <v>244</v>
      </c>
      <c r="C96" s="666" t="s">
        <v>275</v>
      </c>
      <c r="D96" s="739" t="s">
        <v>243</v>
      </c>
      <c r="E96" s="730" t="s">
        <v>953</v>
      </c>
    </row>
    <row r="97" spans="1:5">
      <c r="A97" s="738" t="s">
        <v>245</v>
      </c>
      <c r="B97" s="666" t="s">
        <v>246</v>
      </c>
      <c r="C97" s="666" t="s">
        <v>275</v>
      </c>
      <c r="D97" s="739" t="s">
        <v>245</v>
      </c>
      <c r="E97" s="730" t="s">
        <v>951</v>
      </c>
    </row>
    <row r="98" spans="1:5">
      <c r="A98" s="738" t="s">
        <v>247</v>
      </c>
      <c r="B98" s="666" t="s">
        <v>248</v>
      </c>
      <c r="C98" s="666" t="s">
        <v>271</v>
      </c>
      <c r="D98" s="739" t="s">
        <v>247</v>
      </c>
      <c r="E98" s="730" t="s">
        <v>951</v>
      </c>
    </row>
    <row r="99" spans="1:5">
      <c r="A99" s="738" t="s">
        <v>14</v>
      </c>
      <c r="B99" s="666" t="s">
        <v>15</v>
      </c>
      <c r="C99" s="666" t="s">
        <v>274</v>
      </c>
      <c r="D99" s="739" t="s">
        <v>14</v>
      </c>
      <c r="E99" s="740" t="s">
        <v>953</v>
      </c>
    </row>
    <row r="100" spans="1:5">
      <c r="A100" s="738" t="s">
        <v>35</v>
      </c>
      <c r="B100" s="666" t="s">
        <v>36</v>
      </c>
      <c r="C100" s="666" t="s">
        <v>275</v>
      </c>
      <c r="D100" s="739" t="s">
        <v>35</v>
      </c>
      <c r="E100" s="730" t="s">
        <v>951</v>
      </c>
    </row>
    <row r="101" spans="1:5">
      <c r="A101" s="738" t="s">
        <v>53</v>
      </c>
      <c r="B101" s="666" t="s">
        <v>54</v>
      </c>
      <c r="C101" s="666" t="s">
        <v>272</v>
      </c>
      <c r="D101" s="739" t="s">
        <v>53</v>
      </c>
      <c r="E101" s="730" t="s">
        <v>953</v>
      </c>
    </row>
    <row r="102" spans="1:5">
      <c r="A102" s="738" t="s">
        <v>55</v>
      </c>
      <c r="B102" s="666" t="s">
        <v>56</v>
      </c>
      <c r="C102" s="666" t="s">
        <v>271</v>
      </c>
      <c r="D102" s="739" t="s">
        <v>55</v>
      </c>
      <c r="E102" s="730" t="s">
        <v>953</v>
      </c>
    </row>
    <row r="103" spans="1:5">
      <c r="A103" s="738" t="s">
        <v>67</v>
      </c>
      <c r="B103" s="666" t="s">
        <v>68</v>
      </c>
      <c r="C103" s="666" t="s">
        <v>272</v>
      </c>
      <c r="D103" s="739" t="s">
        <v>67</v>
      </c>
      <c r="E103" s="730" t="s">
        <v>953</v>
      </c>
    </row>
    <row r="104" spans="1:5">
      <c r="A104" s="738" t="s">
        <v>83</v>
      </c>
      <c r="B104" s="666" t="s">
        <v>333</v>
      </c>
      <c r="C104" s="666" t="s">
        <v>271</v>
      </c>
      <c r="D104" s="739" t="s">
        <v>83</v>
      </c>
      <c r="E104" s="730" t="s">
        <v>951</v>
      </c>
    </row>
    <row r="105" spans="1:5">
      <c r="A105" s="738" t="s">
        <v>89</v>
      </c>
      <c r="B105" s="666" t="s">
        <v>90</v>
      </c>
      <c r="C105" s="666" t="s">
        <v>274</v>
      </c>
      <c r="D105" s="739" t="s">
        <v>89</v>
      </c>
      <c r="E105" s="730" t="s">
        <v>951</v>
      </c>
    </row>
    <row r="106" spans="1:5">
      <c r="A106" s="738" t="s">
        <v>91</v>
      </c>
      <c r="B106" s="666" t="s">
        <v>92</v>
      </c>
      <c r="C106" s="666" t="s">
        <v>275</v>
      </c>
      <c r="D106" s="739" t="s">
        <v>91</v>
      </c>
      <c r="E106" s="730" t="s">
        <v>952</v>
      </c>
    </row>
    <row r="107" spans="1:5">
      <c r="A107" s="738" t="s">
        <v>107</v>
      </c>
      <c r="B107" s="666" t="s">
        <v>108</v>
      </c>
      <c r="C107" s="666" t="s">
        <v>271</v>
      </c>
      <c r="D107" s="739" t="s">
        <v>107</v>
      </c>
      <c r="E107" s="730" t="s">
        <v>953</v>
      </c>
    </row>
    <row r="108" spans="1:5">
      <c r="A108" s="738" t="s">
        <v>117</v>
      </c>
      <c r="B108" s="666" t="s">
        <v>118</v>
      </c>
      <c r="C108" s="666" t="s">
        <v>273</v>
      </c>
      <c r="D108" s="739" t="s">
        <v>117</v>
      </c>
      <c r="E108" s="730" t="s">
        <v>951</v>
      </c>
    </row>
    <row r="109" spans="1:5">
      <c r="A109" s="738" t="s">
        <v>139</v>
      </c>
      <c r="B109" s="666" t="s">
        <v>140</v>
      </c>
      <c r="C109" s="666" t="s">
        <v>272</v>
      </c>
      <c r="D109" s="739" t="s">
        <v>139</v>
      </c>
      <c r="E109" s="730" t="s">
        <v>953</v>
      </c>
    </row>
    <row r="110" spans="1:5">
      <c r="A110" s="738" t="s">
        <v>143</v>
      </c>
      <c r="B110" s="666" t="s">
        <v>144</v>
      </c>
      <c r="C110" s="666" t="s">
        <v>274</v>
      </c>
      <c r="D110" s="739" t="s">
        <v>143</v>
      </c>
      <c r="E110" s="730" t="s">
        <v>951</v>
      </c>
    </row>
    <row r="111" spans="1:5">
      <c r="A111" s="738" t="s">
        <v>145</v>
      </c>
      <c r="B111" s="666" t="s">
        <v>146</v>
      </c>
      <c r="C111" s="666" t="s">
        <v>274</v>
      </c>
      <c r="D111" s="739" t="s">
        <v>145</v>
      </c>
      <c r="E111" s="730" t="s">
        <v>952</v>
      </c>
    </row>
    <row r="112" spans="1:5">
      <c r="A112" s="738" t="s">
        <v>159</v>
      </c>
      <c r="B112" s="666" t="s">
        <v>160</v>
      </c>
      <c r="C112" s="666" t="s">
        <v>271</v>
      </c>
      <c r="D112" s="739" t="s">
        <v>159</v>
      </c>
      <c r="E112" s="730" t="s">
        <v>953</v>
      </c>
    </row>
    <row r="113" spans="1:5">
      <c r="A113" s="738" t="s">
        <v>161</v>
      </c>
      <c r="B113" s="666" t="s">
        <v>162</v>
      </c>
      <c r="C113" s="666" t="s">
        <v>271</v>
      </c>
      <c r="D113" s="739" t="s">
        <v>161</v>
      </c>
      <c r="E113" s="730" t="s">
        <v>953</v>
      </c>
    </row>
    <row r="114" spans="1:5">
      <c r="A114" s="738" t="s">
        <v>167</v>
      </c>
      <c r="B114" s="666" t="s">
        <v>168</v>
      </c>
      <c r="C114" s="666" t="s">
        <v>275</v>
      </c>
      <c r="D114" s="739" t="s">
        <v>167</v>
      </c>
      <c r="E114" s="730" t="s">
        <v>952</v>
      </c>
    </row>
    <row r="115" spans="1:5">
      <c r="A115" s="738" t="s">
        <v>177</v>
      </c>
      <c r="B115" s="666" t="s">
        <v>178</v>
      </c>
      <c r="C115" s="666" t="s">
        <v>273</v>
      </c>
      <c r="D115" s="739" t="s">
        <v>177</v>
      </c>
      <c r="E115" s="730" t="s">
        <v>953</v>
      </c>
    </row>
    <row r="116" spans="1:5">
      <c r="A116" s="738" t="s">
        <v>181</v>
      </c>
      <c r="B116" s="666" t="s">
        <v>182</v>
      </c>
      <c r="C116" s="666" t="s">
        <v>271</v>
      </c>
      <c r="D116" s="739" t="s">
        <v>181</v>
      </c>
      <c r="E116" s="730" t="s">
        <v>953</v>
      </c>
    </row>
    <row r="117" spans="1:5">
      <c r="A117" s="738" t="s">
        <v>193</v>
      </c>
      <c r="B117" s="666" t="s">
        <v>194</v>
      </c>
      <c r="C117" s="666" t="s">
        <v>275</v>
      </c>
      <c r="D117" s="739" t="s">
        <v>193</v>
      </c>
      <c r="E117" s="730" t="s">
        <v>952</v>
      </c>
    </row>
    <row r="118" spans="1:5">
      <c r="A118" s="738" t="s">
        <v>197</v>
      </c>
      <c r="B118" s="666" t="s">
        <v>334</v>
      </c>
      <c r="C118" s="666" t="s">
        <v>273</v>
      </c>
      <c r="D118" s="739" t="s">
        <v>197</v>
      </c>
      <c r="E118" s="730" t="s">
        <v>953</v>
      </c>
    </row>
    <row r="119" spans="1:5">
      <c r="A119" s="738" t="s">
        <v>201</v>
      </c>
      <c r="B119" s="666" t="s">
        <v>335</v>
      </c>
      <c r="C119" s="666" t="s">
        <v>272</v>
      </c>
      <c r="D119" s="739" t="s">
        <v>201</v>
      </c>
      <c r="E119" s="730" t="s">
        <v>953</v>
      </c>
    </row>
    <row r="120" spans="1:5">
      <c r="A120" s="738" t="s">
        <v>223</v>
      </c>
      <c r="B120" s="666" t="s">
        <v>224</v>
      </c>
      <c r="C120" s="666" t="s">
        <v>271</v>
      </c>
      <c r="D120" s="739" t="s">
        <v>223</v>
      </c>
      <c r="E120" s="730" t="s">
        <v>953</v>
      </c>
    </row>
    <row r="121" spans="1:5">
      <c r="A121" s="738" t="s">
        <v>231</v>
      </c>
      <c r="B121" s="666" t="s">
        <v>232</v>
      </c>
      <c r="C121" s="666" t="s">
        <v>271</v>
      </c>
      <c r="D121" s="739" t="s">
        <v>231</v>
      </c>
      <c r="E121" s="730" t="s">
        <v>953</v>
      </c>
    </row>
    <row r="122" spans="1:5">
      <c r="A122" s="738" t="s">
        <v>239</v>
      </c>
      <c r="B122" s="666" t="s">
        <v>240</v>
      </c>
      <c r="C122" s="666" t="s">
        <v>271</v>
      </c>
      <c r="D122" s="739" t="s">
        <v>239</v>
      </c>
      <c r="E122" s="730" t="s">
        <v>952</v>
      </c>
    </row>
    <row r="123" spans="1:5">
      <c r="A123" s="738" t="s">
        <v>241</v>
      </c>
      <c r="B123" s="666" t="s">
        <v>242</v>
      </c>
      <c r="C123" s="666" t="s">
        <v>274</v>
      </c>
      <c r="D123" s="739" t="s">
        <v>241</v>
      </c>
      <c r="E123" s="730" t="s">
        <v>951</v>
      </c>
    </row>
    <row r="124" spans="1:5">
      <c r="A124" s="738"/>
      <c r="B124" s="666"/>
      <c r="C124" s="666"/>
      <c r="D124" s="739"/>
    </row>
    <row r="125" spans="1:5">
      <c r="A125" s="738"/>
      <c r="B125" s="666"/>
      <c r="C125" s="666"/>
      <c r="D125" s="336" t="s">
        <v>870</v>
      </c>
      <c r="E125" s="730">
        <f>COUNTIF(E4:E123,"I (One)")</f>
        <v>34</v>
      </c>
    </row>
    <row r="126" spans="1:5">
      <c r="A126" s="738"/>
      <c r="B126" s="666"/>
      <c r="C126" s="666"/>
      <c r="D126" s="336" t="s">
        <v>871</v>
      </c>
      <c r="E126" s="730">
        <f>COUNTIF(E4:E123,"II (Two)")</f>
        <v>60</v>
      </c>
    </row>
    <row r="127" spans="1:5">
      <c r="A127" s="738"/>
      <c r="B127" s="666"/>
      <c r="C127" s="666"/>
      <c r="D127" s="336" t="s">
        <v>872</v>
      </c>
      <c r="E127" s="730">
        <f>COUNTIF(E4:E123,"III (Three)")</f>
        <v>26</v>
      </c>
    </row>
    <row r="129" spans="1:2">
      <c r="A129" s="741" t="s">
        <v>796</v>
      </c>
    </row>
    <row r="131" spans="1:2" s="542" customFormat="1">
      <c r="A131" s="542" t="s">
        <v>249</v>
      </c>
    </row>
    <row r="132" spans="1:2" s="542" customFormat="1">
      <c r="A132" s="543" t="s">
        <v>250</v>
      </c>
      <c r="B132" s="544" t="s">
        <v>251</v>
      </c>
    </row>
  </sheetData>
  <autoFilter ref="A3:E3"/>
  <hyperlinks>
    <hyperlink ref="B132" r:id="rId1"/>
  </hyperlinks>
  <pageMargins left="0.7" right="0.7" top="0.75" bottom="0.75" header="0.3" footer="0.3"/>
  <pageSetup orientation="portrait" r:id="rId2"/>
</worksheet>
</file>

<file path=xl/worksheets/sheet20.xml><?xml version="1.0" encoding="utf-8"?>
<worksheet xmlns="http://schemas.openxmlformats.org/spreadsheetml/2006/main" xmlns:r="http://schemas.openxmlformats.org/officeDocument/2006/relationships">
  <dimension ref="A1:N130"/>
  <sheetViews>
    <sheetView workbookViewId="0">
      <pane ySplit="4" topLeftCell="A103" activePane="bottomLeft" state="frozen"/>
      <selection pane="bottomLeft" activeCell="K113" sqref="K113"/>
    </sheetView>
  </sheetViews>
  <sheetFormatPr defaultRowHeight="15.75"/>
  <cols>
    <col min="1" max="1" width="11" style="511" customWidth="1"/>
    <col min="2" max="2" width="32" style="511" customWidth="1"/>
    <col min="3" max="3" width="14.25" style="511" customWidth="1"/>
    <col min="4" max="7" width="7.5" style="511" customWidth="1"/>
    <col min="8" max="11" width="12.25" style="511" customWidth="1"/>
    <col min="12" max="16384" width="9" style="511"/>
  </cols>
  <sheetData>
    <row r="1" spans="1:12">
      <c r="A1" s="199" t="s">
        <v>1144</v>
      </c>
    </row>
    <row r="3" spans="1:12" ht="32.25" customHeight="1">
      <c r="A3" s="1001" t="s">
        <v>4</v>
      </c>
      <c r="B3" s="1002" t="s">
        <v>5</v>
      </c>
      <c r="C3" s="1003" t="s">
        <v>252</v>
      </c>
      <c r="D3" s="1004" t="s">
        <v>289</v>
      </c>
      <c r="E3" s="1005" t="s">
        <v>2</v>
      </c>
      <c r="F3" s="1006" t="s">
        <v>608</v>
      </c>
      <c r="G3" s="1006" t="s">
        <v>609</v>
      </c>
      <c r="H3" s="1007"/>
      <c r="I3" s="1007"/>
      <c r="J3" s="1007"/>
      <c r="K3" s="1007"/>
    </row>
    <row r="4" spans="1:12">
      <c r="A4" s="1008">
        <v>999</v>
      </c>
      <c r="B4" s="1009" t="s">
        <v>9</v>
      </c>
      <c r="C4" s="1009"/>
      <c r="D4" s="1010">
        <f>SUM(D5:D124)</f>
        <v>7237</v>
      </c>
      <c r="E4" s="1010">
        <f>SUM(E5:E124)</f>
        <v>3553</v>
      </c>
      <c r="F4" s="1010">
        <f>SUM(F5:F124)</f>
        <v>2919</v>
      </c>
      <c r="G4" s="1010">
        <f>SUM(G5:G124)</f>
        <v>765</v>
      </c>
      <c r="H4" s="1007"/>
      <c r="I4" s="1007"/>
      <c r="J4" s="1007"/>
      <c r="K4" s="1007"/>
    </row>
    <row r="5" spans="1:12" ht="16.5" customHeight="1">
      <c r="A5" s="1011" t="s">
        <v>10</v>
      </c>
      <c r="B5" s="1012" t="s">
        <v>11</v>
      </c>
      <c r="C5" s="844" t="s">
        <v>271</v>
      </c>
      <c r="D5" s="1013">
        <f>E5+F5+G5</f>
        <v>19</v>
      </c>
      <c r="E5" s="1014">
        <v>8</v>
      </c>
      <c r="F5" s="1015">
        <v>10</v>
      </c>
      <c r="G5" s="1015">
        <v>1</v>
      </c>
      <c r="H5" s="1016"/>
      <c r="I5" s="1017"/>
      <c r="J5" s="1016"/>
      <c r="K5" s="1016"/>
      <c r="L5" s="1016"/>
    </row>
    <row r="6" spans="1:12" ht="16.5" customHeight="1">
      <c r="A6" s="1011" t="s">
        <v>12</v>
      </c>
      <c r="B6" s="1012" t="s">
        <v>13</v>
      </c>
      <c r="C6" s="844" t="s">
        <v>272</v>
      </c>
      <c r="D6" s="1013">
        <f t="shared" ref="D6:D69" si="0">E6+F6+G6</f>
        <v>69</v>
      </c>
      <c r="E6" s="1014">
        <v>35</v>
      </c>
      <c r="F6" s="1015">
        <v>24</v>
      </c>
      <c r="G6" s="1015">
        <v>10</v>
      </c>
      <c r="H6" s="1016"/>
      <c r="I6" s="1018"/>
      <c r="J6" s="1016"/>
      <c r="K6" s="1016"/>
      <c r="L6" s="1016"/>
    </row>
    <row r="7" spans="1:12" ht="16.5" customHeight="1">
      <c r="A7" s="1011" t="s">
        <v>16</v>
      </c>
      <c r="B7" s="1012" t="s">
        <v>307</v>
      </c>
      <c r="C7" s="844" t="s">
        <v>272</v>
      </c>
      <c r="D7" s="1013">
        <f t="shared" si="0"/>
        <v>18</v>
      </c>
      <c r="E7" s="1014">
        <v>13</v>
      </c>
      <c r="F7" s="1015">
        <v>3</v>
      </c>
      <c r="G7" s="1015">
        <v>2</v>
      </c>
      <c r="H7" s="1016"/>
      <c r="I7" s="1018"/>
      <c r="J7" s="1016"/>
      <c r="K7" s="1019"/>
      <c r="L7" s="1016"/>
    </row>
    <row r="8" spans="1:12" ht="16.5" customHeight="1">
      <c r="A8" s="1011" t="s">
        <v>18</v>
      </c>
      <c r="B8" s="1012" t="s">
        <v>19</v>
      </c>
      <c r="C8" s="844" t="s">
        <v>273</v>
      </c>
      <c r="D8" s="1013">
        <f t="shared" si="0"/>
        <v>8</v>
      </c>
      <c r="E8" s="1014">
        <v>5</v>
      </c>
      <c r="F8" s="1015">
        <v>2</v>
      </c>
      <c r="G8" s="1015">
        <v>1</v>
      </c>
      <c r="H8" s="1016"/>
      <c r="I8" s="1019"/>
      <c r="J8" s="1016"/>
      <c r="K8" s="1016"/>
      <c r="L8" s="1016"/>
    </row>
    <row r="9" spans="1:12" ht="16.5" customHeight="1">
      <c r="A9" s="1011" t="s">
        <v>20</v>
      </c>
      <c r="B9" s="1012" t="s">
        <v>21</v>
      </c>
      <c r="C9" s="844" t="s">
        <v>272</v>
      </c>
      <c r="D9" s="1013">
        <f t="shared" si="0"/>
        <v>12</v>
      </c>
      <c r="E9" s="1014">
        <v>9</v>
      </c>
      <c r="F9" s="1015">
        <v>2</v>
      </c>
      <c r="G9" s="1015">
        <v>1</v>
      </c>
      <c r="H9" s="1016"/>
      <c r="I9" s="1020"/>
      <c r="J9" s="1016"/>
      <c r="K9" s="1016"/>
      <c r="L9" s="1016"/>
    </row>
    <row r="10" spans="1:12" ht="16.5" customHeight="1">
      <c r="A10" s="1011" t="s">
        <v>22</v>
      </c>
      <c r="B10" s="1012" t="s">
        <v>23</v>
      </c>
      <c r="C10" s="844" t="s">
        <v>272</v>
      </c>
      <c r="D10" s="1013">
        <f t="shared" si="0"/>
        <v>1</v>
      </c>
      <c r="E10" s="1014">
        <v>1</v>
      </c>
      <c r="F10" s="1015">
        <v>0</v>
      </c>
      <c r="G10" s="1021">
        <v>0</v>
      </c>
      <c r="H10" s="1016"/>
      <c r="I10" s="1019"/>
      <c r="J10" s="1016"/>
      <c r="K10" s="1016"/>
      <c r="L10" s="1016"/>
    </row>
    <row r="11" spans="1:12" ht="16.5" customHeight="1">
      <c r="A11" s="1011" t="s">
        <v>24</v>
      </c>
      <c r="B11" s="1012" t="s">
        <v>25</v>
      </c>
      <c r="C11" s="844" t="s">
        <v>274</v>
      </c>
      <c r="D11" s="1013">
        <f t="shared" si="0"/>
        <v>112</v>
      </c>
      <c r="E11" s="1014">
        <v>44</v>
      </c>
      <c r="F11" s="1015">
        <v>48</v>
      </c>
      <c r="G11" s="1015">
        <v>20</v>
      </c>
      <c r="H11" s="1016"/>
      <c r="I11" s="1020"/>
      <c r="J11" s="1016"/>
      <c r="K11" s="1020"/>
      <c r="L11" s="1016"/>
    </row>
    <row r="12" spans="1:12" ht="16.5" customHeight="1">
      <c r="A12" s="1011" t="s">
        <v>26</v>
      </c>
      <c r="B12" s="1012" t="s">
        <v>908</v>
      </c>
      <c r="C12" s="844" t="s">
        <v>272</v>
      </c>
      <c r="D12" s="1013">
        <f t="shared" si="0"/>
        <v>207</v>
      </c>
      <c r="E12" s="1014">
        <v>158</v>
      </c>
      <c r="F12" s="1015">
        <v>15</v>
      </c>
      <c r="G12" s="1015">
        <v>34</v>
      </c>
      <c r="H12" s="1016"/>
      <c r="I12" s="1018"/>
      <c r="J12" s="1016"/>
      <c r="K12" s="1019"/>
      <c r="L12" s="1016"/>
    </row>
    <row r="13" spans="1:12" ht="16.5" customHeight="1">
      <c r="A13" s="1011" t="s">
        <v>27</v>
      </c>
      <c r="B13" s="1012" t="s">
        <v>28</v>
      </c>
      <c r="C13" s="849" t="s">
        <v>272</v>
      </c>
      <c r="D13" s="1013">
        <f t="shared" si="0"/>
        <v>1</v>
      </c>
      <c r="E13" s="1022">
        <v>0</v>
      </c>
      <c r="F13" s="1021">
        <v>0</v>
      </c>
      <c r="G13" s="1021">
        <v>1</v>
      </c>
      <c r="H13" s="1016"/>
      <c r="I13" s="1018"/>
      <c r="J13" s="1016"/>
      <c r="K13" s="1016"/>
      <c r="L13" s="1016"/>
    </row>
    <row r="14" spans="1:12" ht="16.5" customHeight="1">
      <c r="A14" s="1011" t="s">
        <v>29</v>
      </c>
      <c r="B14" s="1012" t="s">
        <v>329</v>
      </c>
      <c r="C14" s="849" t="s">
        <v>272</v>
      </c>
      <c r="D14" s="1013">
        <f t="shared" si="0"/>
        <v>74</v>
      </c>
      <c r="E14" s="1014">
        <v>52</v>
      </c>
      <c r="F14" s="1015">
        <v>5</v>
      </c>
      <c r="G14" s="1015">
        <v>17</v>
      </c>
      <c r="H14" s="1023"/>
      <c r="I14" s="1018"/>
      <c r="J14" s="1016"/>
      <c r="K14" s="1016"/>
      <c r="L14" s="1016"/>
    </row>
    <row r="15" spans="1:12" ht="16.5" customHeight="1">
      <c r="A15" s="1011" t="s">
        <v>31</v>
      </c>
      <c r="B15" s="1012" t="s">
        <v>32</v>
      </c>
      <c r="C15" s="849" t="s">
        <v>275</v>
      </c>
      <c r="D15" s="1013">
        <f t="shared" si="0"/>
        <v>19</v>
      </c>
      <c r="E15" s="1014">
        <v>18</v>
      </c>
      <c r="F15" s="1015">
        <v>0</v>
      </c>
      <c r="G15" s="1021">
        <v>1</v>
      </c>
      <c r="H15" s="1019"/>
      <c r="I15" s="1018"/>
      <c r="J15" s="1016"/>
      <c r="K15" s="1016"/>
      <c r="L15" s="1016"/>
    </row>
    <row r="16" spans="1:12" ht="16.5" customHeight="1">
      <c r="A16" s="1011" t="s">
        <v>33</v>
      </c>
      <c r="B16" s="1012" t="s">
        <v>34</v>
      </c>
      <c r="C16" s="849" t="s">
        <v>272</v>
      </c>
      <c r="D16" s="1013">
        <f t="shared" si="0"/>
        <v>10</v>
      </c>
      <c r="E16" s="1014">
        <v>8</v>
      </c>
      <c r="F16" s="1015">
        <v>1</v>
      </c>
      <c r="G16" s="1015">
        <v>1</v>
      </c>
      <c r="H16" s="1016"/>
      <c r="I16" s="1019"/>
      <c r="J16" s="1016"/>
      <c r="K16" s="1016"/>
      <c r="L16" s="1016"/>
    </row>
    <row r="17" spans="1:12" ht="16.5" customHeight="1">
      <c r="A17" s="1011" t="s">
        <v>37</v>
      </c>
      <c r="B17" s="1012" t="s">
        <v>38</v>
      </c>
      <c r="C17" s="849" t="s">
        <v>271</v>
      </c>
      <c r="D17" s="1013">
        <f t="shared" si="0"/>
        <v>2</v>
      </c>
      <c r="E17" s="1014">
        <v>2</v>
      </c>
      <c r="F17" s="1015">
        <v>0</v>
      </c>
      <c r="G17" s="1021">
        <v>0</v>
      </c>
      <c r="H17" s="1016"/>
      <c r="I17" s="1016"/>
      <c r="J17" s="1016"/>
      <c r="K17" s="1016"/>
      <c r="L17" s="1016"/>
    </row>
    <row r="18" spans="1:12" ht="16.5" customHeight="1">
      <c r="A18" s="1011" t="s">
        <v>39</v>
      </c>
      <c r="B18" s="1012" t="s">
        <v>40</v>
      </c>
      <c r="C18" s="849" t="s">
        <v>275</v>
      </c>
      <c r="D18" s="1013">
        <f t="shared" si="0"/>
        <v>80</v>
      </c>
      <c r="E18" s="1014">
        <v>76</v>
      </c>
      <c r="F18" s="1015">
        <v>1</v>
      </c>
      <c r="G18" s="1015">
        <v>3</v>
      </c>
      <c r="H18" s="1016"/>
      <c r="I18" s="1018"/>
      <c r="J18" s="1016"/>
      <c r="K18" s="1016"/>
      <c r="L18" s="1016"/>
    </row>
    <row r="19" spans="1:12" ht="16.5" customHeight="1">
      <c r="A19" s="1011" t="s">
        <v>41</v>
      </c>
      <c r="B19" s="1012" t="s">
        <v>42</v>
      </c>
      <c r="C19" s="849" t="s">
        <v>273</v>
      </c>
      <c r="D19" s="1013">
        <f t="shared" si="0"/>
        <v>11</v>
      </c>
      <c r="E19" s="1014">
        <v>7</v>
      </c>
      <c r="F19" s="1015">
        <v>4</v>
      </c>
      <c r="G19" s="1015">
        <v>0</v>
      </c>
      <c r="H19" s="1016"/>
      <c r="I19" s="1016"/>
      <c r="J19" s="1016"/>
      <c r="K19" s="1016"/>
      <c r="L19" s="1016"/>
    </row>
    <row r="20" spans="1:12" ht="16.5" customHeight="1">
      <c r="A20" s="1011" t="s">
        <v>43</v>
      </c>
      <c r="B20" s="1012" t="s">
        <v>44</v>
      </c>
      <c r="C20" s="849" t="s">
        <v>272</v>
      </c>
      <c r="D20" s="1013">
        <f t="shared" si="0"/>
        <v>101</v>
      </c>
      <c r="E20" s="1014">
        <v>81</v>
      </c>
      <c r="F20" s="1015">
        <v>7</v>
      </c>
      <c r="G20" s="1015">
        <v>13</v>
      </c>
      <c r="H20" s="1023"/>
      <c r="I20" s="1018"/>
      <c r="J20" s="1016"/>
      <c r="K20" s="1016"/>
      <c r="L20" s="1016"/>
    </row>
    <row r="21" spans="1:12" ht="16.5" customHeight="1">
      <c r="A21" s="1011" t="s">
        <v>45</v>
      </c>
      <c r="B21" s="1012" t="s">
        <v>46</v>
      </c>
      <c r="C21" s="849" t="s">
        <v>273</v>
      </c>
      <c r="D21" s="1013">
        <f t="shared" si="0"/>
        <v>8</v>
      </c>
      <c r="E21" s="1014">
        <v>3</v>
      </c>
      <c r="F21" s="1015">
        <v>4</v>
      </c>
      <c r="G21" s="1015">
        <v>1</v>
      </c>
      <c r="H21" s="1016"/>
      <c r="I21" s="1020"/>
      <c r="J21" s="1016"/>
      <c r="K21" s="1016"/>
      <c r="L21" s="1016"/>
    </row>
    <row r="22" spans="1:12" ht="16.5" customHeight="1">
      <c r="A22" s="1011" t="s">
        <v>47</v>
      </c>
      <c r="B22" s="1012" t="s">
        <v>48</v>
      </c>
      <c r="C22" s="849" t="s">
        <v>275</v>
      </c>
      <c r="D22" s="1013">
        <f t="shared" si="0"/>
        <v>18</v>
      </c>
      <c r="E22" s="1014">
        <v>17</v>
      </c>
      <c r="F22" s="1015">
        <v>0</v>
      </c>
      <c r="G22" s="1021">
        <v>1</v>
      </c>
      <c r="H22" s="1019"/>
      <c r="I22" s="1018"/>
      <c r="J22" s="1016"/>
      <c r="K22" s="1016"/>
      <c r="L22" s="1016"/>
    </row>
    <row r="23" spans="1:12" ht="16.5" customHeight="1">
      <c r="A23" s="1011" t="s">
        <v>49</v>
      </c>
      <c r="B23" s="1012" t="s">
        <v>276</v>
      </c>
      <c r="C23" s="849" t="s">
        <v>273</v>
      </c>
      <c r="D23" s="1013">
        <f t="shared" si="0"/>
        <v>2</v>
      </c>
      <c r="E23" s="1022">
        <v>0</v>
      </c>
      <c r="F23" s="1021">
        <v>1</v>
      </c>
      <c r="G23" s="1015">
        <v>1</v>
      </c>
      <c r="H23" s="1016"/>
      <c r="I23" s="1019"/>
      <c r="J23" s="1016"/>
      <c r="K23" s="1016"/>
      <c r="L23" s="1016"/>
    </row>
    <row r="24" spans="1:12" ht="16.5" customHeight="1">
      <c r="A24" s="1011" t="s">
        <v>51</v>
      </c>
      <c r="B24" s="1012" t="s">
        <v>52</v>
      </c>
      <c r="C24" s="849" t="s">
        <v>272</v>
      </c>
      <c r="D24" s="1013">
        <f t="shared" si="0"/>
        <v>12</v>
      </c>
      <c r="E24" s="1014">
        <v>5</v>
      </c>
      <c r="F24" s="1015">
        <v>3</v>
      </c>
      <c r="G24" s="1015">
        <v>4</v>
      </c>
      <c r="H24" s="1016"/>
      <c r="I24" s="1018"/>
      <c r="J24" s="1016"/>
      <c r="K24" s="1016"/>
      <c r="L24" s="1016"/>
    </row>
    <row r="25" spans="1:12" ht="16.5" customHeight="1">
      <c r="A25" s="1011" t="s">
        <v>57</v>
      </c>
      <c r="B25" s="1012" t="s">
        <v>305</v>
      </c>
      <c r="C25" s="849" t="s">
        <v>273</v>
      </c>
      <c r="D25" s="1013">
        <f t="shared" si="0"/>
        <v>189</v>
      </c>
      <c r="E25" s="1014">
        <v>115</v>
      </c>
      <c r="F25" s="1015">
        <v>43</v>
      </c>
      <c r="G25" s="1015">
        <v>31</v>
      </c>
      <c r="H25" s="1016"/>
      <c r="I25" s="1020"/>
      <c r="J25" s="1016"/>
      <c r="K25" s="1020"/>
      <c r="L25" s="1016"/>
    </row>
    <row r="26" spans="1:12" ht="16.5" customHeight="1">
      <c r="A26" s="1011" t="s">
        <v>59</v>
      </c>
      <c r="B26" s="1012" t="s">
        <v>60</v>
      </c>
      <c r="C26" s="849" t="s">
        <v>274</v>
      </c>
      <c r="D26" s="1024">
        <f t="shared" si="0"/>
        <v>3</v>
      </c>
      <c r="E26" s="1025">
        <v>1</v>
      </c>
      <c r="F26" s="1021">
        <v>0</v>
      </c>
      <c r="G26" s="1021">
        <v>2</v>
      </c>
      <c r="H26" s="1016"/>
      <c r="I26" s="1019"/>
      <c r="J26" s="1016"/>
      <c r="K26" s="1016"/>
      <c r="L26" s="1016"/>
    </row>
    <row r="27" spans="1:12" ht="16.5" customHeight="1">
      <c r="A27" s="1011" t="s">
        <v>61</v>
      </c>
      <c r="B27" s="1012" t="s">
        <v>62</v>
      </c>
      <c r="C27" s="849" t="s">
        <v>272</v>
      </c>
      <c r="D27" s="1024">
        <f t="shared" si="0"/>
        <v>3</v>
      </c>
      <c r="E27" s="1025">
        <v>3</v>
      </c>
      <c r="F27" s="1021">
        <v>0</v>
      </c>
      <c r="G27" s="1021">
        <v>0</v>
      </c>
      <c r="H27" s="1016"/>
      <c r="I27" s="1019"/>
      <c r="J27" s="1016"/>
      <c r="K27" s="1016"/>
      <c r="L27" s="1016"/>
    </row>
    <row r="28" spans="1:12" ht="16.5" customHeight="1">
      <c r="A28" s="1011" t="s">
        <v>63</v>
      </c>
      <c r="B28" s="1012" t="s">
        <v>64</v>
      </c>
      <c r="C28" s="849" t="s">
        <v>274</v>
      </c>
      <c r="D28" s="1013">
        <f t="shared" si="0"/>
        <v>47</v>
      </c>
      <c r="E28" s="1014">
        <v>29</v>
      </c>
      <c r="F28" s="1015">
        <v>5</v>
      </c>
      <c r="G28" s="1015">
        <v>13</v>
      </c>
      <c r="H28" s="1016"/>
      <c r="I28" s="1018"/>
      <c r="J28" s="1016"/>
      <c r="K28" s="1016"/>
      <c r="L28" s="1016"/>
    </row>
    <row r="29" spans="1:12" ht="16.5" customHeight="1">
      <c r="A29" s="1011" t="s">
        <v>65</v>
      </c>
      <c r="B29" s="1012" t="s">
        <v>66</v>
      </c>
      <c r="C29" s="849" t="s">
        <v>273</v>
      </c>
      <c r="D29" s="1013">
        <f t="shared" si="0"/>
        <v>7</v>
      </c>
      <c r="E29" s="1014">
        <v>4</v>
      </c>
      <c r="F29" s="1015">
        <v>3</v>
      </c>
      <c r="G29" s="1015">
        <v>0</v>
      </c>
      <c r="H29" s="1016"/>
      <c r="I29" s="1019"/>
      <c r="J29" s="1016"/>
      <c r="K29" s="1019"/>
      <c r="L29" s="1016"/>
    </row>
    <row r="30" spans="1:12" ht="16.5" customHeight="1">
      <c r="A30" s="1011" t="s">
        <v>69</v>
      </c>
      <c r="B30" s="1012" t="s">
        <v>70</v>
      </c>
      <c r="C30" s="849" t="s">
        <v>275</v>
      </c>
      <c r="D30" s="1013">
        <f t="shared" si="0"/>
        <v>72</v>
      </c>
      <c r="E30" s="1014">
        <v>72</v>
      </c>
      <c r="F30" s="1015">
        <v>0</v>
      </c>
      <c r="G30" s="1015">
        <v>0</v>
      </c>
      <c r="H30" s="1016"/>
      <c r="I30" s="1016"/>
      <c r="J30" s="1016"/>
      <c r="K30" s="1016"/>
      <c r="L30" s="1016"/>
    </row>
    <row r="31" spans="1:12" ht="16.5" customHeight="1">
      <c r="A31" s="1011" t="s">
        <v>71</v>
      </c>
      <c r="B31" s="1012" t="s">
        <v>72</v>
      </c>
      <c r="C31" s="849" t="s">
        <v>271</v>
      </c>
      <c r="D31" s="1013">
        <f t="shared" si="0"/>
        <v>12</v>
      </c>
      <c r="E31" s="1014">
        <v>5</v>
      </c>
      <c r="F31" s="1015">
        <v>4</v>
      </c>
      <c r="G31" s="1015">
        <v>3</v>
      </c>
      <c r="H31" s="1016"/>
      <c r="I31" s="1020"/>
      <c r="J31" s="1016"/>
      <c r="K31" s="1016"/>
      <c r="L31" s="1016"/>
    </row>
    <row r="32" spans="1:12" ht="16.5" customHeight="1">
      <c r="A32" s="1011" t="s">
        <v>73</v>
      </c>
      <c r="B32" s="1012" t="s">
        <v>74</v>
      </c>
      <c r="C32" s="849" t="s">
        <v>273</v>
      </c>
      <c r="D32" s="1013">
        <f t="shared" si="0"/>
        <v>6</v>
      </c>
      <c r="E32" s="1022">
        <v>0</v>
      </c>
      <c r="F32" s="1021">
        <v>4</v>
      </c>
      <c r="G32" s="1015">
        <v>2</v>
      </c>
      <c r="H32" s="1016"/>
      <c r="I32" s="1019"/>
      <c r="J32" s="1016"/>
      <c r="K32" s="1020"/>
      <c r="L32" s="1016"/>
    </row>
    <row r="33" spans="1:12" ht="16.5" customHeight="1">
      <c r="A33" s="1011" t="s">
        <v>75</v>
      </c>
      <c r="B33" s="1012" t="s">
        <v>312</v>
      </c>
      <c r="C33" s="849" t="s">
        <v>274</v>
      </c>
      <c r="D33" s="1013">
        <f t="shared" si="0"/>
        <v>543</v>
      </c>
      <c r="E33" s="1014">
        <v>226</v>
      </c>
      <c r="F33" s="1015">
        <v>229</v>
      </c>
      <c r="G33" s="1015">
        <v>88</v>
      </c>
      <c r="H33" s="1023"/>
      <c r="I33" s="1020"/>
      <c r="J33" s="1020"/>
      <c r="K33" s="1020"/>
      <c r="L33" s="1016"/>
    </row>
    <row r="34" spans="1:12" ht="16.5" customHeight="1">
      <c r="A34" s="1011" t="s">
        <v>77</v>
      </c>
      <c r="B34" s="1012" t="s">
        <v>78</v>
      </c>
      <c r="C34" s="849" t="s">
        <v>274</v>
      </c>
      <c r="D34" s="1013">
        <f t="shared" si="0"/>
        <v>26</v>
      </c>
      <c r="E34" s="1014">
        <v>16</v>
      </c>
      <c r="F34" s="1015">
        <v>5</v>
      </c>
      <c r="G34" s="1015">
        <v>5</v>
      </c>
      <c r="H34" s="1016"/>
      <c r="I34" s="1018"/>
      <c r="J34" s="1016"/>
      <c r="K34" s="1016"/>
      <c r="L34" s="1016"/>
    </row>
    <row r="35" spans="1:12" ht="16.5" customHeight="1">
      <c r="A35" s="1011" t="s">
        <v>79</v>
      </c>
      <c r="B35" s="1012" t="s">
        <v>80</v>
      </c>
      <c r="C35" s="849" t="s">
        <v>275</v>
      </c>
      <c r="D35" s="1013">
        <f t="shared" si="0"/>
        <v>2</v>
      </c>
      <c r="E35" s="1014">
        <v>2</v>
      </c>
      <c r="F35" s="1015">
        <v>0</v>
      </c>
      <c r="G35" s="1021">
        <v>0</v>
      </c>
      <c r="H35" s="1016"/>
      <c r="I35" s="1016"/>
      <c r="J35" s="1016"/>
      <c r="K35" s="1016"/>
      <c r="L35" s="1016"/>
    </row>
    <row r="36" spans="1:12" ht="16.5" customHeight="1">
      <c r="A36" s="1011" t="s">
        <v>81</v>
      </c>
      <c r="B36" s="1012" t="s">
        <v>82</v>
      </c>
      <c r="C36" s="849" t="s">
        <v>273</v>
      </c>
      <c r="D36" s="1013">
        <f t="shared" si="0"/>
        <v>15</v>
      </c>
      <c r="E36" s="1014">
        <v>12</v>
      </c>
      <c r="F36" s="1015">
        <v>3</v>
      </c>
      <c r="G36" s="1015">
        <v>0</v>
      </c>
      <c r="H36" s="1016"/>
      <c r="I36" s="1019"/>
      <c r="J36" s="1016"/>
      <c r="K36" s="1016"/>
      <c r="L36" s="1016"/>
    </row>
    <row r="37" spans="1:12" ht="16.5" customHeight="1">
      <c r="A37" s="1011" t="s">
        <v>85</v>
      </c>
      <c r="B37" s="1012" t="s">
        <v>330</v>
      </c>
      <c r="C37" s="849" t="s">
        <v>272</v>
      </c>
      <c r="D37" s="1013">
        <f t="shared" si="0"/>
        <v>70</v>
      </c>
      <c r="E37" s="1014">
        <v>59</v>
      </c>
      <c r="F37" s="1015">
        <v>8</v>
      </c>
      <c r="G37" s="1015">
        <v>3</v>
      </c>
      <c r="H37" s="1016"/>
      <c r="I37" s="1020"/>
      <c r="J37" s="1016"/>
      <c r="K37" s="1019"/>
      <c r="L37" s="1016"/>
    </row>
    <row r="38" spans="1:12" ht="16.5" customHeight="1">
      <c r="A38" s="1011" t="s">
        <v>87</v>
      </c>
      <c r="B38" s="1012" t="s">
        <v>88</v>
      </c>
      <c r="C38" s="849" t="s">
        <v>274</v>
      </c>
      <c r="D38" s="1013">
        <f t="shared" si="0"/>
        <v>52</v>
      </c>
      <c r="E38" s="1014">
        <v>39</v>
      </c>
      <c r="F38" s="1015">
        <v>4</v>
      </c>
      <c r="G38" s="1015">
        <v>9</v>
      </c>
      <c r="H38" s="1019"/>
      <c r="I38" s="1018"/>
      <c r="J38" s="1019"/>
      <c r="K38" s="1018"/>
      <c r="L38" s="1016"/>
    </row>
    <row r="39" spans="1:12" ht="16.5" customHeight="1">
      <c r="A39" s="1011" t="s">
        <v>93</v>
      </c>
      <c r="B39" s="1012" t="s">
        <v>94</v>
      </c>
      <c r="C39" s="849" t="s">
        <v>275</v>
      </c>
      <c r="D39" s="1013">
        <f t="shared" si="0"/>
        <v>21</v>
      </c>
      <c r="E39" s="1014">
        <v>21</v>
      </c>
      <c r="F39" s="1015">
        <v>0</v>
      </c>
      <c r="G39" s="1021">
        <v>0</v>
      </c>
      <c r="H39" s="1016"/>
      <c r="I39" s="1019"/>
      <c r="J39" s="1016"/>
      <c r="K39" s="1016"/>
      <c r="L39" s="1016"/>
    </row>
    <row r="40" spans="1:12" ht="16.5" customHeight="1">
      <c r="A40" s="1011" t="s">
        <v>95</v>
      </c>
      <c r="B40" s="1012" t="s">
        <v>96</v>
      </c>
      <c r="C40" s="849" t="s">
        <v>271</v>
      </c>
      <c r="D40" s="1013">
        <f t="shared" si="0"/>
        <v>35</v>
      </c>
      <c r="E40" s="1014">
        <v>25</v>
      </c>
      <c r="F40" s="1015">
        <v>8</v>
      </c>
      <c r="G40" s="1015">
        <v>2</v>
      </c>
      <c r="H40" s="1016"/>
      <c r="I40" s="1020"/>
      <c r="J40" s="1016"/>
      <c r="K40" s="1016"/>
      <c r="L40" s="1016"/>
    </row>
    <row r="41" spans="1:12" ht="16.5" customHeight="1">
      <c r="A41" s="1011" t="s">
        <v>97</v>
      </c>
      <c r="B41" s="1012" t="s">
        <v>98</v>
      </c>
      <c r="C41" s="849" t="s">
        <v>273</v>
      </c>
      <c r="D41" s="1013">
        <f t="shared" si="0"/>
        <v>11</v>
      </c>
      <c r="E41" s="1014">
        <v>6</v>
      </c>
      <c r="F41" s="1015">
        <v>4</v>
      </c>
      <c r="G41" s="1015">
        <v>1</v>
      </c>
      <c r="H41" s="1016"/>
      <c r="I41" s="1016"/>
      <c r="J41" s="1016"/>
      <c r="K41" s="1016"/>
      <c r="L41" s="1016"/>
    </row>
    <row r="42" spans="1:12" ht="16.5" customHeight="1">
      <c r="A42" s="1011" t="s">
        <v>99</v>
      </c>
      <c r="B42" s="1012" t="s">
        <v>100</v>
      </c>
      <c r="C42" s="849" t="s">
        <v>275</v>
      </c>
      <c r="D42" s="1013">
        <f t="shared" si="0"/>
        <v>18</v>
      </c>
      <c r="E42" s="1014">
        <v>14</v>
      </c>
      <c r="F42" s="1015">
        <v>2</v>
      </c>
      <c r="G42" s="1021">
        <v>2</v>
      </c>
      <c r="H42" s="1016"/>
      <c r="I42" s="1020"/>
      <c r="J42" s="1016"/>
      <c r="K42" s="1020"/>
      <c r="L42" s="1016"/>
    </row>
    <row r="43" spans="1:12" ht="16.5" customHeight="1">
      <c r="A43" s="1011" t="s">
        <v>101</v>
      </c>
      <c r="B43" s="1012" t="s">
        <v>102</v>
      </c>
      <c r="C43" s="849" t="s">
        <v>274</v>
      </c>
      <c r="D43" s="1013">
        <f t="shared" si="0"/>
        <v>8</v>
      </c>
      <c r="E43" s="1014">
        <v>3</v>
      </c>
      <c r="F43" s="1015">
        <v>1</v>
      </c>
      <c r="G43" s="1015">
        <v>4</v>
      </c>
      <c r="H43" s="1016"/>
      <c r="I43" s="1018"/>
      <c r="J43" s="1016"/>
      <c r="K43" s="1016"/>
      <c r="L43" s="1016"/>
    </row>
    <row r="44" spans="1:12" ht="16.5" customHeight="1">
      <c r="A44" s="1011" t="s">
        <v>103</v>
      </c>
      <c r="B44" s="1012" t="s">
        <v>104</v>
      </c>
      <c r="C44" s="849" t="s">
        <v>271</v>
      </c>
      <c r="D44" s="1013">
        <f t="shared" si="0"/>
        <v>1</v>
      </c>
      <c r="E44" s="1022">
        <v>0</v>
      </c>
      <c r="F44" s="1021">
        <v>1</v>
      </c>
      <c r="G44" s="1015">
        <v>0</v>
      </c>
      <c r="H44" s="1016"/>
      <c r="I44" s="1019"/>
      <c r="J44" s="1016"/>
      <c r="K44" s="1019"/>
      <c r="L44" s="1016"/>
    </row>
    <row r="45" spans="1:12" ht="16.5" customHeight="1">
      <c r="A45" s="1011" t="s">
        <v>105</v>
      </c>
      <c r="B45" s="1012" t="s">
        <v>331</v>
      </c>
      <c r="C45" s="849" t="s">
        <v>272</v>
      </c>
      <c r="D45" s="1013">
        <f t="shared" si="0"/>
        <v>30</v>
      </c>
      <c r="E45" s="1014">
        <v>11</v>
      </c>
      <c r="F45" s="1015">
        <v>18</v>
      </c>
      <c r="G45" s="1015">
        <v>1</v>
      </c>
      <c r="H45" s="1016"/>
      <c r="I45" s="1018"/>
      <c r="J45" s="1016"/>
      <c r="K45" s="1019"/>
      <c r="L45" s="1016"/>
    </row>
    <row r="46" spans="1:12" ht="16.5" customHeight="1">
      <c r="A46" s="1011" t="s">
        <v>109</v>
      </c>
      <c r="B46" s="1012" t="s">
        <v>110</v>
      </c>
      <c r="C46" s="849" t="s">
        <v>273</v>
      </c>
      <c r="D46" s="1013">
        <f t="shared" si="0"/>
        <v>35</v>
      </c>
      <c r="E46" s="1014">
        <v>24</v>
      </c>
      <c r="F46" s="1015">
        <v>5</v>
      </c>
      <c r="G46" s="1015">
        <v>6</v>
      </c>
      <c r="H46" s="1016"/>
      <c r="I46" s="1020"/>
      <c r="J46" s="1016"/>
      <c r="K46" s="1016"/>
      <c r="L46" s="1016"/>
    </row>
    <row r="47" spans="1:12" ht="16.5" customHeight="1">
      <c r="A47" s="1011" t="s">
        <v>111</v>
      </c>
      <c r="B47" s="1012" t="s">
        <v>112</v>
      </c>
      <c r="C47" s="849" t="s">
        <v>273</v>
      </c>
      <c r="D47" s="1013">
        <f t="shared" si="0"/>
        <v>107</v>
      </c>
      <c r="E47" s="1014">
        <v>53</v>
      </c>
      <c r="F47" s="1015">
        <v>47</v>
      </c>
      <c r="G47" s="1015">
        <v>7</v>
      </c>
      <c r="H47" s="1016"/>
      <c r="I47" s="1020"/>
      <c r="J47" s="1016"/>
      <c r="K47" s="1016"/>
      <c r="L47" s="1016"/>
    </row>
    <row r="48" spans="1:12" ht="16.5" customHeight="1">
      <c r="A48" s="1011" t="s">
        <v>113</v>
      </c>
      <c r="B48" s="1012" t="s">
        <v>310</v>
      </c>
      <c r="C48" s="849" t="s">
        <v>272</v>
      </c>
      <c r="D48" s="1013">
        <f t="shared" si="0"/>
        <v>50</v>
      </c>
      <c r="E48" s="1014">
        <v>31</v>
      </c>
      <c r="F48" s="1015">
        <v>16</v>
      </c>
      <c r="G48" s="1015">
        <v>3</v>
      </c>
      <c r="H48" s="1016"/>
      <c r="I48" s="1018"/>
      <c r="J48" s="1016"/>
      <c r="K48" s="1016"/>
      <c r="L48" s="1016"/>
    </row>
    <row r="49" spans="1:12" ht="16.5" customHeight="1">
      <c r="A49" s="1011" t="s">
        <v>115</v>
      </c>
      <c r="B49" s="1012" t="s">
        <v>116</v>
      </c>
      <c r="C49" s="849" t="s">
        <v>272</v>
      </c>
      <c r="D49" s="1024">
        <f t="shared" si="0"/>
        <v>0</v>
      </c>
      <c r="E49" s="1025">
        <v>0</v>
      </c>
      <c r="F49" s="1021">
        <v>0</v>
      </c>
      <c r="G49" s="1021">
        <v>0</v>
      </c>
      <c r="H49" s="1016"/>
      <c r="I49" s="1016"/>
      <c r="J49" s="1016"/>
      <c r="K49" s="1016"/>
      <c r="L49" s="1016"/>
    </row>
    <row r="50" spans="1:12" ht="16.5" customHeight="1">
      <c r="A50" s="1011" t="s">
        <v>119</v>
      </c>
      <c r="B50" s="1012" t="s">
        <v>120</v>
      </c>
      <c r="C50" s="849" t="s">
        <v>271</v>
      </c>
      <c r="D50" s="1013">
        <f t="shared" si="0"/>
        <v>9</v>
      </c>
      <c r="E50" s="1014">
        <v>4</v>
      </c>
      <c r="F50" s="1015">
        <v>5</v>
      </c>
      <c r="G50" s="1015">
        <v>0</v>
      </c>
      <c r="H50" s="1016"/>
      <c r="I50" s="1019"/>
      <c r="J50" s="1016"/>
      <c r="K50" s="1019"/>
      <c r="L50" s="1016"/>
    </row>
    <row r="51" spans="1:12" ht="16.5" customHeight="1">
      <c r="A51" s="1011" t="s">
        <v>121</v>
      </c>
      <c r="B51" s="1012" t="s">
        <v>122</v>
      </c>
      <c r="C51" s="849" t="s">
        <v>271</v>
      </c>
      <c r="D51" s="1013">
        <f t="shared" si="0"/>
        <v>52</v>
      </c>
      <c r="E51" s="1014">
        <v>25</v>
      </c>
      <c r="F51" s="1015">
        <v>19</v>
      </c>
      <c r="G51" s="1015">
        <v>8</v>
      </c>
      <c r="H51" s="1016"/>
      <c r="I51" s="1018"/>
      <c r="J51" s="1016"/>
      <c r="K51" s="1016"/>
      <c r="L51" s="1016"/>
    </row>
    <row r="52" spans="1:12" ht="16.5" customHeight="1">
      <c r="A52" s="1011" t="s">
        <v>123</v>
      </c>
      <c r="B52" s="1012" t="s">
        <v>278</v>
      </c>
      <c r="C52" s="849" t="s">
        <v>273</v>
      </c>
      <c r="D52" s="1013">
        <f t="shared" si="0"/>
        <v>9</v>
      </c>
      <c r="E52" s="1014">
        <v>1</v>
      </c>
      <c r="F52" s="1015">
        <v>8</v>
      </c>
      <c r="G52" s="1015">
        <v>0</v>
      </c>
      <c r="H52" s="1016"/>
      <c r="I52" s="1016"/>
      <c r="J52" s="1016"/>
      <c r="K52" s="1016"/>
      <c r="L52" s="1016"/>
    </row>
    <row r="53" spans="1:12" ht="16.5" customHeight="1">
      <c r="A53" s="1011" t="s">
        <v>125</v>
      </c>
      <c r="B53" s="1012" t="s">
        <v>126</v>
      </c>
      <c r="C53" s="849" t="s">
        <v>274</v>
      </c>
      <c r="D53" s="1013">
        <f t="shared" si="0"/>
        <v>7</v>
      </c>
      <c r="E53" s="1014">
        <v>4</v>
      </c>
      <c r="F53" s="1015">
        <v>3</v>
      </c>
      <c r="G53" s="1015">
        <v>0</v>
      </c>
      <c r="H53" s="1016"/>
      <c r="I53" s="1019"/>
      <c r="J53" s="1016"/>
      <c r="K53" s="1016"/>
      <c r="L53" s="1016"/>
    </row>
    <row r="54" spans="1:12" ht="16.5" customHeight="1">
      <c r="A54" s="1011" t="s">
        <v>127</v>
      </c>
      <c r="B54" s="1012" t="s">
        <v>128</v>
      </c>
      <c r="C54" s="849" t="s">
        <v>273</v>
      </c>
      <c r="D54" s="1013">
        <f t="shared" si="0"/>
        <v>12</v>
      </c>
      <c r="E54" s="1014">
        <v>5</v>
      </c>
      <c r="F54" s="1015">
        <v>7</v>
      </c>
      <c r="G54" s="1015">
        <v>0</v>
      </c>
      <c r="H54" s="1016"/>
      <c r="I54" s="1019"/>
      <c r="J54" s="1016"/>
      <c r="K54" s="1016"/>
      <c r="L54" s="1016"/>
    </row>
    <row r="55" spans="1:12" ht="16.5" customHeight="1">
      <c r="A55" s="1011" t="s">
        <v>129</v>
      </c>
      <c r="B55" s="1012" t="s">
        <v>130</v>
      </c>
      <c r="C55" s="849" t="s">
        <v>273</v>
      </c>
      <c r="D55" s="1013">
        <f t="shared" si="0"/>
        <v>6</v>
      </c>
      <c r="E55" s="1014">
        <v>2</v>
      </c>
      <c r="F55" s="1015">
        <v>4</v>
      </c>
      <c r="G55" s="1015">
        <v>0</v>
      </c>
      <c r="H55" s="1016"/>
      <c r="I55" s="1019"/>
      <c r="J55" s="1016"/>
      <c r="K55" s="1016"/>
      <c r="L55" s="1016"/>
    </row>
    <row r="56" spans="1:12" ht="16.5" customHeight="1">
      <c r="A56" s="1011" t="s">
        <v>131</v>
      </c>
      <c r="B56" s="1012" t="s">
        <v>132</v>
      </c>
      <c r="C56" s="849" t="s">
        <v>275</v>
      </c>
      <c r="D56" s="1013">
        <f t="shared" si="0"/>
        <v>97</v>
      </c>
      <c r="E56" s="1014">
        <v>93</v>
      </c>
      <c r="F56" s="1015">
        <v>1</v>
      </c>
      <c r="G56" s="1015">
        <v>3</v>
      </c>
      <c r="H56" s="1016"/>
      <c r="I56" s="1018"/>
      <c r="J56" s="1016"/>
      <c r="K56" s="1016"/>
      <c r="L56" s="1016"/>
    </row>
    <row r="57" spans="1:12" ht="16.5" customHeight="1">
      <c r="A57" s="1011" t="s">
        <v>133</v>
      </c>
      <c r="B57" s="1012" t="s">
        <v>134</v>
      </c>
      <c r="C57" s="849" t="s">
        <v>274</v>
      </c>
      <c r="D57" s="1013">
        <f t="shared" si="0"/>
        <v>72</v>
      </c>
      <c r="E57" s="1014">
        <v>41</v>
      </c>
      <c r="F57" s="1015">
        <v>24</v>
      </c>
      <c r="G57" s="1015">
        <v>7</v>
      </c>
      <c r="H57" s="1023"/>
      <c r="I57" s="1018"/>
      <c r="J57" s="1016"/>
      <c r="K57" s="1016"/>
      <c r="L57" s="1016"/>
    </row>
    <row r="58" spans="1:12" ht="16.5" customHeight="1">
      <c r="A58" s="1011" t="s">
        <v>135</v>
      </c>
      <c r="B58" s="1012" t="s">
        <v>136</v>
      </c>
      <c r="C58" s="849" t="s">
        <v>274</v>
      </c>
      <c r="D58" s="1013">
        <f t="shared" si="0"/>
        <v>56</v>
      </c>
      <c r="E58" s="1014">
        <v>26</v>
      </c>
      <c r="F58" s="1015">
        <v>22</v>
      </c>
      <c r="G58" s="1015">
        <v>8</v>
      </c>
      <c r="H58" s="1016"/>
      <c r="I58" s="1020"/>
      <c r="J58" s="1016"/>
      <c r="K58" s="1016"/>
      <c r="L58" s="1016"/>
    </row>
    <row r="59" spans="1:12" ht="16.5" customHeight="1">
      <c r="A59" s="1011" t="s">
        <v>137</v>
      </c>
      <c r="B59" s="1012" t="s">
        <v>138</v>
      </c>
      <c r="C59" s="849" t="s">
        <v>273</v>
      </c>
      <c r="D59" s="1013">
        <f t="shared" si="0"/>
        <v>10</v>
      </c>
      <c r="E59" s="1022">
        <v>2</v>
      </c>
      <c r="F59" s="1021">
        <v>5</v>
      </c>
      <c r="G59" s="1015">
        <v>3</v>
      </c>
      <c r="H59" s="1016"/>
      <c r="I59" s="1020"/>
      <c r="J59" s="1016"/>
      <c r="K59" s="1016"/>
      <c r="L59" s="1016"/>
    </row>
    <row r="60" spans="1:12" ht="16.5" customHeight="1">
      <c r="A60" s="1011" t="s">
        <v>141</v>
      </c>
      <c r="B60" s="1012" t="s">
        <v>142</v>
      </c>
      <c r="C60" s="849" t="s">
        <v>274</v>
      </c>
      <c r="D60" s="1013">
        <f t="shared" si="0"/>
        <v>7</v>
      </c>
      <c r="E60" s="1014">
        <v>4</v>
      </c>
      <c r="F60" s="1015">
        <v>2</v>
      </c>
      <c r="G60" s="1015">
        <v>1</v>
      </c>
      <c r="H60" s="1016"/>
      <c r="I60" s="1016"/>
      <c r="J60" s="1016"/>
      <c r="K60" s="1016"/>
      <c r="L60" s="1016"/>
    </row>
    <row r="61" spans="1:12" ht="16.5" customHeight="1">
      <c r="A61" s="1011" t="s">
        <v>147</v>
      </c>
      <c r="B61" s="1012" t="s">
        <v>148</v>
      </c>
      <c r="C61" s="849" t="s">
        <v>271</v>
      </c>
      <c r="D61" s="1013">
        <f t="shared" si="0"/>
        <v>7</v>
      </c>
      <c r="E61" s="1014">
        <v>5</v>
      </c>
      <c r="F61" s="1015">
        <v>2</v>
      </c>
      <c r="G61" s="1015">
        <v>0</v>
      </c>
      <c r="H61" s="1016"/>
      <c r="I61" s="1019"/>
      <c r="J61" s="1016"/>
      <c r="K61" s="1016"/>
      <c r="L61" s="1016"/>
    </row>
    <row r="62" spans="1:12" ht="16.5" customHeight="1">
      <c r="A62" s="1011" t="s">
        <v>149</v>
      </c>
      <c r="B62" s="1012" t="s">
        <v>150</v>
      </c>
      <c r="C62" s="849" t="s">
        <v>272</v>
      </c>
      <c r="D62" s="1013">
        <f t="shared" si="0"/>
        <v>26</v>
      </c>
      <c r="E62" s="1014">
        <v>11</v>
      </c>
      <c r="F62" s="1015">
        <v>13</v>
      </c>
      <c r="G62" s="1015">
        <v>2</v>
      </c>
      <c r="H62" s="1016"/>
      <c r="I62" s="1020"/>
      <c r="J62" s="1016"/>
      <c r="K62" s="1016"/>
      <c r="L62" s="1016"/>
    </row>
    <row r="63" spans="1:12" ht="16.5" customHeight="1">
      <c r="A63" s="1011" t="s">
        <v>151</v>
      </c>
      <c r="B63" s="1012" t="s">
        <v>152</v>
      </c>
      <c r="C63" s="849" t="s">
        <v>273</v>
      </c>
      <c r="D63" s="1013">
        <f t="shared" si="0"/>
        <v>16</v>
      </c>
      <c r="E63" s="1022">
        <v>1</v>
      </c>
      <c r="F63" s="1021">
        <v>7</v>
      </c>
      <c r="G63" s="1015">
        <v>8</v>
      </c>
      <c r="H63" s="1016"/>
      <c r="I63" s="1020"/>
      <c r="J63" s="1016"/>
      <c r="K63" s="1016"/>
      <c r="L63" s="1016"/>
    </row>
    <row r="64" spans="1:12" ht="16.5" customHeight="1">
      <c r="A64" s="1011" t="s">
        <v>153</v>
      </c>
      <c r="B64" s="1012" t="s">
        <v>154</v>
      </c>
      <c r="C64" s="849" t="s">
        <v>275</v>
      </c>
      <c r="D64" s="1013">
        <f t="shared" si="0"/>
        <v>70</v>
      </c>
      <c r="E64" s="1014">
        <v>59</v>
      </c>
      <c r="F64" s="1015">
        <v>4</v>
      </c>
      <c r="G64" s="1015">
        <v>7</v>
      </c>
      <c r="H64" s="1016"/>
      <c r="I64" s="1016"/>
      <c r="J64" s="1016"/>
      <c r="K64" s="1020"/>
      <c r="L64" s="1016"/>
    </row>
    <row r="65" spans="1:12" ht="16.5" customHeight="1">
      <c r="A65" s="1011" t="s">
        <v>155</v>
      </c>
      <c r="B65" s="1012" t="s">
        <v>156</v>
      </c>
      <c r="C65" s="849" t="s">
        <v>272</v>
      </c>
      <c r="D65" s="1024">
        <f t="shared" si="0"/>
        <v>0</v>
      </c>
      <c r="E65" s="1025">
        <v>0</v>
      </c>
      <c r="F65" s="1021">
        <v>0</v>
      </c>
      <c r="G65" s="1021">
        <v>0</v>
      </c>
      <c r="H65" s="1016"/>
      <c r="I65" s="1016"/>
      <c r="J65" s="1016"/>
      <c r="K65" s="1016"/>
      <c r="L65" s="1016"/>
    </row>
    <row r="66" spans="1:12" ht="16.5" customHeight="1">
      <c r="A66" s="1011" t="s">
        <v>157</v>
      </c>
      <c r="B66" s="1012" t="s">
        <v>158</v>
      </c>
      <c r="C66" s="849" t="s">
        <v>273</v>
      </c>
      <c r="D66" s="1013">
        <f t="shared" si="0"/>
        <v>5</v>
      </c>
      <c r="E66" s="1014">
        <v>5</v>
      </c>
      <c r="F66" s="1015">
        <v>0</v>
      </c>
      <c r="G66" s="1021">
        <v>0</v>
      </c>
      <c r="H66" s="1016"/>
      <c r="I66" s="1019"/>
      <c r="J66" s="1016"/>
      <c r="K66" s="1016"/>
      <c r="L66" s="1016"/>
    </row>
    <row r="67" spans="1:12" ht="16.5" customHeight="1">
      <c r="A67" s="1011" t="s">
        <v>163</v>
      </c>
      <c r="B67" s="1012" t="s">
        <v>164</v>
      </c>
      <c r="C67" s="849" t="s">
        <v>271</v>
      </c>
      <c r="D67" s="1013">
        <f t="shared" si="0"/>
        <v>2</v>
      </c>
      <c r="E67" s="1014">
        <v>1</v>
      </c>
      <c r="F67" s="1015">
        <v>1</v>
      </c>
      <c r="G67" s="1015">
        <v>0</v>
      </c>
      <c r="H67" s="1019"/>
      <c r="I67" s="1019"/>
      <c r="J67" s="1016"/>
      <c r="K67" s="1016"/>
      <c r="L67" s="1016"/>
    </row>
    <row r="68" spans="1:12" ht="16.5" customHeight="1">
      <c r="A68" s="1011" t="s">
        <v>165</v>
      </c>
      <c r="B68" s="1012" t="s">
        <v>166</v>
      </c>
      <c r="C68" s="849" t="s">
        <v>273</v>
      </c>
      <c r="D68" s="1013">
        <f t="shared" si="0"/>
        <v>6</v>
      </c>
      <c r="E68" s="1014">
        <v>3</v>
      </c>
      <c r="F68" s="1015">
        <v>3</v>
      </c>
      <c r="G68" s="1015">
        <v>0</v>
      </c>
      <c r="H68" s="1016"/>
      <c r="I68" s="1019"/>
      <c r="J68" s="1016"/>
      <c r="K68" s="1016"/>
      <c r="L68" s="1016"/>
    </row>
    <row r="69" spans="1:12" ht="16.5" customHeight="1">
      <c r="A69" s="1011" t="s">
        <v>169</v>
      </c>
      <c r="B69" s="1012" t="s">
        <v>170</v>
      </c>
      <c r="C69" s="849" t="s">
        <v>273</v>
      </c>
      <c r="D69" s="1013">
        <f t="shared" si="0"/>
        <v>7</v>
      </c>
      <c r="E69" s="1014">
        <v>4</v>
      </c>
      <c r="F69" s="1015">
        <v>2</v>
      </c>
      <c r="G69" s="1015">
        <v>1</v>
      </c>
      <c r="H69" s="1016"/>
      <c r="I69" s="1018"/>
      <c r="J69" s="1016"/>
      <c r="K69" s="1016"/>
      <c r="L69" s="1016"/>
    </row>
    <row r="70" spans="1:12" ht="16.5" customHeight="1">
      <c r="A70" s="1011" t="s">
        <v>171</v>
      </c>
      <c r="B70" s="1012" t="s">
        <v>172</v>
      </c>
      <c r="C70" s="849" t="s">
        <v>274</v>
      </c>
      <c r="D70" s="1013">
        <f t="shared" ref="D70:D124" si="1">E70+F70+G70</f>
        <v>22</v>
      </c>
      <c r="E70" s="1014">
        <v>15</v>
      </c>
      <c r="F70" s="1015">
        <v>1</v>
      </c>
      <c r="G70" s="1015">
        <v>6</v>
      </c>
      <c r="H70" s="1016"/>
      <c r="I70" s="1018"/>
      <c r="J70" s="1016"/>
      <c r="K70" s="1019"/>
      <c r="L70" s="1016"/>
    </row>
    <row r="71" spans="1:12" ht="16.5" customHeight="1">
      <c r="A71" s="1011" t="s">
        <v>173</v>
      </c>
      <c r="B71" s="1012" t="s">
        <v>174</v>
      </c>
      <c r="C71" s="849" t="s">
        <v>274</v>
      </c>
      <c r="D71" s="1013">
        <f t="shared" si="1"/>
        <v>14</v>
      </c>
      <c r="E71" s="1014">
        <v>14</v>
      </c>
      <c r="F71" s="1015">
        <v>0</v>
      </c>
      <c r="G71" s="1021">
        <v>0</v>
      </c>
      <c r="H71" s="1016"/>
      <c r="I71" s="1016"/>
      <c r="J71" s="1016"/>
      <c r="K71" s="1016"/>
      <c r="L71" s="1016"/>
    </row>
    <row r="72" spans="1:12" ht="16.5" customHeight="1">
      <c r="A72" s="1011" t="s">
        <v>175</v>
      </c>
      <c r="B72" s="1012" t="s">
        <v>176</v>
      </c>
      <c r="C72" s="849" t="s">
        <v>275</v>
      </c>
      <c r="D72" s="1013">
        <f t="shared" si="1"/>
        <v>1</v>
      </c>
      <c r="E72" s="1014">
        <v>1</v>
      </c>
      <c r="F72" s="1015">
        <v>0</v>
      </c>
      <c r="G72" s="1021">
        <v>0</v>
      </c>
      <c r="H72" s="1016"/>
      <c r="I72" s="1016"/>
      <c r="J72" s="1016"/>
      <c r="K72" s="1016"/>
      <c r="L72" s="1016"/>
    </row>
    <row r="73" spans="1:12" ht="16.5" customHeight="1">
      <c r="A73" s="1011" t="s">
        <v>179</v>
      </c>
      <c r="B73" s="1012" t="s">
        <v>180</v>
      </c>
      <c r="C73" s="849" t="s">
        <v>272</v>
      </c>
      <c r="D73" s="1013">
        <f t="shared" si="1"/>
        <v>17</v>
      </c>
      <c r="E73" s="1014">
        <v>13</v>
      </c>
      <c r="F73" s="1015">
        <v>2</v>
      </c>
      <c r="G73" s="1015">
        <v>2</v>
      </c>
      <c r="H73" s="1016"/>
      <c r="I73" s="1020"/>
      <c r="J73" s="1016"/>
      <c r="K73" s="1020"/>
      <c r="L73" s="1016"/>
    </row>
    <row r="74" spans="1:12" ht="16.5" customHeight="1">
      <c r="A74" s="1011" t="s">
        <v>183</v>
      </c>
      <c r="B74" s="1012" t="s">
        <v>184</v>
      </c>
      <c r="C74" s="849" t="s">
        <v>273</v>
      </c>
      <c r="D74" s="1013">
        <f t="shared" si="1"/>
        <v>4</v>
      </c>
      <c r="E74" s="1014">
        <v>2</v>
      </c>
      <c r="F74" s="1015">
        <v>0</v>
      </c>
      <c r="G74" s="1021">
        <v>2</v>
      </c>
      <c r="H74" s="1016"/>
      <c r="I74" s="1020"/>
      <c r="J74" s="1016"/>
      <c r="K74" s="1016"/>
      <c r="L74" s="1016"/>
    </row>
    <row r="75" spans="1:12" ht="16.5" customHeight="1">
      <c r="A75" s="1011" t="s">
        <v>185</v>
      </c>
      <c r="B75" s="1012" t="s">
        <v>186</v>
      </c>
      <c r="C75" s="849" t="s">
        <v>273</v>
      </c>
      <c r="D75" s="1013">
        <f t="shared" si="1"/>
        <v>37</v>
      </c>
      <c r="E75" s="1014">
        <v>18</v>
      </c>
      <c r="F75" s="1015">
        <v>13</v>
      </c>
      <c r="G75" s="1015">
        <v>6</v>
      </c>
      <c r="H75" s="1016"/>
      <c r="I75" s="1018"/>
      <c r="J75" s="1016"/>
      <c r="K75" s="1016"/>
      <c r="L75" s="1016"/>
    </row>
    <row r="76" spans="1:12" ht="16.5" customHeight="1">
      <c r="A76" s="1011" t="s">
        <v>187</v>
      </c>
      <c r="B76" s="1012" t="s">
        <v>188</v>
      </c>
      <c r="C76" s="849" t="s">
        <v>271</v>
      </c>
      <c r="D76" s="1013">
        <f t="shared" si="1"/>
        <v>11</v>
      </c>
      <c r="E76" s="1014">
        <v>6</v>
      </c>
      <c r="F76" s="1015">
        <v>5</v>
      </c>
      <c r="G76" s="1015">
        <v>0</v>
      </c>
      <c r="H76" s="1016"/>
      <c r="I76" s="1019"/>
      <c r="J76" s="1016"/>
      <c r="K76" s="1016"/>
      <c r="L76" s="1016"/>
    </row>
    <row r="77" spans="1:12" ht="16.5" customHeight="1">
      <c r="A77" s="1011" t="s">
        <v>189</v>
      </c>
      <c r="B77" s="1012" t="s">
        <v>190</v>
      </c>
      <c r="C77" s="849" t="s">
        <v>274</v>
      </c>
      <c r="D77" s="1013">
        <f t="shared" si="1"/>
        <v>112</v>
      </c>
      <c r="E77" s="1014">
        <v>50</v>
      </c>
      <c r="F77" s="1015">
        <v>44</v>
      </c>
      <c r="G77" s="1015">
        <v>18</v>
      </c>
      <c r="H77" s="1016"/>
      <c r="I77" s="1020"/>
      <c r="J77" s="1016"/>
      <c r="K77" s="1018"/>
      <c r="L77" s="1016"/>
    </row>
    <row r="78" spans="1:12" ht="16.5" customHeight="1">
      <c r="A78" s="1011" t="s">
        <v>191</v>
      </c>
      <c r="B78" s="1012" t="s">
        <v>192</v>
      </c>
      <c r="C78" s="849" t="s">
        <v>275</v>
      </c>
      <c r="D78" s="1013">
        <f t="shared" si="1"/>
        <v>38</v>
      </c>
      <c r="E78" s="1014">
        <v>27</v>
      </c>
      <c r="F78" s="1015">
        <v>6</v>
      </c>
      <c r="G78" s="1015">
        <v>5</v>
      </c>
      <c r="H78" s="1016"/>
      <c r="I78" s="1020"/>
      <c r="J78" s="1016"/>
      <c r="K78" s="1016"/>
      <c r="L78" s="1016"/>
    </row>
    <row r="79" spans="1:12" ht="16.5" customHeight="1">
      <c r="A79" s="1011" t="s">
        <v>195</v>
      </c>
      <c r="B79" s="1012" t="s">
        <v>196</v>
      </c>
      <c r="C79" s="849" t="s">
        <v>274</v>
      </c>
      <c r="D79" s="1013">
        <f t="shared" si="1"/>
        <v>3</v>
      </c>
      <c r="E79" s="1014">
        <v>1</v>
      </c>
      <c r="F79" s="1015">
        <v>0</v>
      </c>
      <c r="G79" s="1021">
        <v>2</v>
      </c>
      <c r="H79" s="1016"/>
      <c r="I79" s="1016"/>
      <c r="J79" s="1016"/>
      <c r="K79" s="1016"/>
      <c r="L79" s="1016"/>
    </row>
    <row r="80" spans="1:12" ht="16.5" customHeight="1">
      <c r="A80" s="1011" t="s">
        <v>199</v>
      </c>
      <c r="B80" s="1012" t="s">
        <v>200</v>
      </c>
      <c r="C80" s="849" t="s">
        <v>273</v>
      </c>
      <c r="D80" s="1013">
        <f t="shared" si="1"/>
        <v>3</v>
      </c>
      <c r="E80" s="1014">
        <v>2</v>
      </c>
      <c r="F80" s="1015">
        <v>1</v>
      </c>
      <c r="G80" s="1015">
        <v>0</v>
      </c>
      <c r="H80" s="1016"/>
      <c r="I80" s="1019"/>
      <c r="J80" s="1016"/>
      <c r="K80" s="1016"/>
      <c r="L80" s="1016"/>
    </row>
    <row r="81" spans="1:12" ht="16.5" customHeight="1">
      <c r="A81" s="1011" t="s">
        <v>203</v>
      </c>
      <c r="B81" s="1012" t="s">
        <v>204</v>
      </c>
      <c r="C81" s="849" t="s">
        <v>272</v>
      </c>
      <c r="D81" s="1013">
        <f t="shared" si="1"/>
        <v>99</v>
      </c>
      <c r="E81" s="1014">
        <v>89</v>
      </c>
      <c r="F81" s="1015">
        <v>5</v>
      </c>
      <c r="G81" s="1015">
        <v>5</v>
      </c>
      <c r="H81" s="1016"/>
      <c r="I81" s="1018"/>
      <c r="J81" s="1019"/>
      <c r="K81" s="1016"/>
      <c r="L81" s="1016"/>
    </row>
    <row r="82" spans="1:12" ht="16.5" customHeight="1">
      <c r="A82" s="1011" t="s">
        <v>205</v>
      </c>
      <c r="B82" s="1012" t="s">
        <v>206</v>
      </c>
      <c r="C82" s="849" t="s">
        <v>272</v>
      </c>
      <c r="D82" s="1013">
        <f t="shared" si="1"/>
        <v>13</v>
      </c>
      <c r="E82" s="1014">
        <v>10</v>
      </c>
      <c r="F82" s="1015">
        <v>0</v>
      </c>
      <c r="G82" s="1021">
        <v>3</v>
      </c>
      <c r="H82" s="1016"/>
      <c r="I82" s="1020"/>
      <c r="J82" s="1016"/>
      <c r="K82" s="1016"/>
      <c r="L82" s="1016"/>
    </row>
    <row r="83" spans="1:12" ht="16.5" customHeight="1">
      <c r="A83" s="1011" t="s">
        <v>207</v>
      </c>
      <c r="B83" s="1012" t="s">
        <v>208</v>
      </c>
      <c r="C83" s="849" t="s">
        <v>274</v>
      </c>
      <c r="D83" s="1013">
        <f t="shared" si="1"/>
        <v>228</v>
      </c>
      <c r="E83" s="1014">
        <v>175</v>
      </c>
      <c r="F83" s="1015">
        <v>29</v>
      </c>
      <c r="G83" s="1015">
        <v>24</v>
      </c>
      <c r="H83" s="1016"/>
      <c r="I83" s="1020"/>
      <c r="J83" s="1016"/>
      <c r="K83" s="1020"/>
      <c r="L83" s="1016"/>
    </row>
    <row r="84" spans="1:12" ht="16.5" customHeight="1">
      <c r="A84" s="1011" t="s">
        <v>209</v>
      </c>
      <c r="B84" s="1012" t="s">
        <v>210</v>
      </c>
      <c r="C84" s="849" t="s">
        <v>275</v>
      </c>
      <c r="D84" s="1013">
        <f t="shared" si="1"/>
        <v>41</v>
      </c>
      <c r="E84" s="1014">
        <v>40</v>
      </c>
      <c r="F84" s="1015">
        <v>1</v>
      </c>
      <c r="G84" s="1021">
        <v>0</v>
      </c>
      <c r="H84" s="1016"/>
      <c r="I84" s="1019"/>
      <c r="J84" s="1016"/>
      <c r="K84" s="1016"/>
      <c r="L84" s="1016"/>
    </row>
    <row r="85" spans="1:12" ht="16.5" customHeight="1">
      <c r="A85" s="1011" t="s">
        <v>211</v>
      </c>
      <c r="B85" s="1012" t="s">
        <v>212</v>
      </c>
      <c r="C85" s="849" t="s">
        <v>275</v>
      </c>
      <c r="D85" s="1013">
        <f t="shared" si="1"/>
        <v>37</v>
      </c>
      <c r="E85" s="1014">
        <v>35</v>
      </c>
      <c r="F85" s="1015">
        <v>0</v>
      </c>
      <c r="G85" s="1021">
        <v>2</v>
      </c>
      <c r="H85" s="1016"/>
      <c r="I85" s="1019"/>
      <c r="J85" s="1016"/>
      <c r="K85" s="1016"/>
      <c r="L85" s="1016"/>
    </row>
    <row r="86" spans="1:12" ht="16.5" customHeight="1">
      <c r="A86" s="1011" t="s">
        <v>213</v>
      </c>
      <c r="B86" s="1012" t="s">
        <v>214</v>
      </c>
      <c r="C86" s="849" t="s">
        <v>274</v>
      </c>
      <c r="D86" s="1013">
        <f t="shared" si="1"/>
        <v>27</v>
      </c>
      <c r="E86" s="1014">
        <v>21</v>
      </c>
      <c r="F86" s="1015">
        <v>1</v>
      </c>
      <c r="G86" s="1015">
        <v>5</v>
      </c>
      <c r="H86" s="1016"/>
      <c r="I86" s="1018"/>
      <c r="J86" s="1016"/>
      <c r="K86" s="1016"/>
      <c r="L86" s="1016"/>
    </row>
    <row r="87" spans="1:12" ht="16.5" customHeight="1">
      <c r="A87" s="1011" t="s">
        <v>215</v>
      </c>
      <c r="B87" s="1012" t="s">
        <v>216</v>
      </c>
      <c r="C87" s="849" t="s">
        <v>275</v>
      </c>
      <c r="D87" s="1013">
        <f t="shared" si="1"/>
        <v>24</v>
      </c>
      <c r="E87" s="1014">
        <v>23</v>
      </c>
      <c r="F87" s="1015">
        <v>0</v>
      </c>
      <c r="G87" s="1021">
        <v>1</v>
      </c>
      <c r="H87" s="1016"/>
      <c r="I87" s="1020"/>
      <c r="J87" s="1016"/>
      <c r="K87" s="1016"/>
      <c r="L87" s="1016"/>
    </row>
    <row r="88" spans="1:12" ht="16.5" customHeight="1">
      <c r="A88" s="1011" t="s">
        <v>217</v>
      </c>
      <c r="B88" s="1012" t="s">
        <v>218</v>
      </c>
      <c r="C88" s="849" t="s">
        <v>271</v>
      </c>
      <c r="D88" s="1013">
        <f t="shared" si="1"/>
        <v>3</v>
      </c>
      <c r="E88" s="1014">
        <v>2</v>
      </c>
      <c r="F88" s="1015">
        <v>0</v>
      </c>
      <c r="G88" s="1015">
        <v>1</v>
      </c>
      <c r="H88" s="1016"/>
      <c r="I88" s="1016"/>
      <c r="J88" s="1016"/>
      <c r="K88" s="1020"/>
      <c r="L88" s="1016"/>
    </row>
    <row r="89" spans="1:12" ht="16.5" customHeight="1">
      <c r="A89" s="1011" t="s">
        <v>219</v>
      </c>
      <c r="B89" s="1012" t="s">
        <v>220</v>
      </c>
      <c r="C89" s="849" t="s">
        <v>274</v>
      </c>
      <c r="D89" s="1013">
        <f t="shared" si="1"/>
        <v>72</v>
      </c>
      <c r="E89" s="1014">
        <v>53</v>
      </c>
      <c r="F89" s="1015">
        <v>16</v>
      </c>
      <c r="G89" s="1015">
        <v>3</v>
      </c>
      <c r="H89" s="1016"/>
      <c r="I89" s="1019"/>
      <c r="J89" s="1016"/>
      <c r="K89" s="1019"/>
      <c r="L89" s="1016"/>
    </row>
    <row r="90" spans="1:12" ht="16.5" customHeight="1">
      <c r="A90" s="1011" t="s">
        <v>221</v>
      </c>
      <c r="B90" s="1012" t="s">
        <v>222</v>
      </c>
      <c r="C90" s="849" t="s">
        <v>274</v>
      </c>
      <c r="D90" s="1013">
        <f t="shared" si="1"/>
        <v>153</v>
      </c>
      <c r="E90" s="1014">
        <v>88</v>
      </c>
      <c r="F90" s="1015">
        <v>47</v>
      </c>
      <c r="G90" s="1015">
        <v>18</v>
      </c>
      <c r="H90" s="1016"/>
      <c r="I90" s="1018"/>
      <c r="J90" s="1016"/>
      <c r="K90" s="1018"/>
      <c r="L90" s="1016"/>
    </row>
    <row r="91" spans="1:12" ht="16.5" customHeight="1">
      <c r="A91" s="1011" t="s">
        <v>225</v>
      </c>
      <c r="B91" s="1012" t="s">
        <v>226</v>
      </c>
      <c r="C91" s="849" t="s">
        <v>271</v>
      </c>
      <c r="D91" s="1013">
        <f t="shared" si="1"/>
        <v>1</v>
      </c>
      <c r="E91" s="1022">
        <v>0</v>
      </c>
      <c r="F91" s="1021">
        <v>1</v>
      </c>
      <c r="G91" s="1015">
        <v>0</v>
      </c>
      <c r="H91" s="1016"/>
      <c r="I91" s="1019"/>
      <c r="J91" s="1016"/>
      <c r="K91" s="1016"/>
      <c r="L91" s="1016"/>
    </row>
    <row r="92" spans="1:12" ht="16.5" customHeight="1">
      <c r="A92" s="1011" t="s">
        <v>227</v>
      </c>
      <c r="B92" s="1012" t="s">
        <v>228</v>
      </c>
      <c r="C92" s="849" t="s">
        <v>271</v>
      </c>
      <c r="D92" s="1013">
        <f t="shared" si="1"/>
        <v>7</v>
      </c>
      <c r="E92" s="1014">
        <v>4</v>
      </c>
      <c r="F92" s="1015">
        <v>3</v>
      </c>
      <c r="G92" s="1015">
        <v>0</v>
      </c>
      <c r="H92" s="1016"/>
      <c r="I92" s="1019"/>
      <c r="J92" s="1016"/>
      <c r="K92" s="1016"/>
      <c r="L92" s="1016"/>
    </row>
    <row r="93" spans="1:12" ht="16.5" customHeight="1">
      <c r="A93" s="1011" t="s">
        <v>229</v>
      </c>
      <c r="B93" s="1012" t="s">
        <v>230</v>
      </c>
      <c r="C93" s="849" t="s">
        <v>275</v>
      </c>
      <c r="D93" s="1013">
        <f t="shared" si="1"/>
        <v>107</v>
      </c>
      <c r="E93" s="1014">
        <v>100</v>
      </c>
      <c r="F93" s="1015">
        <v>7</v>
      </c>
      <c r="G93" s="1015">
        <v>0</v>
      </c>
      <c r="H93" s="1016"/>
      <c r="I93" s="1019"/>
      <c r="J93" s="1016"/>
      <c r="K93" s="1016"/>
      <c r="L93" s="1016"/>
    </row>
    <row r="94" spans="1:12" ht="16.5" customHeight="1">
      <c r="A94" s="1011" t="s">
        <v>233</v>
      </c>
      <c r="B94" s="1012" t="s">
        <v>234</v>
      </c>
      <c r="C94" s="849" t="s">
        <v>274</v>
      </c>
      <c r="D94" s="1013">
        <f t="shared" si="1"/>
        <v>54</v>
      </c>
      <c r="E94" s="1014">
        <v>46</v>
      </c>
      <c r="F94" s="1015">
        <v>3</v>
      </c>
      <c r="G94" s="1015">
        <v>5</v>
      </c>
      <c r="H94" s="1016"/>
      <c r="I94" s="1020"/>
      <c r="J94" s="1016"/>
      <c r="K94" s="1016"/>
      <c r="L94" s="1016"/>
    </row>
    <row r="95" spans="1:12" ht="16.5" customHeight="1">
      <c r="A95" s="1011" t="s">
        <v>235</v>
      </c>
      <c r="B95" s="1012" t="s">
        <v>236</v>
      </c>
      <c r="C95" s="849" t="s">
        <v>275</v>
      </c>
      <c r="D95" s="1013">
        <f t="shared" si="1"/>
        <v>49</v>
      </c>
      <c r="E95" s="1014">
        <v>48</v>
      </c>
      <c r="F95" s="1015">
        <v>0</v>
      </c>
      <c r="G95" s="1021">
        <v>1</v>
      </c>
      <c r="H95" s="1016"/>
      <c r="I95" s="1018"/>
      <c r="J95" s="1016"/>
      <c r="K95" s="1019"/>
      <c r="L95" s="1016"/>
    </row>
    <row r="96" spans="1:12" ht="16.5" customHeight="1">
      <c r="A96" s="1011" t="s">
        <v>237</v>
      </c>
      <c r="B96" s="1012" t="s">
        <v>238</v>
      </c>
      <c r="C96" s="849" t="s">
        <v>273</v>
      </c>
      <c r="D96" s="1013">
        <f t="shared" si="1"/>
        <v>10</v>
      </c>
      <c r="E96" s="1014">
        <v>7</v>
      </c>
      <c r="F96" s="1015">
        <v>2</v>
      </c>
      <c r="G96" s="1015">
        <v>1</v>
      </c>
      <c r="H96" s="1016"/>
      <c r="I96" s="1018"/>
      <c r="J96" s="1016"/>
      <c r="K96" s="1016"/>
      <c r="L96" s="1016"/>
    </row>
    <row r="97" spans="1:12" ht="16.5" customHeight="1">
      <c r="A97" s="1011" t="s">
        <v>243</v>
      </c>
      <c r="B97" s="1012" t="s">
        <v>244</v>
      </c>
      <c r="C97" s="849" t="s">
        <v>275</v>
      </c>
      <c r="D97" s="1013">
        <f t="shared" si="1"/>
        <v>98</v>
      </c>
      <c r="E97" s="1014">
        <v>93</v>
      </c>
      <c r="F97" s="1015">
        <v>5</v>
      </c>
      <c r="G97" s="1015">
        <v>0</v>
      </c>
      <c r="H97" s="1016"/>
      <c r="I97" s="1016"/>
      <c r="J97" s="1016"/>
      <c r="K97" s="1016"/>
      <c r="L97" s="1016"/>
    </row>
    <row r="98" spans="1:12" ht="16.5" customHeight="1">
      <c r="A98" s="1011" t="s">
        <v>245</v>
      </c>
      <c r="B98" s="1012" t="s">
        <v>246</v>
      </c>
      <c r="C98" s="849" t="s">
        <v>275</v>
      </c>
      <c r="D98" s="1013">
        <f t="shared" si="1"/>
        <v>21</v>
      </c>
      <c r="E98" s="1014">
        <v>21</v>
      </c>
      <c r="F98" s="1015">
        <v>0</v>
      </c>
      <c r="G98" s="1021">
        <v>0</v>
      </c>
      <c r="H98" s="1016"/>
      <c r="I98" s="1016"/>
      <c r="J98" s="1016"/>
      <c r="K98" s="1016"/>
      <c r="L98" s="1016"/>
    </row>
    <row r="99" spans="1:12" ht="16.5" customHeight="1">
      <c r="A99" s="1011" t="s">
        <v>247</v>
      </c>
      <c r="B99" s="1012" t="s">
        <v>332</v>
      </c>
      <c r="C99" s="849" t="s">
        <v>271</v>
      </c>
      <c r="D99" s="1013">
        <f t="shared" si="1"/>
        <v>23</v>
      </c>
      <c r="E99" s="1014">
        <v>8</v>
      </c>
      <c r="F99" s="1015">
        <v>9</v>
      </c>
      <c r="G99" s="1015">
        <v>6</v>
      </c>
      <c r="H99" s="1016"/>
      <c r="I99" s="1018"/>
      <c r="J99" s="1016"/>
      <c r="K99" s="1019"/>
      <c r="L99" s="1016"/>
    </row>
    <row r="100" spans="1:12" ht="16.5" customHeight="1">
      <c r="A100" s="1011" t="s">
        <v>14</v>
      </c>
      <c r="B100" s="1012" t="s">
        <v>15</v>
      </c>
      <c r="C100" s="849" t="s">
        <v>274</v>
      </c>
      <c r="D100" s="1013">
        <f t="shared" si="1"/>
        <v>211</v>
      </c>
      <c r="E100" s="1014">
        <v>44</v>
      </c>
      <c r="F100" s="1015">
        <v>158</v>
      </c>
      <c r="G100" s="1015">
        <v>9</v>
      </c>
      <c r="H100" s="1016"/>
      <c r="I100" s="1020"/>
      <c r="J100" s="1016"/>
      <c r="K100" s="1020"/>
      <c r="L100" s="1016"/>
    </row>
    <row r="101" spans="1:12" ht="16.5" customHeight="1">
      <c r="A101" s="1011" t="s">
        <v>35</v>
      </c>
      <c r="B101" s="1012" t="s">
        <v>36</v>
      </c>
      <c r="C101" s="849" t="s">
        <v>275</v>
      </c>
      <c r="D101" s="1013">
        <f t="shared" si="1"/>
        <v>27</v>
      </c>
      <c r="E101" s="1014">
        <v>20</v>
      </c>
      <c r="F101" s="1015">
        <v>0</v>
      </c>
      <c r="G101" s="1021">
        <v>7</v>
      </c>
      <c r="H101" s="1016"/>
      <c r="I101" s="1018"/>
      <c r="J101" s="1016"/>
      <c r="K101" s="1019"/>
      <c r="L101" s="1016"/>
    </row>
    <row r="102" spans="1:12" ht="16.5" customHeight="1">
      <c r="A102" s="1011" t="s">
        <v>53</v>
      </c>
      <c r="B102" s="1012" t="s">
        <v>54</v>
      </c>
      <c r="C102" s="849" t="s">
        <v>272</v>
      </c>
      <c r="D102" s="1013">
        <f t="shared" si="1"/>
        <v>98</v>
      </c>
      <c r="E102" s="1014">
        <v>36</v>
      </c>
      <c r="F102" s="1015">
        <v>51</v>
      </c>
      <c r="G102" s="1015">
        <v>11</v>
      </c>
      <c r="H102" s="1016"/>
      <c r="I102" s="1018"/>
      <c r="J102" s="1016"/>
      <c r="K102" s="1016"/>
      <c r="L102" s="1016"/>
    </row>
    <row r="103" spans="1:12" ht="16.5" customHeight="1">
      <c r="A103" s="1011" t="s">
        <v>55</v>
      </c>
      <c r="B103" s="1012" t="s">
        <v>56</v>
      </c>
      <c r="C103" s="849" t="s">
        <v>271</v>
      </c>
      <c r="D103" s="1013">
        <f t="shared" si="1"/>
        <v>141</v>
      </c>
      <c r="E103" s="1014">
        <v>42</v>
      </c>
      <c r="F103" s="1015">
        <v>83</v>
      </c>
      <c r="G103" s="1015">
        <v>16</v>
      </c>
      <c r="H103" s="1016"/>
      <c r="I103" s="1018"/>
      <c r="J103" s="1016"/>
      <c r="K103" s="1016"/>
      <c r="L103" s="1016"/>
    </row>
    <row r="104" spans="1:12" ht="16.5" customHeight="1">
      <c r="A104" s="1011" t="s">
        <v>67</v>
      </c>
      <c r="B104" s="1012" t="s">
        <v>68</v>
      </c>
      <c r="C104" s="849" t="s">
        <v>272</v>
      </c>
      <c r="D104" s="1013">
        <f t="shared" si="1"/>
        <v>49</v>
      </c>
      <c r="E104" s="1014">
        <v>13</v>
      </c>
      <c r="F104" s="1015">
        <v>35</v>
      </c>
      <c r="G104" s="1015">
        <v>1</v>
      </c>
      <c r="H104" s="1016"/>
      <c r="I104" s="1018"/>
      <c r="J104" s="1016"/>
      <c r="K104" s="1019"/>
      <c r="L104" s="1016"/>
    </row>
    <row r="105" spans="1:12" ht="16.5" customHeight="1">
      <c r="A105" s="1011" t="s">
        <v>83</v>
      </c>
      <c r="B105" s="1012" t="s">
        <v>333</v>
      </c>
      <c r="C105" s="849" t="s">
        <v>271</v>
      </c>
      <c r="D105" s="1013">
        <f t="shared" si="1"/>
        <v>2</v>
      </c>
      <c r="E105" s="1014">
        <v>1</v>
      </c>
      <c r="F105" s="1015">
        <v>1</v>
      </c>
      <c r="G105" s="1015">
        <v>0</v>
      </c>
      <c r="H105" s="1016"/>
      <c r="I105" s="1016"/>
      <c r="J105" s="1016"/>
      <c r="K105" s="1016"/>
      <c r="L105" s="1016"/>
    </row>
    <row r="106" spans="1:12" ht="16.5" customHeight="1">
      <c r="A106" s="1011" t="s">
        <v>89</v>
      </c>
      <c r="B106" s="1012" t="s">
        <v>90</v>
      </c>
      <c r="C106" s="849" t="s">
        <v>274</v>
      </c>
      <c r="D106" s="1013">
        <f t="shared" si="1"/>
        <v>72</v>
      </c>
      <c r="E106" s="1014">
        <v>21</v>
      </c>
      <c r="F106" s="1015">
        <v>30</v>
      </c>
      <c r="G106" s="1015">
        <v>21</v>
      </c>
      <c r="H106" s="1016"/>
      <c r="I106" s="1020"/>
      <c r="J106" s="1016"/>
      <c r="K106" s="1020"/>
      <c r="L106" s="1016"/>
    </row>
    <row r="107" spans="1:12" ht="16.5" customHeight="1">
      <c r="A107" s="1011" t="s">
        <v>91</v>
      </c>
      <c r="B107" s="1012" t="s">
        <v>92</v>
      </c>
      <c r="C107" s="849" t="s">
        <v>275</v>
      </c>
      <c r="D107" s="1013">
        <f t="shared" si="1"/>
        <v>12</v>
      </c>
      <c r="E107" s="1014">
        <v>9</v>
      </c>
      <c r="F107" s="1015">
        <v>2</v>
      </c>
      <c r="G107" s="1015">
        <v>1</v>
      </c>
      <c r="H107" s="1016"/>
      <c r="I107" s="1019"/>
      <c r="J107" s="1016"/>
      <c r="K107" s="1016"/>
      <c r="L107" s="1016"/>
    </row>
    <row r="108" spans="1:12" ht="16.5" customHeight="1">
      <c r="A108" s="1011" t="s">
        <v>107</v>
      </c>
      <c r="B108" s="1012" t="s">
        <v>108</v>
      </c>
      <c r="C108" s="849" t="s">
        <v>271</v>
      </c>
      <c r="D108" s="1013">
        <f t="shared" si="1"/>
        <v>193</v>
      </c>
      <c r="E108" s="1014">
        <v>54</v>
      </c>
      <c r="F108" s="1015">
        <v>123</v>
      </c>
      <c r="G108" s="1015">
        <v>16</v>
      </c>
      <c r="H108" s="1016"/>
      <c r="I108" s="1018"/>
      <c r="J108" s="1016"/>
      <c r="K108" s="1016"/>
      <c r="L108" s="1016"/>
    </row>
    <row r="109" spans="1:12" ht="16.5" customHeight="1">
      <c r="A109" s="1011" t="s">
        <v>117</v>
      </c>
      <c r="B109" s="1012" t="s">
        <v>118</v>
      </c>
      <c r="C109" s="849" t="s">
        <v>273</v>
      </c>
      <c r="D109" s="1013">
        <f t="shared" si="1"/>
        <v>16</v>
      </c>
      <c r="E109" s="1014">
        <v>3</v>
      </c>
      <c r="F109" s="1015">
        <v>13</v>
      </c>
      <c r="G109" s="1015">
        <v>0</v>
      </c>
      <c r="H109" s="1016"/>
      <c r="I109" s="1016"/>
      <c r="J109" s="1016"/>
      <c r="K109" s="1019"/>
      <c r="L109" s="1016"/>
    </row>
    <row r="110" spans="1:12" ht="16.5" customHeight="1">
      <c r="A110" s="1011" t="s">
        <v>139</v>
      </c>
      <c r="B110" s="1012" t="s">
        <v>140</v>
      </c>
      <c r="C110" s="849" t="s">
        <v>272</v>
      </c>
      <c r="D110" s="1013">
        <f t="shared" si="1"/>
        <v>274</v>
      </c>
      <c r="E110" s="1014">
        <v>67</v>
      </c>
      <c r="F110" s="1015">
        <v>166</v>
      </c>
      <c r="G110" s="1015">
        <v>41</v>
      </c>
      <c r="H110" s="1016"/>
      <c r="I110" s="1020"/>
      <c r="J110" s="1016"/>
      <c r="K110" s="1020"/>
      <c r="L110" s="1016"/>
    </row>
    <row r="111" spans="1:12" ht="16.5" customHeight="1">
      <c r="A111" s="1011" t="s">
        <v>143</v>
      </c>
      <c r="B111" s="1012" t="s">
        <v>144</v>
      </c>
      <c r="C111" s="849" t="s">
        <v>274</v>
      </c>
      <c r="D111" s="1013">
        <f t="shared" si="1"/>
        <v>12</v>
      </c>
      <c r="E111" s="1014">
        <v>5</v>
      </c>
      <c r="F111" s="1015">
        <v>7</v>
      </c>
      <c r="G111" s="1015">
        <v>0</v>
      </c>
      <c r="H111" s="1016"/>
      <c r="I111" s="1019"/>
      <c r="J111" s="1016"/>
      <c r="K111" s="1019"/>
      <c r="L111" s="1016"/>
    </row>
    <row r="112" spans="1:12" ht="16.5" customHeight="1">
      <c r="A112" s="1011" t="s">
        <v>145</v>
      </c>
      <c r="B112" s="1012" t="s">
        <v>146</v>
      </c>
      <c r="C112" s="849" t="s">
        <v>274</v>
      </c>
      <c r="D112" s="1013">
        <f t="shared" si="1"/>
        <v>3</v>
      </c>
      <c r="E112" s="1014">
        <v>3</v>
      </c>
      <c r="F112" s="1015">
        <v>0</v>
      </c>
      <c r="G112" s="1021">
        <v>0</v>
      </c>
      <c r="H112" s="1016"/>
      <c r="I112" s="1016"/>
      <c r="J112" s="1016"/>
      <c r="K112" s="1016"/>
      <c r="L112" s="1016"/>
    </row>
    <row r="113" spans="1:14" ht="16.5" customHeight="1">
      <c r="A113" s="1011" t="s">
        <v>159</v>
      </c>
      <c r="B113" s="1012" t="s">
        <v>160</v>
      </c>
      <c r="C113" s="849" t="s">
        <v>271</v>
      </c>
      <c r="D113" s="1013">
        <f t="shared" si="1"/>
        <v>380</v>
      </c>
      <c r="E113" s="1014">
        <v>68</v>
      </c>
      <c r="F113" s="1015">
        <v>286</v>
      </c>
      <c r="G113" s="1015">
        <v>26</v>
      </c>
      <c r="H113" s="1016"/>
      <c r="I113" s="1020"/>
      <c r="J113" s="1016"/>
      <c r="K113" s="1016"/>
      <c r="L113" s="1016"/>
    </row>
    <row r="114" spans="1:14" ht="16.5" customHeight="1">
      <c r="A114" s="1011" t="s">
        <v>161</v>
      </c>
      <c r="B114" s="1012" t="s">
        <v>162</v>
      </c>
      <c r="C114" s="849" t="s">
        <v>271</v>
      </c>
      <c r="D114" s="1013">
        <f t="shared" si="1"/>
        <v>216</v>
      </c>
      <c r="E114" s="1014">
        <v>31</v>
      </c>
      <c r="F114" s="1015">
        <v>165</v>
      </c>
      <c r="G114" s="1015">
        <v>20</v>
      </c>
      <c r="H114" s="1016"/>
      <c r="I114" s="1020"/>
      <c r="J114" s="1020"/>
      <c r="K114" s="1016"/>
      <c r="L114" s="1016"/>
    </row>
    <row r="115" spans="1:14" ht="16.5" customHeight="1">
      <c r="A115" s="1011" t="s">
        <v>167</v>
      </c>
      <c r="B115" s="1012" t="s">
        <v>168</v>
      </c>
      <c r="C115" s="849" t="s">
        <v>275</v>
      </c>
      <c r="D115" s="1013">
        <f t="shared" si="1"/>
        <v>9</v>
      </c>
      <c r="E115" s="1014">
        <v>8</v>
      </c>
      <c r="F115" s="1015">
        <v>0</v>
      </c>
      <c r="G115" s="1021">
        <v>1</v>
      </c>
      <c r="H115" s="1016"/>
      <c r="I115" s="1020"/>
      <c r="J115" s="1016"/>
      <c r="K115" s="1016"/>
      <c r="L115" s="1016"/>
    </row>
    <row r="116" spans="1:14" ht="16.5" customHeight="1">
      <c r="A116" s="1011" t="s">
        <v>177</v>
      </c>
      <c r="B116" s="1012" t="s">
        <v>178</v>
      </c>
      <c r="C116" s="849" t="s">
        <v>273</v>
      </c>
      <c r="D116" s="1013">
        <f t="shared" si="1"/>
        <v>127</v>
      </c>
      <c r="E116" s="1014">
        <v>22</v>
      </c>
      <c r="F116" s="1015">
        <v>83</v>
      </c>
      <c r="G116" s="1015">
        <v>22</v>
      </c>
      <c r="H116" s="1016"/>
      <c r="I116" s="1018"/>
      <c r="J116" s="1016"/>
      <c r="K116" s="1018"/>
      <c r="L116" s="1016"/>
    </row>
    <row r="117" spans="1:14" ht="16.5" customHeight="1">
      <c r="A117" s="1011" t="s">
        <v>181</v>
      </c>
      <c r="B117" s="1012" t="s">
        <v>182</v>
      </c>
      <c r="C117" s="849" t="s">
        <v>271</v>
      </c>
      <c r="D117" s="1013">
        <f t="shared" si="1"/>
        <v>144</v>
      </c>
      <c r="E117" s="1014">
        <v>31</v>
      </c>
      <c r="F117" s="1015">
        <v>104</v>
      </c>
      <c r="G117" s="1015">
        <v>9</v>
      </c>
      <c r="H117" s="1016"/>
      <c r="I117" s="1018"/>
      <c r="J117" s="1016"/>
      <c r="K117" s="1016"/>
      <c r="L117" s="1016"/>
    </row>
    <row r="118" spans="1:14" ht="16.5" customHeight="1">
      <c r="A118" s="1011" t="s">
        <v>193</v>
      </c>
      <c r="B118" s="1012" t="s">
        <v>194</v>
      </c>
      <c r="C118" s="849" t="s">
        <v>275</v>
      </c>
      <c r="D118" s="1013">
        <f t="shared" si="1"/>
        <v>13</v>
      </c>
      <c r="E118" s="1014">
        <v>10</v>
      </c>
      <c r="F118" s="1015">
        <v>3</v>
      </c>
      <c r="G118" s="1015">
        <v>0</v>
      </c>
      <c r="H118" s="1016"/>
      <c r="I118" s="1019"/>
      <c r="J118" s="1016"/>
      <c r="K118" s="1016"/>
      <c r="L118" s="1016"/>
    </row>
    <row r="119" spans="1:14" ht="16.5" customHeight="1">
      <c r="A119" s="1011" t="s">
        <v>197</v>
      </c>
      <c r="B119" s="1012" t="s">
        <v>334</v>
      </c>
      <c r="C119" s="849" t="s">
        <v>273</v>
      </c>
      <c r="D119" s="1013">
        <f t="shared" si="1"/>
        <v>514</v>
      </c>
      <c r="E119" s="1014">
        <v>57</v>
      </c>
      <c r="F119" s="1015">
        <v>435</v>
      </c>
      <c r="G119" s="1015">
        <v>22</v>
      </c>
      <c r="H119" s="1016"/>
      <c r="I119" s="1018"/>
      <c r="J119" s="1016"/>
      <c r="K119" s="1020"/>
      <c r="L119" s="1016"/>
    </row>
    <row r="120" spans="1:14" ht="16.5" customHeight="1">
      <c r="A120" s="1011" t="s">
        <v>201</v>
      </c>
      <c r="B120" s="1012" t="s">
        <v>335</v>
      </c>
      <c r="C120" s="849" t="s">
        <v>272</v>
      </c>
      <c r="D120" s="1013">
        <f t="shared" si="1"/>
        <v>380</v>
      </c>
      <c r="E120" s="1014">
        <v>198</v>
      </c>
      <c r="F120" s="1015">
        <v>143</v>
      </c>
      <c r="G120" s="1015">
        <v>39</v>
      </c>
      <c r="H120" s="1016"/>
      <c r="I120" s="1020"/>
      <c r="J120" s="1016"/>
      <c r="K120" s="1020"/>
      <c r="L120" s="1016"/>
    </row>
    <row r="121" spans="1:14" ht="16.5" customHeight="1">
      <c r="A121" s="1011" t="s">
        <v>223</v>
      </c>
      <c r="B121" s="1012" t="s">
        <v>224</v>
      </c>
      <c r="C121" s="849" t="s">
        <v>271</v>
      </c>
      <c r="D121" s="1013">
        <f t="shared" si="1"/>
        <v>40</v>
      </c>
      <c r="E121" s="1014">
        <v>10</v>
      </c>
      <c r="F121" s="1015">
        <v>28</v>
      </c>
      <c r="G121" s="1015">
        <v>2</v>
      </c>
      <c r="H121" s="1016"/>
      <c r="I121" s="1019"/>
      <c r="J121" s="1016"/>
      <c r="K121" s="1016"/>
      <c r="L121" s="1016"/>
    </row>
    <row r="122" spans="1:14" ht="16.5" customHeight="1">
      <c r="A122" s="1011" t="s">
        <v>231</v>
      </c>
      <c r="B122" s="1012" t="s">
        <v>232</v>
      </c>
      <c r="C122" s="849" t="s">
        <v>271</v>
      </c>
      <c r="D122" s="1013">
        <f t="shared" si="1"/>
        <v>298</v>
      </c>
      <c r="E122" s="1014">
        <v>149</v>
      </c>
      <c r="F122" s="1015">
        <v>111</v>
      </c>
      <c r="G122" s="1015">
        <v>38</v>
      </c>
      <c r="H122" s="1016"/>
      <c r="I122" s="1020"/>
      <c r="J122" s="1016"/>
      <c r="K122" s="1020"/>
      <c r="L122" s="1016"/>
    </row>
    <row r="123" spans="1:14" ht="16.5" customHeight="1">
      <c r="A123" s="1011" t="s">
        <v>239</v>
      </c>
      <c r="B123" s="1012" t="s">
        <v>240</v>
      </c>
      <c r="C123" s="849" t="s">
        <v>271</v>
      </c>
      <c r="D123" s="1013">
        <f t="shared" si="1"/>
        <v>12</v>
      </c>
      <c r="E123" s="1014">
        <v>1</v>
      </c>
      <c r="F123" s="1015">
        <v>11</v>
      </c>
      <c r="G123" s="1015">
        <v>0</v>
      </c>
      <c r="H123" s="1016"/>
      <c r="I123" s="1016"/>
      <c r="J123" s="1016"/>
      <c r="K123" s="1016"/>
      <c r="L123" s="1016"/>
    </row>
    <row r="124" spans="1:14" ht="16.5" customHeight="1">
      <c r="A124" s="1011" t="s">
        <v>241</v>
      </c>
      <c r="B124" s="1012" t="s">
        <v>242</v>
      </c>
      <c r="C124" s="849" t="s">
        <v>274</v>
      </c>
      <c r="D124" s="1013">
        <f t="shared" si="1"/>
        <v>42</v>
      </c>
      <c r="E124" s="1014">
        <v>29</v>
      </c>
      <c r="F124" s="1015">
        <v>8</v>
      </c>
      <c r="G124" s="1015">
        <v>5</v>
      </c>
      <c r="H124" s="1016"/>
      <c r="I124" s="1018"/>
      <c r="J124" s="1016"/>
      <c r="K124" s="1016"/>
      <c r="L124" s="1016"/>
    </row>
    <row r="125" spans="1:14">
      <c r="D125" s="1016"/>
      <c r="E125" s="1016"/>
      <c r="F125" s="1016"/>
      <c r="G125" s="1026"/>
      <c r="H125" s="1016"/>
      <c r="I125" s="1016"/>
      <c r="J125" s="1016"/>
      <c r="K125" s="1016"/>
      <c r="L125" s="1016"/>
    </row>
    <row r="126" spans="1:14" ht="32.25" customHeight="1">
      <c r="A126" s="1676" t="s">
        <v>1150</v>
      </c>
      <c r="B126" s="1676"/>
      <c r="C126" s="1676"/>
      <c r="D126" s="1676"/>
      <c r="E126" s="1676"/>
      <c r="F126" s="1676"/>
      <c r="G126" s="1676"/>
      <c r="H126" s="1676"/>
      <c r="I126" s="1676"/>
      <c r="J126" s="1027"/>
      <c r="K126" s="1027"/>
      <c r="L126" s="1027"/>
      <c r="M126" s="1027"/>
      <c r="N126" s="1027"/>
    </row>
    <row r="127" spans="1:14">
      <c r="A127" s="511" t="s">
        <v>1147</v>
      </c>
    </row>
    <row r="129" spans="1:3" s="542" customFormat="1">
      <c r="A129" s="542" t="s">
        <v>249</v>
      </c>
    </row>
    <row r="130" spans="1:3" s="542" customFormat="1">
      <c r="A130" s="543" t="s">
        <v>250</v>
      </c>
      <c r="B130" s="544" t="s">
        <v>251</v>
      </c>
      <c r="C130" s="544"/>
    </row>
  </sheetData>
  <autoFilter ref="A3:C3"/>
  <mergeCells count="1">
    <mergeCell ref="A126:I126"/>
  </mergeCells>
  <hyperlinks>
    <hyperlink ref="B130" r:id="rId1"/>
  </hyperlinks>
  <pageMargins left="0.7" right="0.7" top="0.75" bottom="0.75" header="0.3" footer="0.3"/>
</worksheet>
</file>

<file path=xl/worksheets/sheet21.xml><?xml version="1.0" encoding="utf-8"?>
<worksheet xmlns="http://schemas.openxmlformats.org/spreadsheetml/2006/main" xmlns:r="http://schemas.openxmlformats.org/officeDocument/2006/relationships">
  <dimension ref="A1:R129"/>
  <sheetViews>
    <sheetView workbookViewId="0">
      <pane ySplit="4" topLeftCell="A5" activePane="bottomLeft" state="frozen"/>
      <selection pane="bottomLeft" activeCell="K126" sqref="K126"/>
    </sheetView>
  </sheetViews>
  <sheetFormatPr defaultRowHeight="15.75"/>
  <cols>
    <col min="1" max="1" width="9.125" style="1040" customWidth="1"/>
    <col min="2" max="2" width="30.625" style="1040" customWidth="1"/>
    <col min="3" max="3" width="11.25" style="1065" customWidth="1"/>
    <col min="4" max="6" width="9" style="1028"/>
    <col min="7" max="7" width="13.125" style="1028" customWidth="1"/>
    <col min="8" max="10" width="9" style="1028"/>
    <col min="11" max="11" width="12" style="1028" customWidth="1"/>
    <col min="12" max="13" width="9" style="1028"/>
    <col min="14" max="14" width="4.25" style="1028" customWidth="1"/>
    <col min="15" max="16384" width="9" style="1028"/>
  </cols>
  <sheetData>
    <row r="1" spans="1:18" ht="15.75" customHeight="1">
      <c r="A1" s="1677" t="s">
        <v>1068</v>
      </c>
      <c r="B1" s="1677"/>
      <c r="C1" s="1677"/>
      <c r="D1" s="1677"/>
      <c r="E1" s="1677"/>
      <c r="F1" s="1677"/>
      <c r="G1" s="1677"/>
      <c r="H1" s="1677"/>
    </row>
    <row r="2" spans="1:18">
      <c r="A2" s="1028"/>
      <c r="B2" s="1028"/>
      <c r="C2" s="1059"/>
    </row>
    <row r="3" spans="1:18" ht="31.5">
      <c r="A3" s="1041" t="s">
        <v>4</v>
      </c>
      <c r="B3" s="1041" t="s">
        <v>295</v>
      </c>
      <c r="C3" s="1060" t="s">
        <v>252</v>
      </c>
      <c r="D3" s="1047" t="s">
        <v>289</v>
      </c>
      <c r="E3" s="1042" t="s">
        <v>969</v>
      </c>
      <c r="F3" s="1042" t="s">
        <v>707</v>
      </c>
      <c r="G3" s="1042" t="s">
        <v>608</v>
      </c>
      <c r="H3" s="1042" t="s">
        <v>1069</v>
      </c>
      <c r="I3" s="1042" t="s">
        <v>2</v>
      </c>
      <c r="J3" s="1042" t="s">
        <v>1070</v>
      </c>
      <c r="K3" s="1043" t="s">
        <v>1071</v>
      </c>
      <c r="L3" s="1042" t="s">
        <v>1072</v>
      </c>
      <c r="M3" s="1048" t="s">
        <v>1073</v>
      </c>
      <c r="N3" s="280"/>
      <c r="O3" s="1047" t="s">
        <v>2</v>
      </c>
      <c r="P3" s="1042" t="s">
        <v>608</v>
      </c>
      <c r="Q3" s="1042" t="s">
        <v>609</v>
      </c>
      <c r="R3" s="1048" t="s">
        <v>1072</v>
      </c>
    </row>
    <row r="4" spans="1:18">
      <c r="A4" s="1044">
        <v>999</v>
      </c>
      <c r="B4" s="1029" t="s">
        <v>9</v>
      </c>
      <c r="C4" s="1029"/>
      <c r="D4" s="937">
        <v>85438</v>
      </c>
      <c r="E4" s="938">
        <v>51</v>
      </c>
      <c r="F4" s="938">
        <v>971</v>
      </c>
      <c r="G4" s="938">
        <v>23369</v>
      </c>
      <c r="H4" s="938">
        <v>507</v>
      </c>
      <c r="I4" s="938">
        <v>48902</v>
      </c>
      <c r="J4" s="938">
        <v>123</v>
      </c>
      <c r="K4" s="938">
        <v>145</v>
      </c>
      <c r="L4" s="938">
        <v>7265</v>
      </c>
      <c r="M4" s="939">
        <v>4105</v>
      </c>
      <c r="N4" s="280"/>
      <c r="O4" s="1056">
        <f t="shared" ref="O4:O35" si="0">I4</f>
        <v>48902</v>
      </c>
      <c r="P4" s="1057">
        <f t="shared" ref="P4:P35" si="1">G4</f>
        <v>23369</v>
      </c>
      <c r="Q4" s="1057">
        <f t="shared" ref="Q4:Q35" si="2">E4+F4+H4+M4</f>
        <v>5634</v>
      </c>
      <c r="R4" s="1058">
        <f t="shared" ref="R4:R35" si="3">J4+K4+L4</f>
        <v>7533</v>
      </c>
    </row>
    <row r="5" spans="1:18">
      <c r="A5" s="1045" t="s">
        <v>10</v>
      </c>
      <c r="B5" s="196" t="s">
        <v>11</v>
      </c>
      <c r="C5" s="1061" t="s">
        <v>271</v>
      </c>
      <c r="D5" s="940">
        <v>288</v>
      </c>
      <c r="E5" s="941">
        <v>0</v>
      </c>
      <c r="F5" s="941">
        <v>0</v>
      </c>
      <c r="G5" s="941">
        <v>113</v>
      </c>
      <c r="H5" s="941">
        <v>0</v>
      </c>
      <c r="I5" s="941">
        <v>172</v>
      </c>
      <c r="J5" s="941">
        <v>0</v>
      </c>
      <c r="K5" s="941">
        <v>0</v>
      </c>
      <c r="L5" s="941">
        <v>3</v>
      </c>
      <c r="M5" s="942">
        <v>0</v>
      </c>
      <c r="N5" s="280"/>
      <c r="O5" s="1051">
        <f t="shared" si="0"/>
        <v>172</v>
      </c>
      <c r="P5" s="1052">
        <f t="shared" si="1"/>
        <v>113</v>
      </c>
      <c r="Q5" s="1052">
        <f t="shared" si="2"/>
        <v>0</v>
      </c>
      <c r="R5" s="1053">
        <f t="shared" si="3"/>
        <v>3</v>
      </c>
    </row>
    <row r="6" spans="1:18">
      <c r="A6" s="1045" t="s">
        <v>12</v>
      </c>
      <c r="B6" s="196" t="s">
        <v>13</v>
      </c>
      <c r="C6" s="1061" t="s">
        <v>272</v>
      </c>
      <c r="D6" s="940">
        <v>667</v>
      </c>
      <c r="E6" s="941">
        <v>0</v>
      </c>
      <c r="F6" s="941">
        <v>6</v>
      </c>
      <c r="G6" s="941">
        <v>126</v>
      </c>
      <c r="H6" s="941">
        <v>4</v>
      </c>
      <c r="I6" s="941">
        <v>441</v>
      </c>
      <c r="J6" s="941">
        <v>0</v>
      </c>
      <c r="K6" s="941">
        <v>2</v>
      </c>
      <c r="L6" s="941">
        <v>48</v>
      </c>
      <c r="M6" s="942">
        <v>40</v>
      </c>
      <c r="N6" s="280"/>
      <c r="O6" s="1051">
        <f t="shared" si="0"/>
        <v>441</v>
      </c>
      <c r="P6" s="1052">
        <f t="shared" si="1"/>
        <v>126</v>
      </c>
      <c r="Q6" s="1052">
        <f t="shared" si="2"/>
        <v>50</v>
      </c>
      <c r="R6" s="1053">
        <f t="shared" si="3"/>
        <v>50</v>
      </c>
    </row>
    <row r="7" spans="1:18">
      <c r="A7" s="1045" t="s">
        <v>16</v>
      </c>
      <c r="B7" s="196" t="s">
        <v>307</v>
      </c>
      <c r="C7" s="1061" t="s">
        <v>272</v>
      </c>
      <c r="D7" s="940">
        <v>356</v>
      </c>
      <c r="E7" s="941">
        <v>0</v>
      </c>
      <c r="F7" s="941">
        <v>0</v>
      </c>
      <c r="G7" s="941">
        <v>21</v>
      </c>
      <c r="H7" s="941">
        <v>1</v>
      </c>
      <c r="I7" s="941">
        <v>292</v>
      </c>
      <c r="J7" s="941">
        <v>0</v>
      </c>
      <c r="K7" s="941">
        <v>0</v>
      </c>
      <c r="L7" s="941">
        <v>17</v>
      </c>
      <c r="M7" s="942">
        <v>25</v>
      </c>
      <c r="N7" s="280"/>
      <c r="O7" s="1051">
        <f t="shared" si="0"/>
        <v>292</v>
      </c>
      <c r="P7" s="1052">
        <f t="shared" si="1"/>
        <v>21</v>
      </c>
      <c r="Q7" s="1052">
        <f t="shared" si="2"/>
        <v>26</v>
      </c>
      <c r="R7" s="1053">
        <f t="shared" si="3"/>
        <v>17</v>
      </c>
    </row>
    <row r="8" spans="1:18">
      <c r="A8" s="1045" t="s">
        <v>18</v>
      </c>
      <c r="B8" s="196" t="s">
        <v>19</v>
      </c>
      <c r="C8" s="1061" t="s">
        <v>273</v>
      </c>
      <c r="D8" s="940">
        <v>120</v>
      </c>
      <c r="E8" s="941">
        <v>0</v>
      </c>
      <c r="F8" s="941">
        <v>0</v>
      </c>
      <c r="G8" s="941">
        <v>18</v>
      </c>
      <c r="H8" s="941">
        <v>0</v>
      </c>
      <c r="I8" s="941">
        <v>82</v>
      </c>
      <c r="J8" s="941">
        <v>0</v>
      </c>
      <c r="K8" s="941">
        <v>0</v>
      </c>
      <c r="L8" s="941">
        <v>6</v>
      </c>
      <c r="M8" s="942">
        <v>14</v>
      </c>
      <c r="N8" s="280"/>
      <c r="O8" s="1051">
        <f t="shared" si="0"/>
        <v>82</v>
      </c>
      <c r="P8" s="1052">
        <f t="shared" si="1"/>
        <v>18</v>
      </c>
      <c r="Q8" s="1052">
        <f t="shared" si="2"/>
        <v>14</v>
      </c>
      <c r="R8" s="1053">
        <f t="shared" si="3"/>
        <v>6</v>
      </c>
    </row>
    <row r="9" spans="1:18">
      <c r="A9" s="1045" t="s">
        <v>20</v>
      </c>
      <c r="B9" s="196" t="s">
        <v>21</v>
      </c>
      <c r="C9" s="1061" t="s">
        <v>272</v>
      </c>
      <c r="D9" s="940">
        <v>308</v>
      </c>
      <c r="E9" s="941">
        <v>0</v>
      </c>
      <c r="F9" s="941">
        <v>1</v>
      </c>
      <c r="G9" s="941">
        <v>47</v>
      </c>
      <c r="H9" s="941">
        <v>6</v>
      </c>
      <c r="I9" s="941">
        <v>217</v>
      </c>
      <c r="J9" s="941">
        <v>2</v>
      </c>
      <c r="K9" s="941">
        <v>0</v>
      </c>
      <c r="L9" s="941">
        <v>3</v>
      </c>
      <c r="M9" s="942">
        <v>32</v>
      </c>
      <c r="N9" s="280"/>
      <c r="O9" s="1051">
        <f t="shared" si="0"/>
        <v>217</v>
      </c>
      <c r="P9" s="1052">
        <f t="shared" si="1"/>
        <v>47</v>
      </c>
      <c r="Q9" s="1052">
        <f t="shared" si="2"/>
        <v>39</v>
      </c>
      <c r="R9" s="1053">
        <f t="shared" si="3"/>
        <v>5</v>
      </c>
    </row>
    <row r="10" spans="1:18">
      <c r="A10" s="1045" t="s">
        <v>22</v>
      </c>
      <c r="B10" s="196" t="s">
        <v>23</v>
      </c>
      <c r="C10" s="1061" t="s">
        <v>272</v>
      </c>
      <c r="D10" s="940">
        <v>196</v>
      </c>
      <c r="E10" s="941">
        <v>0</v>
      </c>
      <c r="F10" s="941">
        <v>0</v>
      </c>
      <c r="G10" s="941">
        <v>38</v>
      </c>
      <c r="H10" s="941">
        <v>0</v>
      </c>
      <c r="I10" s="941">
        <v>133</v>
      </c>
      <c r="J10" s="941">
        <v>0</v>
      </c>
      <c r="K10" s="941">
        <v>1</v>
      </c>
      <c r="L10" s="941">
        <v>14</v>
      </c>
      <c r="M10" s="942">
        <v>10</v>
      </c>
      <c r="N10" s="280"/>
      <c r="O10" s="1051">
        <f t="shared" si="0"/>
        <v>133</v>
      </c>
      <c r="P10" s="1052">
        <f t="shared" si="1"/>
        <v>38</v>
      </c>
      <c r="Q10" s="1052">
        <f t="shared" si="2"/>
        <v>10</v>
      </c>
      <c r="R10" s="1053">
        <f t="shared" si="3"/>
        <v>15</v>
      </c>
    </row>
    <row r="11" spans="1:18">
      <c r="A11" s="1045" t="s">
        <v>24</v>
      </c>
      <c r="B11" s="196" t="s">
        <v>25</v>
      </c>
      <c r="C11" s="1061" t="s">
        <v>274</v>
      </c>
      <c r="D11" s="940">
        <v>1214</v>
      </c>
      <c r="E11" s="941">
        <v>0</v>
      </c>
      <c r="F11" s="941">
        <v>69</v>
      </c>
      <c r="G11" s="941">
        <v>313</v>
      </c>
      <c r="H11" s="941">
        <v>6</v>
      </c>
      <c r="I11" s="941">
        <v>725</v>
      </c>
      <c r="J11" s="941">
        <v>0</v>
      </c>
      <c r="K11" s="941">
        <v>1</v>
      </c>
      <c r="L11" s="941">
        <v>59</v>
      </c>
      <c r="M11" s="942">
        <v>41</v>
      </c>
      <c r="N11" s="280"/>
      <c r="O11" s="1051">
        <f t="shared" si="0"/>
        <v>725</v>
      </c>
      <c r="P11" s="1052">
        <f t="shared" si="1"/>
        <v>313</v>
      </c>
      <c r="Q11" s="1052">
        <f t="shared" si="2"/>
        <v>116</v>
      </c>
      <c r="R11" s="1053">
        <f t="shared" si="3"/>
        <v>60</v>
      </c>
    </row>
    <row r="12" spans="1:18">
      <c r="A12" s="1045" t="s">
        <v>26</v>
      </c>
      <c r="B12" s="196" t="s">
        <v>308</v>
      </c>
      <c r="C12" s="1061" t="s">
        <v>272</v>
      </c>
      <c r="D12" s="940">
        <v>3020</v>
      </c>
      <c r="E12" s="941">
        <v>3</v>
      </c>
      <c r="F12" s="941">
        <v>12</v>
      </c>
      <c r="G12" s="941">
        <v>198</v>
      </c>
      <c r="H12" s="941">
        <v>60</v>
      </c>
      <c r="I12" s="941">
        <v>2359</v>
      </c>
      <c r="J12" s="941">
        <v>2</v>
      </c>
      <c r="K12" s="941">
        <v>3</v>
      </c>
      <c r="L12" s="941">
        <v>223</v>
      </c>
      <c r="M12" s="942">
        <v>160</v>
      </c>
      <c r="N12" s="280"/>
      <c r="O12" s="1051">
        <f t="shared" si="0"/>
        <v>2359</v>
      </c>
      <c r="P12" s="1052">
        <f t="shared" si="1"/>
        <v>198</v>
      </c>
      <c r="Q12" s="1052">
        <f t="shared" si="2"/>
        <v>235</v>
      </c>
      <c r="R12" s="1053">
        <f t="shared" si="3"/>
        <v>228</v>
      </c>
    </row>
    <row r="13" spans="1:18">
      <c r="A13" s="1045" t="s">
        <v>27</v>
      </c>
      <c r="B13" s="196" t="s">
        <v>28</v>
      </c>
      <c r="C13" s="1061" t="s">
        <v>272</v>
      </c>
      <c r="D13" s="940">
        <v>23</v>
      </c>
      <c r="E13" s="941">
        <v>0</v>
      </c>
      <c r="F13" s="941">
        <v>0</v>
      </c>
      <c r="G13" s="941">
        <v>0</v>
      </c>
      <c r="H13" s="941">
        <v>0</v>
      </c>
      <c r="I13" s="941">
        <v>23</v>
      </c>
      <c r="J13" s="941">
        <v>0</v>
      </c>
      <c r="K13" s="941">
        <v>0</v>
      </c>
      <c r="L13" s="941">
        <v>0</v>
      </c>
      <c r="M13" s="942">
        <v>0</v>
      </c>
      <c r="N13" s="280"/>
      <c r="O13" s="1051">
        <f t="shared" si="0"/>
        <v>23</v>
      </c>
      <c r="P13" s="1052">
        <f t="shared" si="1"/>
        <v>0</v>
      </c>
      <c r="Q13" s="1052">
        <f t="shared" si="2"/>
        <v>0</v>
      </c>
      <c r="R13" s="1053">
        <f t="shared" si="3"/>
        <v>0</v>
      </c>
    </row>
    <row r="14" spans="1:18">
      <c r="A14" s="1045" t="s">
        <v>29</v>
      </c>
      <c r="B14" s="196" t="s">
        <v>910</v>
      </c>
      <c r="C14" s="1061" t="s">
        <v>272</v>
      </c>
      <c r="D14" s="940">
        <v>848</v>
      </c>
      <c r="E14" s="941">
        <v>0</v>
      </c>
      <c r="F14" s="941">
        <v>2</v>
      </c>
      <c r="G14" s="941">
        <v>65</v>
      </c>
      <c r="H14" s="941">
        <v>2</v>
      </c>
      <c r="I14" s="941">
        <v>739</v>
      </c>
      <c r="J14" s="941">
        <v>0</v>
      </c>
      <c r="K14" s="941">
        <v>1</v>
      </c>
      <c r="L14" s="941">
        <v>13</v>
      </c>
      <c r="M14" s="942">
        <v>26</v>
      </c>
      <c r="N14" s="280"/>
      <c r="O14" s="1051">
        <f t="shared" si="0"/>
        <v>739</v>
      </c>
      <c r="P14" s="1052">
        <f t="shared" si="1"/>
        <v>65</v>
      </c>
      <c r="Q14" s="1052">
        <f t="shared" si="2"/>
        <v>30</v>
      </c>
      <c r="R14" s="1053">
        <f t="shared" si="3"/>
        <v>14</v>
      </c>
    </row>
    <row r="15" spans="1:18">
      <c r="A15" s="1045" t="s">
        <v>31</v>
      </c>
      <c r="B15" s="196" t="s">
        <v>32</v>
      </c>
      <c r="C15" s="1061" t="s">
        <v>275</v>
      </c>
      <c r="D15" s="940">
        <v>74</v>
      </c>
      <c r="E15" s="941">
        <v>0</v>
      </c>
      <c r="F15" s="941">
        <v>0</v>
      </c>
      <c r="G15" s="941">
        <v>0</v>
      </c>
      <c r="H15" s="941">
        <v>0</v>
      </c>
      <c r="I15" s="941">
        <v>71</v>
      </c>
      <c r="J15" s="941">
        <v>0</v>
      </c>
      <c r="K15" s="941">
        <v>0</v>
      </c>
      <c r="L15" s="941">
        <v>2</v>
      </c>
      <c r="M15" s="942">
        <v>1</v>
      </c>
      <c r="N15" s="280"/>
      <c r="O15" s="1051">
        <f t="shared" si="0"/>
        <v>71</v>
      </c>
      <c r="P15" s="1052">
        <f t="shared" si="1"/>
        <v>0</v>
      </c>
      <c r="Q15" s="1052">
        <f t="shared" si="2"/>
        <v>1</v>
      </c>
      <c r="R15" s="1053">
        <f t="shared" si="3"/>
        <v>2</v>
      </c>
    </row>
    <row r="16" spans="1:18">
      <c r="A16" s="1045" t="s">
        <v>33</v>
      </c>
      <c r="B16" s="196" t="s">
        <v>34</v>
      </c>
      <c r="C16" s="1061" t="s">
        <v>272</v>
      </c>
      <c r="D16" s="940">
        <v>131</v>
      </c>
      <c r="E16" s="941">
        <v>1</v>
      </c>
      <c r="F16" s="941">
        <v>0</v>
      </c>
      <c r="G16" s="941">
        <v>0</v>
      </c>
      <c r="H16" s="941">
        <v>0</v>
      </c>
      <c r="I16" s="941">
        <v>112</v>
      </c>
      <c r="J16" s="941">
        <v>0</v>
      </c>
      <c r="K16" s="941">
        <v>0</v>
      </c>
      <c r="L16" s="941">
        <v>10</v>
      </c>
      <c r="M16" s="942">
        <v>8</v>
      </c>
      <c r="N16" s="280"/>
      <c r="O16" s="1051">
        <f t="shared" si="0"/>
        <v>112</v>
      </c>
      <c r="P16" s="1052">
        <f t="shared" si="1"/>
        <v>0</v>
      </c>
      <c r="Q16" s="1052">
        <f t="shared" si="2"/>
        <v>9</v>
      </c>
      <c r="R16" s="1053">
        <f t="shared" si="3"/>
        <v>10</v>
      </c>
    </row>
    <row r="17" spans="1:18">
      <c r="A17" s="1045" t="s">
        <v>37</v>
      </c>
      <c r="B17" s="196" t="s">
        <v>38</v>
      </c>
      <c r="C17" s="1061" t="s">
        <v>271</v>
      </c>
      <c r="D17" s="940">
        <v>146</v>
      </c>
      <c r="E17" s="941">
        <v>0</v>
      </c>
      <c r="F17" s="941">
        <v>0</v>
      </c>
      <c r="G17" s="941">
        <v>85</v>
      </c>
      <c r="H17" s="941">
        <v>2</v>
      </c>
      <c r="I17" s="941">
        <v>43</v>
      </c>
      <c r="J17" s="941">
        <v>1</v>
      </c>
      <c r="K17" s="941">
        <v>0</v>
      </c>
      <c r="L17" s="941">
        <v>6</v>
      </c>
      <c r="M17" s="942">
        <v>9</v>
      </c>
      <c r="N17" s="280"/>
      <c r="O17" s="1051">
        <f t="shared" si="0"/>
        <v>43</v>
      </c>
      <c r="P17" s="1052">
        <f t="shared" si="1"/>
        <v>85</v>
      </c>
      <c r="Q17" s="1052">
        <f t="shared" si="2"/>
        <v>11</v>
      </c>
      <c r="R17" s="1053">
        <f t="shared" si="3"/>
        <v>7</v>
      </c>
    </row>
    <row r="18" spans="1:18">
      <c r="A18" s="1045" t="s">
        <v>39</v>
      </c>
      <c r="B18" s="196" t="s">
        <v>40</v>
      </c>
      <c r="C18" s="1061" t="s">
        <v>275</v>
      </c>
      <c r="D18" s="940">
        <v>266</v>
      </c>
      <c r="E18" s="941">
        <v>0</v>
      </c>
      <c r="F18" s="941">
        <v>0</v>
      </c>
      <c r="G18" s="941">
        <v>0</v>
      </c>
      <c r="H18" s="941">
        <v>2</v>
      </c>
      <c r="I18" s="941">
        <v>261</v>
      </c>
      <c r="J18" s="941">
        <v>0</v>
      </c>
      <c r="K18" s="941">
        <v>0</v>
      </c>
      <c r="L18" s="941">
        <v>1</v>
      </c>
      <c r="M18" s="942">
        <v>2</v>
      </c>
      <c r="N18" s="280"/>
      <c r="O18" s="1051">
        <f t="shared" si="0"/>
        <v>261</v>
      </c>
      <c r="P18" s="1052">
        <f t="shared" si="1"/>
        <v>0</v>
      </c>
      <c r="Q18" s="1052">
        <f t="shared" si="2"/>
        <v>4</v>
      </c>
      <c r="R18" s="1053">
        <f t="shared" si="3"/>
        <v>1</v>
      </c>
    </row>
    <row r="19" spans="1:18">
      <c r="A19" s="1045" t="s">
        <v>41</v>
      </c>
      <c r="B19" s="196" t="s">
        <v>42</v>
      </c>
      <c r="C19" s="1061" t="s">
        <v>273</v>
      </c>
      <c r="D19" s="940">
        <v>206</v>
      </c>
      <c r="E19" s="941">
        <v>0</v>
      </c>
      <c r="F19" s="941">
        <v>0</v>
      </c>
      <c r="G19" s="941">
        <v>40</v>
      </c>
      <c r="H19" s="941">
        <v>1</v>
      </c>
      <c r="I19" s="941">
        <v>131</v>
      </c>
      <c r="J19" s="941">
        <v>0</v>
      </c>
      <c r="K19" s="941">
        <v>0</v>
      </c>
      <c r="L19" s="941">
        <v>22</v>
      </c>
      <c r="M19" s="942">
        <v>12</v>
      </c>
      <c r="N19" s="280"/>
      <c r="O19" s="1051">
        <f t="shared" si="0"/>
        <v>131</v>
      </c>
      <c r="P19" s="1052">
        <f t="shared" si="1"/>
        <v>40</v>
      </c>
      <c r="Q19" s="1052">
        <f t="shared" si="2"/>
        <v>13</v>
      </c>
      <c r="R19" s="1053">
        <f t="shared" si="3"/>
        <v>22</v>
      </c>
    </row>
    <row r="20" spans="1:18">
      <c r="A20" s="1045" t="s">
        <v>43</v>
      </c>
      <c r="B20" s="196" t="s">
        <v>44</v>
      </c>
      <c r="C20" s="1061" t="s">
        <v>272</v>
      </c>
      <c r="D20" s="940">
        <v>1037</v>
      </c>
      <c r="E20" s="941">
        <v>0</v>
      </c>
      <c r="F20" s="941">
        <v>0</v>
      </c>
      <c r="G20" s="941">
        <v>150</v>
      </c>
      <c r="H20" s="941">
        <v>4</v>
      </c>
      <c r="I20" s="941">
        <v>764</v>
      </c>
      <c r="J20" s="941">
        <v>0</v>
      </c>
      <c r="K20" s="941">
        <v>1</v>
      </c>
      <c r="L20" s="941">
        <v>59</v>
      </c>
      <c r="M20" s="942">
        <v>59</v>
      </c>
      <c r="N20" s="280"/>
      <c r="O20" s="1051">
        <f t="shared" si="0"/>
        <v>764</v>
      </c>
      <c r="P20" s="1052">
        <f t="shared" si="1"/>
        <v>150</v>
      </c>
      <c r="Q20" s="1052">
        <f t="shared" si="2"/>
        <v>63</v>
      </c>
      <c r="R20" s="1053">
        <f t="shared" si="3"/>
        <v>60</v>
      </c>
    </row>
    <row r="21" spans="1:18">
      <c r="A21" s="1045" t="s">
        <v>45</v>
      </c>
      <c r="B21" s="196" t="s">
        <v>46</v>
      </c>
      <c r="C21" s="1061" t="s">
        <v>273</v>
      </c>
      <c r="D21" s="940">
        <v>446</v>
      </c>
      <c r="E21" s="941">
        <v>0</v>
      </c>
      <c r="F21" s="941">
        <v>0</v>
      </c>
      <c r="G21" s="941">
        <v>95</v>
      </c>
      <c r="H21" s="941">
        <v>1</v>
      </c>
      <c r="I21" s="941">
        <v>297</v>
      </c>
      <c r="J21" s="941">
        <v>1</v>
      </c>
      <c r="K21" s="941">
        <v>1</v>
      </c>
      <c r="L21" s="941">
        <v>29</v>
      </c>
      <c r="M21" s="942">
        <v>22</v>
      </c>
      <c r="N21" s="280"/>
      <c r="O21" s="1051">
        <f t="shared" si="0"/>
        <v>297</v>
      </c>
      <c r="P21" s="1052">
        <f t="shared" si="1"/>
        <v>95</v>
      </c>
      <c r="Q21" s="1052">
        <f t="shared" si="2"/>
        <v>23</v>
      </c>
      <c r="R21" s="1053">
        <f t="shared" si="3"/>
        <v>31</v>
      </c>
    </row>
    <row r="22" spans="1:18">
      <c r="A22" s="1045" t="s">
        <v>47</v>
      </c>
      <c r="B22" s="196" t="s">
        <v>48</v>
      </c>
      <c r="C22" s="1061" t="s">
        <v>275</v>
      </c>
      <c r="D22" s="940">
        <v>473</v>
      </c>
      <c r="E22" s="941">
        <v>0</v>
      </c>
      <c r="F22" s="941">
        <v>0</v>
      </c>
      <c r="G22" s="941">
        <v>5</v>
      </c>
      <c r="H22" s="941">
        <v>6</v>
      </c>
      <c r="I22" s="941">
        <v>453</v>
      </c>
      <c r="J22" s="941">
        <v>0</v>
      </c>
      <c r="K22" s="941">
        <v>0</v>
      </c>
      <c r="L22" s="941">
        <v>5</v>
      </c>
      <c r="M22" s="942">
        <v>4</v>
      </c>
      <c r="N22" s="280"/>
      <c r="O22" s="1051">
        <f t="shared" si="0"/>
        <v>453</v>
      </c>
      <c r="P22" s="1052">
        <f t="shared" si="1"/>
        <v>5</v>
      </c>
      <c r="Q22" s="1052">
        <f t="shared" si="2"/>
        <v>10</v>
      </c>
      <c r="R22" s="1053">
        <f t="shared" si="3"/>
        <v>5</v>
      </c>
    </row>
    <row r="23" spans="1:18">
      <c r="A23" s="1045" t="s">
        <v>49</v>
      </c>
      <c r="B23" s="196" t="s">
        <v>276</v>
      </c>
      <c r="C23" s="1061" t="s">
        <v>273</v>
      </c>
      <c r="D23" s="940">
        <v>27</v>
      </c>
      <c r="E23" s="941">
        <v>0</v>
      </c>
      <c r="F23" s="941">
        <v>0</v>
      </c>
      <c r="G23" s="941">
        <v>7</v>
      </c>
      <c r="H23" s="941">
        <v>0</v>
      </c>
      <c r="I23" s="941">
        <v>20</v>
      </c>
      <c r="J23" s="941">
        <v>0</v>
      </c>
      <c r="K23" s="941">
        <v>0</v>
      </c>
      <c r="L23" s="941">
        <v>0</v>
      </c>
      <c r="M23" s="942">
        <v>0</v>
      </c>
      <c r="N23" s="280"/>
      <c r="O23" s="1051">
        <f t="shared" si="0"/>
        <v>20</v>
      </c>
      <c r="P23" s="1052">
        <f t="shared" si="1"/>
        <v>7</v>
      </c>
      <c r="Q23" s="1052">
        <f t="shared" si="2"/>
        <v>0</v>
      </c>
      <c r="R23" s="1053">
        <f t="shared" si="3"/>
        <v>0</v>
      </c>
    </row>
    <row r="24" spans="1:18">
      <c r="A24" s="1045" t="s">
        <v>51</v>
      </c>
      <c r="B24" s="196" t="s">
        <v>52</v>
      </c>
      <c r="C24" s="1061" t="s">
        <v>272</v>
      </c>
      <c r="D24" s="940">
        <v>175</v>
      </c>
      <c r="E24" s="941">
        <v>0</v>
      </c>
      <c r="F24" s="941">
        <v>0</v>
      </c>
      <c r="G24" s="941">
        <v>47</v>
      </c>
      <c r="H24" s="941">
        <v>1</v>
      </c>
      <c r="I24" s="941">
        <v>111</v>
      </c>
      <c r="J24" s="941">
        <v>0</v>
      </c>
      <c r="K24" s="941">
        <v>0</v>
      </c>
      <c r="L24" s="941">
        <v>5</v>
      </c>
      <c r="M24" s="942">
        <v>11</v>
      </c>
      <c r="N24" s="280"/>
      <c r="O24" s="1051">
        <f t="shared" si="0"/>
        <v>111</v>
      </c>
      <c r="P24" s="1052">
        <f t="shared" si="1"/>
        <v>47</v>
      </c>
      <c r="Q24" s="1052">
        <f t="shared" si="2"/>
        <v>12</v>
      </c>
      <c r="R24" s="1053">
        <f t="shared" si="3"/>
        <v>5</v>
      </c>
    </row>
    <row r="25" spans="1:18">
      <c r="A25" s="1045" t="s">
        <v>57</v>
      </c>
      <c r="B25" s="196" t="s">
        <v>305</v>
      </c>
      <c r="C25" s="1061" t="s">
        <v>273</v>
      </c>
      <c r="D25" s="940">
        <v>2620</v>
      </c>
      <c r="E25" s="941">
        <v>3</v>
      </c>
      <c r="F25" s="941">
        <v>20</v>
      </c>
      <c r="G25" s="941">
        <v>799</v>
      </c>
      <c r="H25" s="941">
        <v>6</v>
      </c>
      <c r="I25" s="941">
        <v>1590</v>
      </c>
      <c r="J25" s="941">
        <v>2</v>
      </c>
      <c r="K25" s="941">
        <v>2</v>
      </c>
      <c r="L25" s="941">
        <v>111</v>
      </c>
      <c r="M25" s="942">
        <v>87</v>
      </c>
      <c r="N25" s="280"/>
      <c r="O25" s="1051">
        <f t="shared" si="0"/>
        <v>1590</v>
      </c>
      <c r="P25" s="1052">
        <f t="shared" si="1"/>
        <v>799</v>
      </c>
      <c r="Q25" s="1052">
        <f t="shared" si="2"/>
        <v>116</v>
      </c>
      <c r="R25" s="1053">
        <f t="shared" si="3"/>
        <v>115</v>
      </c>
    </row>
    <row r="26" spans="1:18">
      <c r="A26" s="1045" t="s">
        <v>59</v>
      </c>
      <c r="B26" s="196" t="s">
        <v>60</v>
      </c>
      <c r="C26" s="1061" t="s">
        <v>274</v>
      </c>
      <c r="D26" s="940">
        <v>63</v>
      </c>
      <c r="E26" s="941">
        <v>0</v>
      </c>
      <c r="F26" s="941">
        <v>0</v>
      </c>
      <c r="G26" s="941">
        <v>2</v>
      </c>
      <c r="H26" s="941">
        <v>1</v>
      </c>
      <c r="I26" s="941">
        <v>47</v>
      </c>
      <c r="J26" s="941">
        <v>2</v>
      </c>
      <c r="K26" s="941">
        <v>1</v>
      </c>
      <c r="L26" s="941">
        <v>5</v>
      </c>
      <c r="M26" s="942">
        <v>5</v>
      </c>
      <c r="N26" s="280"/>
      <c r="O26" s="1051">
        <f t="shared" si="0"/>
        <v>47</v>
      </c>
      <c r="P26" s="1052">
        <f t="shared" si="1"/>
        <v>2</v>
      </c>
      <c r="Q26" s="1052">
        <f t="shared" si="2"/>
        <v>6</v>
      </c>
      <c r="R26" s="1053">
        <f t="shared" si="3"/>
        <v>8</v>
      </c>
    </row>
    <row r="27" spans="1:18">
      <c r="A27" s="1045" t="s">
        <v>61</v>
      </c>
      <c r="B27" s="196" t="s">
        <v>62</v>
      </c>
      <c r="C27" s="1061" t="s">
        <v>272</v>
      </c>
      <c r="D27" s="940">
        <v>79</v>
      </c>
      <c r="E27" s="941">
        <v>0</v>
      </c>
      <c r="F27" s="941">
        <v>0</v>
      </c>
      <c r="G27" s="941">
        <v>2</v>
      </c>
      <c r="H27" s="941">
        <v>0</v>
      </c>
      <c r="I27" s="941">
        <v>75</v>
      </c>
      <c r="J27" s="941">
        <v>0</v>
      </c>
      <c r="K27" s="941">
        <v>0</v>
      </c>
      <c r="L27" s="941">
        <v>1</v>
      </c>
      <c r="M27" s="942">
        <v>1</v>
      </c>
      <c r="N27" s="280"/>
      <c r="O27" s="1051">
        <f t="shared" si="0"/>
        <v>75</v>
      </c>
      <c r="P27" s="1052">
        <f t="shared" si="1"/>
        <v>2</v>
      </c>
      <c r="Q27" s="1052">
        <f t="shared" si="2"/>
        <v>1</v>
      </c>
      <c r="R27" s="1053">
        <f t="shared" si="3"/>
        <v>1</v>
      </c>
    </row>
    <row r="28" spans="1:18">
      <c r="A28" s="1045" t="s">
        <v>63</v>
      </c>
      <c r="B28" s="196" t="s">
        <v>64</v>
      </c>
      <c r="C28" s="1061" t="s">
        <v>274</v>
      </c>
      <c r="D28" s="940">
        <v>586</v>
      </c>
      <c r="E28" s="941">
        <v>0</v>
      </c>
      <c r="F28" s="941">
        <v>2</v>
      </c>
      <c r="G28" s="941">
        <v>115</v>
      </c>
      <c r="H28" s="941">
        <v>4</v>
      </c>
      <c r="I28" s="941">
        <v>404</v>
      </c>
      <c r="J28" s="941">
        <v>1</v>
      </c>
      <c r="K28" s="941">
        <v>0</v>
      </c>
      <c r="L28" s="941">
        <v>38</v>
      </c>
      <c r="M28" s="942">
        <v>22</v>
      </c>
      <c r="N28" s="280"/>
      <c r="O28" s="1051">
        <f t="shared" si="0"/>
        <v>404</v>
      </c>
      <c r="P28" s="1052">
        <f t="shared" si="1"/>
        <v>115</v>
      </c>
      <c r="Q28" s="1052">
        <f t="shared" si="2"/>
        <v>28</v>
      </c>
      <c r="R28" s="1053">
        <f t="shared" si="3"/>
        <v>39</v>
      </c>
    </row>
    <row r="29" spans="1:18">
      <c r="A29" s="1045" t="s">
        <v>65</v>
      </c>
      <c r="B29" s="196" t="s">
        <v>66</v>
      </c>
      <c r="C29" s="1061" t="s">
        <v>273</v>
      </c>
      <c r="D29" s="940">
        <v>119</v>
      </c>
      <c r="E29" s="941">
        <v>0</v>
      </c>
      <c r="F29" s="941">
        <v>0</v>
      </c>
      <c r="G29" s="941">
        <v>37</v>
      </c>
      <c r="H29" s="941">
        <v>0</v>
      </c>
      <c r="I29" s="941">
        <v>79</v>
      </c>
      <c r="J29" s="941">
        <v>0</v>
      </c>
      <c r="K29" s="941">
        <v>0</v>
      </c>
      <c r="L29" s="941">
        <v>1</v>
      </c>
      <c r="M29" s="942">
        <v>2</v>
      </c>
      <c r="N29" s="280"/>
      <c r="O29" s="1051">
        <f t="shared" si="0"/>
        <v>79</v>
      </c>
      <c r="P29" s="1052">
        <f t="shared" si="1"/>
        <v>37</v>
      </c>
      <c r="Q29" s="1052">
        <f t="shared" si="2"/>
        <v>2</v>
      </c>
      <c r="R29" s="1053">
        <f t="shared" si="3"/>
        <v>1</v>
      </c>
    </row>
    <row r="30" spans="1:18">
      <c r="A30" s="1045" t="s">
        <v>69</v>
      </c>
      <c r="B30" s="196" t="s">
        <v>70</v>
      </c>
      <c r="C30" s="1061" t="s">
        <v>275</v>
      </c>
      <c r="D30" s="940">
        <v>329</v>
      </c>
      <c r="E30" s="941">
        <v>0</v>
      </c>
      <c r="F30" s="941">
        <v>0</v>
      </c>
      <c r="G30" s="941">
        <v>0</v>
      </c>
      <c r="H30" s="941">
        <v>0</v>
      </c>
      <c r="I30" s="941">
        <v>329</v>
      </c>
      <c r="J30" s="941">
        <v>0</v>
      </c>
      <c r="K30" s="941">
        <v>0</v>
      </c>
      <c r="L30" s="941">
        <v>0</v>
      </c>
      <c r="M30" s="942">
        <v>0</v>
      </c>
      <c r="N30" s="280"/>
      <c r="O30" s="1051">
        <f t="shared" si="0"/>
        <v>329</v>
      </c>
      <c r="P30" s="1052">
        <f t="shared" si="1"/>
        <v>0</v>
      </c>
      <c r="Q30" s="1052">
        <f t="shared" si="2"/>
        <v>0</v>
      </c>
      <c r="R30" s="1053">
        <f t="shared" si="3"/>
        <v>0</v>
      </c>
    </row>
    <row r="31" spans="1:18">
      <c r="A31" s="1045" t="s">
        <v>71</v>
      </c>
      <c r="B31" s="196" t="s">
        <v>72</v>
      </c>
      <c r="C31" s="1061" t="s">
        <v>271</v>
      </c>
      <c r="D31" s="940">
        <v>269</v>
      </c>
      <c r="E31" s="941">
        <v>0</v>
      </c>
      <c r="F31" s="941">
        <v>0</v>
      </c>
      <c r="G31" s="941">
        <v>77</v>
      </c>
      <c r="H31" s="941">
        <v>0</v>
      </c>
      <c r="I31" s="941">
        <v>174</v>
      </c>
      <c r="J31" s="941">
        <v>0</v>
      </c>
      <c r="K31" s="941">
        <v>0</v>
      </c>
      <c r="L31" s="941">
        <v>5</v>
      </c>
      <c r="M31" s="942">
        <v>13</v>
      </c>
      <c r="N31" s="280"/>
      <c r="O31" s="1051">
        <f t="shared" si="0"/>
        <v>174</v>
      </c>
      <c r="P31" s="1052">
        <f t="shared" si="1"/>
        <v>77</v>
      </c>
      <c r="Q31" s="1052">
        <f t="shared" si="2"/>
        <v>13</v>
      </c>
      <c r="R31" s="1053">
        <f t="shared" si="3"/>
        <v>5</v>
      </c>
    </row>
    <row r="32" spans="1:18">
      <c r="A32" s="1045" t="s">
        <v>73</v>
      </c>
      <c r="B32" s="196" t="s">
        <v>74</v>
      </c>
      <c r="C32" s="1061" t="s">
        <v>273</v>
      </c>
      <c r="D32" s="940">
        <v>142</v>
      </c>
      <c r="E32" s="941">
        <v>0</v>
      </c>
      <c r="F32" s="941">
        <v>1</v>
      </c>
      <c r="G32" s="941">
        <v>53</v>
      </c>
      <c r="H32" s="941">
        <v>0</v>
      </c>
      <c r="I32" s="941">
        <v>62</v>
      </c>
      <c r="J32" s="941">
        <v>0</v>
      </c>
      <c r="K32" s="941">
        <v>0</v>
      </c>
      <c r="L32" s="941">
        <v>20</v>
      </c>
      <c r="M32" s="942">
        <v>6</v>
      </c>
      <c r="N32" s="280"/>
      <c r="O32" s="1051">
        <f t="shared" si="0"/>
        <v>62</v>
      </c>
      <c r="P32" s="1052">
        <f t="shared" si="1"/>
        <v>53</v>
      </c>
      <c r="Q32" s="1052">
        <f t="shared" si="2"/>
        <v>7</v>
      </c>
      <c r="R32" s="1053">
        <f t="shared" si="3"/>
        <v>20</v>
      </c>
    </row>
    <row r="33" spans="1:18">
      <c r="A33" s="1045" t="s">
        <v>75</v>
      </c>
      <c r="B33" s="196" t="s">
        <v>306</v>
      </c>
      <c r="C33" s="1061" t="s">
        <v>274</v>
      </c>
      <c r="D33" s="940">
        <v>6718</v>
      </c>
      <c r="E33" s="941">
        <v>5</v>
      </c>
      <c r="F33" s="941">
        <v>386</v>
      </c>
      <c r="G33" s="941">
        <v>1395</v>
      </c>
      <c r="H33" s="941">
        <v>29</v>
      </c>
      <c r="I33" s="941">
        <v>4226</v>
      </c>
      <c r="J33" s="941">
        <v>1</v>
      </c>
      <c r="K33" s="941">
        <v>18</v>
      </c>
      <c r="L33" s="941">
        <v>305</v>
      </c>
      <c r="M33" s="942">
        <v>353</v>
      </c>
      <c r="N33" s="280"/>
      <c r="O33" s="1051">
        <f t="shared" si="0"/>
        <v>4226</v>
      </c>
      <c r="P33" s="1052">
        <f t="shared" si="1"/>
        <v>1395</v>
      </c>
      <c r="Q33" s="1052">
        <f t="shared" si="2"/>
        <v>773</v>
      </c>
      <c r="R33" s="1053">
        <f t="shared" si="3"/>
        <v>324</v>
      </c>
    </row>
    <row r="34" spans="1:18">
      <c r="A34" s="1045" t="s">
        <v>77</v>
      </c>
      <c r="B34" s="196" t="s">
        <v>78</v>
      </c>
      <c r="C34" s="1061" t="s">
        <v>274</v>
      </c>
      <c r="D34" s="940">
        <v>577</v>
      </c>
      <c r="E34" s="941">
        <v>0</v>
      </c>
      <c r="F34" s="941">
        <v>3</v>
      </c>
      <c r="G34" s="941">
        <v>82</v>
      </c>
      <c r="H34" s="941">
        <v>3</v>
      </c>
      <c r="I34" s="941">
        <v>401</v>
      </c>
      <c r="J34" s="941">
        <v>1</v>
      </c>
      <c r="K34" s="941">
        <v>0</v>
      </c>
      <c r="L34" s="941">
        <v>49</v>
      </c>
      <c r="M34" s="942">
        <v>38</v>
      </c>
      <c r="N34" s="280"/>
      <c r="O34" s="1051">
        <f t="shared" si="0"/>
        <v>401</v>
      </c>
      <c r="P34" s="1052">
        <f t="shared" si="1"/>
        <v>82</v>
      </c>
      <c r="Q34" s="1052">
        <f t="shared" si="2"/>
        <v>44</v>
      </c>
      <c r="R34" s="1053">
        <f t="shared" si="3"/>
        <v>50</v>
      </c>
    </row>
    <row r="35" spans="1:18">
      <c r="A35" s="1045" t="s">
        <v>79</v>
      </c>
      <c r="B35" s="196" t="s">
        <v>80</v>
      </c>
      <c r="C35" s="1061" t="s">
        <v>275</v>
      </c>
      <c r="D35" s="940">
        <v>143</v>
      </c>
      <c r="E35" s="941">
        <v>0</v>
      </c>
      <c r="F35" s="941">
        <v>0</v>
      </c>
      <c r="G35" s="941">
        <v>3</v>
      </c>
      <c r="H35" s="941">
        <v>2</v>
      </c>
      <c r="I35" s="941">
        <v>129</v>
      </c>
      <c r="J35" s="941">
        <v>0</v>
      </c>
      <c r="K35" s="941">
        <v>0</v>
      </c>
      <c r="L35" s="941">
        <v>9</v>
      </c>
      <c r="M35" s="942">
        <v>0</v>
      </c>
      <c r="N35" s="280"/>
      <c r="O35" s="1051">
        <f t="shared" si="0"/>
        <v>129</v>
      </c>
      <c r="P35" s="1052">
        <f t="shared" si="1"/>
        <v>3</v>
      </c>
      <c r="Q35" s="1052">
        <f t="shared" si="2"/>
        <v>2</v>
      </c>
      <c r="R35" s="1053">
        <f t="shared" si="3"/>
        <v>9</v>
      </c>
    </row>
    <row r="36" spans="1:18">
      <c r="A36" s="1045" t="s">
        <v>81</v>
      </c>
      <c r="B36" s="196" t="s">
        <v>82</v>
      </c>
      <c r="C36" s="1061" t="s">
        <v>273</v>
      </c>
      <c r="D36" s="940">
        <v>241</v>
      </c>
      <c r="E36" s="941">
        <v>0</v>
      </c>
      <c r="F36" s="941">
        <v>0</v>
      </c>
      <c r="G36" s="941">
        <v>43</v>
      </c>
      <c r="H36" s="941">
        <v>1</v>
      </c>
      <c r="I36" s="941">
        <v>178</v>
      </c>
      <c r="J36" s="941">
        <v>0</v>
      </c>
      <c r="K36" s="941">
        <v>0</v>
      </c>
      <c r="L36" s="941">
        <v>16</v>
      </c>
      <c r="M36" s="942">
        <v>3</v>
      </c>
      <c r="N36" s="280"/>
      <c r="O36" s="1051">
        <f t="shared" ref="O36:O67" si="4">I36</f>
        <v>178</v>
      </c>
      <c r="P36" s="1052">
        <f t="shared" ref="P36:P67" si="5">G36</f>
        <v>43</v>
      </c>
      <c r="Q36" s="1052">
        <f t="shared" ref="Q36:Q67" si="6">E36+F36+H36+M36</f>
        <v>4</v>
      </c>
      <c r="R36" s="1053">
        <f t="shared" ref="R36:R67" si="7">J36+K36+L36</f>
        <v>16</v>
      </c>
    </row>
    <row r="37" spans="1:18">
      <c r="A37" s="1045" t="s">
        <v>85</v>
      </c>
      <c r="B37" s="196" t="s">
        <v>86</v>
      </c>
      <c r="C37" s="1061" t="s">
        <v>272</v>
      </c>
      <c r="D37" s="940">
        <v>1138</v>
      </c>
      <c r="E37" s="941">
        <v>0</v>
      </c>
      <c r="F37" s="941">
        <v>0</v>
      </c>
      <c r="G37" s="941">
        <v>44</v>
      </c>
      <c r="H37" s="941">
        <v>2</v>
      </c>
      <c r="I37" s="941">
        <v>571</v>
      </c>
      <c r="J37" s="941">
        <v>26</v>
      </c>
      <c r="K37" s="941">
        <v>8</v>
      </c>
      <c r="L37" s="941">
        <v>452</v>
      </c>
      <c r="M37" s="942">
        <v>35</v>
      </c>
      <c r="N37" s="280"/>
      <c r="O37" s="1051">
        <f t="shared" si="4"/>
        <v>571</v>
      </c>
      <c r="P37" s="1052">
        <f t="shared" si="5"/>
        <v>44</v>
      </c>
      <c r="Q37" s="1052">
        <f t="shared" si="6"/>
        <v>37</v>
      </c>
      <c r="R37" s="1053">
        <f t="shared" si="7"/>
        <v>486</v>
      </c>
    </row>
    <row r="38" spans="1:18">
      <c r="A38" s="1045" t="s">
        <v>87</v>
      </c>
      <c r="B38" s="196" t="s">
        <v>88</v>
      </c>
      <c r="C38" s="1061" t="s">
        <v>274</v>
      </c>
      <c r="D38" s="940">
        <v>1145</v>
      </c>
      <c r="E38" s="941">
        <v>0</v>
      </c>
      <c r="F38" s="941">
        <v>3</v>
      </c>
      <c r="G38" s="941">
        <v>43</v>
      </c>
      <c r="H38" s="941">
        <v>2</v>
      </c>
      <c r="I38" s="941">
        <v>835</v>
      </c>
      <c r="J38" s="941">
        <v>0</v>
      </c>
      <c r="K38" s="941">
        <v>2</v>
      </c>
      <c r="L38" s="941">
        <v>220</v>
      </c>
      <c r="M38" s="942">
        <v>40</v>
      </c>
      <c r="N38" s="280"/>
      <c r="O38" s="1051">
        <f t="shared" si="4"/>
        <v>835</v>
      </c>
      <c r="P38" s="1052">
        <f t="shared" si="5"/>
        <v>43</v>
      </c>
      <c r="Q38" s="1052">
        <f t="shared" si="6"/>
        <v>45</v>
      </c>
      <c r="R38" s="1053">
        <f t="shared" si="7"/>
        <v>222</v>
      </c>
    </row>
    <row r="39" spans="1:18">
      <c r="A39" s="1045" t="s">
        <v>93</v>
      </c>
      <c r="B39" s="196" t="s">
        <v>94</v>
      </c>
      <c r="C39" s="1061" t="s">
        <v>275</v>
      </c>
      <c r="D39" s="940">
        <v>462</v>
      </c>
      <c r="E39" s="941">
        <v>0</v>
      </c>
      <c r="F39" s="941">
        <v>0</v>
      </c>
      <c r="G39" s="941">
        <v>6</v>
      </c>
      <c r="H39" s="941">
        <v>1</v>
      </c>
      <c r="I39" s="941">
        <v>443</v>
      </c>
      <c r="J39" s="941">
        <v>0</v>
      </c>
      <c r="K39" s="941">
        <v>0</v>
      </c>
      <c r="L39" s="941">
        <v>10</v>
      </c>
      <c r="M39" s="942">
        <v>2</v>
      </c>
      <c r="N39" s="280"/>
      <c r="O39" s="1051">
        <f t="shared" si="4"/>
        <v>443</v>
      </c>
      <c r="P39" s="1052">
        <f t="shared" si="5"/>
        <v>6</v>
      </c>
      <c r="Q39" s="1052">
        <f t="shared" si="6"/>
        <v>3</v>
      </c>
      <c r="R39" s="1053">
        <f t="shared" si="7"/>
        <v>10</v>
      </c>
    </row>
    <row r="40" spans="1:18">
      <c r="A40" s="1045" t="s">
        <v>95</v>
      </c>
      <c r="B40" s="196" t="s">
        <v>96</v>
      </c>
      <c r="C40" s="1061" t="s">
        <v>271</v>
      </c>
      <c r="D40" s="940">
        <v>470</v>
      </c>
      <c r="E40" s="941">
        <v>0</v>
      </c>
      <c r="F40" s="941">
        <v>0</v>
      </c>
      <c r="G40" s="941">
        <v>25</v>
      </c>
      <c r="H40" s="941">
        <v>0</v>
      </c>
      <c r="I40" s="941">
        <v>412</v>
      </c>
      <c r="J40" s="941">
        <v>0</v>
      </c>
      <c r="K40" s="941">
        <v>1</v>
      </c>
      <c r="L40" s="941">
        <v>14</v>
      </c>
      <c r="M40" s="942">
        <v>18</v>
      </c>
      <c r="N40" s="280"/>
      <c r="O40" s="1051">
        <f t="shared" si="4"/>
        <v>412</v>
      </c>
      <c r="P40" s="1052">
        <f t="shared" si="5"/>
        <v>25</v>
      </c>
      <c r="Q40" s="1052">
        <f t="shared" si="6"/>
        <v>18</v>
      </c>
      <c r="R40" s="1053">
        <f t="shared" si="7"/>
        <v>15</v>
      </c>
    </row>
    <row r="41" spans="1:18">
      <c r="A41" s="1045" t="s">
        <v>97</v>
      </c>
      <c r="B41" s="196" t="s">
        <v>98</v>
      </c>
      <c r="C41" s="1061" t="s">
        <v>273</v>
      </c>
      <c r="D41" s="940">
        <v>113</v>
      </c>
      <c r="E41" s="941">
        <v>0</v>
      </c>
      <c r="F41" s="941">
        <v>0</v>
      </c>
      <c r="G41" s="941">
        <v>22</v>
      </c>
      <c r="H41" s="941">
        <v>1</v>
      </c>
      <c r="I41" s="941">
        <v>82</v>
      </c>
      <c r="J41" s="941">
        <v>1</v>
      </c>
      <c r="K41" s="941">
        <v>0</v>
      </c>
      <c r="L41" s="941">
        <v>6</v>
      </c>
      <c r="M41" s="942">
        <v>1</v>
      </c>
      <c r="N41" s="280"/>
      <c r="O41" s="1051">
        <f t="shared" si="4"/>
        <v>82</v>
      </c>
      <c r="P41" s="1052">
        <f t="shared" si="5"/>
        <v>22</v>
      </c>
      <c r="Q41" s="1052">
        <f t="shared" si="6"/>
        <v>2</v>
      </c>
      <c r="R41" s="1053">
        <f t="shared" si="7"/>
        <v>7</v>
      </c>
    </row>
    <row r="42" spans="1:18">
      <c r="A42" s="1045" t="s">
        <v>99</v>
      </c>
      <c r="B42" s="196" t="s">
        <v>100</v>
      </c>
      <c r="C42" s="1061" t="s">
        <v>275</v>
      </c>
      <c r="D42" s="940">
        <v>233</v>
      </c>
      <c r="E42" s="941">
        <v>0</v>
      </c>
      <c r="F42" s="941">
        <v>0</v>
      </c>
      <c r="G42" s="941">
        <v>6</v>
      </c>
      <c r="H42" s="941">
        <v>8</v>
      </c>
      <c r="I42" s="941">
        <v>207</v>
      </c>
      <c r="J42" s="941">
        <v>0</v>
      </c>
      <c r="K42" s="941">
        <v>0</v>
      </c>
      <c r="L42" s="941">
        <v>0</v>
      </c>
      <c r="M42" s="942">
        <v>12</v>
      </c>
      <c r="N42" s="280"/>
      <c r="O42" s="1051">
        <f t="shared" si="4"/>
        <v>207</v>
      </c>
      <c r="P42" s="1052">
        <f t="shared" si="5"/>
        <v>6</v>
      </c>
      <c r="Q42" s="1052">
        <f t="shared" si="6"/>
        <v>20</v>
      </c>
      <c r="R42" s="1053">
        <f t="shared" si="7"/>
        <v>0</v>
      </c>
    </row>
    <row r="43" spans="1:18">
      <c r="A43" s="1045" t="s">
        <v>101</v>
      </c>
      <c r="B43" s="196" t="s">
        <v>102</v>
      </c>
      <c r="C43" s="1061" t="s">
        <v>274</v>
      </c>
      <c r="D43" s="940">
        <v>224</v>
      </c>
      <c r="E43" s="941">
        <v>0</v>
      </c>
      <c r="F43" s="941">
        <v>2</v>
      </c>
      <c r="G43" s="941">
        <v>20</v>
      </c>
      <c r="H43" s="941">
        <v>1</v>
      </c>
      <c r="I43" s="941">
        <v>165</v>
      </c>
      <c r="J43" s="941">
        <v>1</v>
      </c>
      <c r="K43" s="941">
        <v>0</v>
      </c>
      <c r="L43" s="941">
        <v>22</v>
      </c>
      <c r="M43" s="942">
        <v>13</v>
      </c>
      <c r="N43" s="280"/>
      <c r="O43" s="1051">
        <f t="shared" si="4"/>
        <v>165</v>
      </c>
      <c r="P43" s="1052">
        <f t="shared" si="5"/>
        <v>20</v>
      </c>
      <c r="Q43" s="1052">
        <f t="shared" si="6"/>
        <v>16</v>
      </c>
      <c r="R43" s="1053">
        <f t="shared" si="7"/>
        <v>23</v>
      </c>
    </row>
    <row r="44" spans="1:18">
      <c r="A44" s="1045" t="s">
        <v>103</v>
      </c>
      <c r="B44" s="196" t="s">
        <v>290</v>
      </c>
      <c r="C44" s="1061" t="s">
        <v>271</v>
      </c>
      <c r="D44" s="940">
        <v>254</v>
      </c>
      <c r="E44" s="941">
        <v>0</v>
      </c>
      <c r="F44" s="941">
        <v>0</v>
      </c>
      <c r="G44" s="941">
        <v>190</v>
      </c>
      <c r="H44" s="941">
        <v>5</v>
      </c>
      <c r="I44" s="941">
        <v>51</v>
      </c>
      <c r="J44" s="941">
        <v>0</v>
      </c>
      <c r="K44" s="941">
        <v>0</v>
      </c>
      <c r="L44" s="941">
        <v>6</v>
      </c>
      <c r="M44" s="942">
        <v>2</v>
      </c>
      <c r="N44" s="280"/>
      <c r="O44" s="1051">
        <f t="shared" si="4"/>
        <v>51</v>
      </c>
      <c r="P44" s="1052">
        <f t="shared" si="5"/>
        <v>190</v>
      </c>
      <c r="Q44" s="1052">
        <f t="shared" si="6"/>
        <v>7</v>
      </c>
      <c r="R44" s="1053">
        <f t="shared" si="7"/>
        <v>6</v>
      </c>
    </row>
    <row r="45" spans="1:18">
      <c r="A45" s="1045" t="s">
        <v>105</v>
      </c>
      <c r="B45" s="196" t="s">
        <v>106</v>
      </c>
      <c r="C45" s="1061" t="s">
        <v>272</v>
      </c>
      <c r="D45" s="940">
        <v>375</v>
      </c>
      <c r="E45" s="941">
        <v>0</v>
      </c>
      <c r="F45" s="941">
        <v>0</v>
      </c>
      <c r="G45" s="941">
        <v>163</v>
      </c>
      <c r="H45" s="941">
        <v>0</v>
      </c>
      <c r="I45" s="941">
        <v>178</v>
      </c>
      <c r="J45" s="941">
        <v>0</v>
      </c>
      <c r="K45" s="941">
        <v>0</v>
      </c>
      <c r="L45" s="941">
        <v>18</v>
      </c>
      <c r="M45" s="942">
        <v>16</v>
      </c>
      <c r="N45" s="280"/>
      <c r="O45" s="1051">
        <f t="shared" si="4"/>
        <v>178</v>
      </c>
      <c r="P45" s="1052">
        <f t="shared" si="5"/>
        <v>163</v>
      </c>
      <c r="Q45" s="1052">
        <f t="shared" si="6"/>
        <v>16</v>
      </c>
      <c r="R45" s="1053">
        <f t="shared" si="7"/>
        <v>18</v>
      </c>
    </row>
    <row r="46" spans="1:18">
      <c r="A46" s="1045" t="s">
        <v>109</v>
      </c>
      <c r="B46" s="196" t="s">
        <v>110</v>
      </c>
      <c r="C46" s="1061" t="s">
        <v>273</v>
      </c>
      <c r="D46" s="940">
        <v>566</v>
      </c>
      <c r="E46" s="941">
        <v>1</v>
      </c>
      <c r="F46" s="941">
        <v>4</v>
      </c>
      <c r="G46" s="941">
        <v>62</v>
      </c>
      <c r="H46" s="941">
        <v>0</v>
      </c>
      <c r="I46" s="941">
        <v>438</v>
      </c>
      <c r="J46" s="941">
        <v>1</v>
      </c>
      <c r="K46" s="941">
        <v>6</v>
      </c>
      <c r="L46" s="941">
        <v>21</v>
      </c>
      <c r="M46" s="942">
        <v>33</v>
      </c>
      <c r="N46" s="280"/>
      <c r="O46" s="1051">
        <f t="shared" si="4"/>
        <v>438</v>
      </c>
      <c r="P46" s="1052">
        <f t="shared" si="5"/>
        <v>62</v>
      </c>
      <c r="Q46" s="1052">
        <f t="shared" si="6"/>
        <v>38</v>
      </c>
      <c r="R46" s="1053">
        <f t="shared" si="7"/>
        <v>28</v>
      </c>
    </row>
    <row r="47" spans="1:18">
      <c r="A47" s="1045" t="s">
        <v>111</v>
      </c>
      <c r="B47" s="196" t="s">
        <v>112</v>
      </c>
      <c r="C47" s="1061" t="s">
        <v>273</v>
      </c>
      <c r="D47" s="940">
        <v>2091</v>
      </c>
      <c r="E47" s="941">
        <v>2</v>
      </c>
      <c r="F47" s="941">
        <v>46</v>
      </c>
      <c r="G47" s="941">
        <v>997</v>
      </c>
      <c r="H47" s="941">
        <v>8</v>
      </c>
      <c r="I47" s="941">
        <v>812</v>
      </c>
      <c r="J47" s="941">
        <v>4</v>
      </c>
      <c r="K47" s="941">
        <v>2</v>
      </c>
      <c r="L47" s="941">
        <v>97</v>
      </c>
      <c r="M47" s="942">
        <v>123</v>
      </c>
      <c r="N47" s="280"/>
      <c r="O47" s="1051">
        <f t="shared" si="4"/>
        <v>812</v>
      </c>
      <c r="P47" s="1052">
        <f t="shared" si="5"/>
        <v>997</v>
      </c>
      <c r="Q47" s="1052">
        <f t="shared" si="6"/>
        <v>179</v>
      </c>
      <c r="R47" s="1053">
        <f t="shared" si="7"/>
        <v>103</v>
      </c>
    </row>
    <row r="48" spans="1:18">
      <c r="A48" s="1045" t="s">
        <v>113</v>
      </c>
      <c r="B48" s="196" t="s">
        <v>310</v>
      </c>
      <c r="C48" s="1061" t="s">
        <v>272</v>
      </c>
      <c r="D48" s="940">
        <v>857</v>
      </c>
      <c r="E48" s="941">
        <v>2</v>
      </c>
      <c r="F48" s="941">
        <v>0</v>
      </c>
      <c r="G48" s="941">
        <v>193</v>
      </c>
      <c r="H48" s="941">
        <v>8</v>
      </c>
      <c r="I48" s="941">
        <v>423</v>
      </c>
      <c r="J48" s="941">
        <v>0</v>
      </c>
      <c r="K48" s="941">
        <v>2</v>
      </c>
      <c r="L48" s="941">
        <v>212</v>
      </c>
      <c r="M48" s="942">
        <v>17</v>
      </c>
      <c r="N48" s="280"/>
      <c r="O48" s="1051">
        <f>(I48)+17</f>
        <v>440</v>
      </c>
      <c r="P48" s="1052">
        <f>(G48)+27</f>
        <v>220</v>
      </c>
      <c r="Q48" s="1052">
        <f>(E48+F48+H48+M48)+2</f>
        <v>29</v>
      </c>
      <c r="R48" s="1053">
        <f>(J48+K48+L48)+31</f>
        <v>245</v>
      </c>
    </row>
    <row r="49" spans="1:18">
      <c r="A49" s="1045" t="s">
        <v>115</v>
      </c>
      <c r="B49" s="196" t="s">
        <v>116</v>
      </c>
      <c r="C49" s="1061" t="s">
        <v>272</v>
      </c>
      <c r="D49" s="940">
        <v>27</v>
      </c>
      <c r="E49" s="941">
        <v>0</v>
      </c>
      <c r="F49" s="941">
        <v>0</v>
      </c>
      <c r="G49" s="941">
        <v>0</v>
      </c>
      <c r="H49" s="941">
        <v>0</v>
      </c>
      <c r="I49" s="941">
        <v>26</v>
      </c>
      <c r="J49" s="941">
        <v>0</v>
      </c>
      <c r="K49" s="941">
        <v>0</v>
      </c>
      <c r="L49" s="941">
        <v>0</v>
      </c>
      <c r="M49" s="942">
        <v>1</v>
      </c>
      <c r="N49" s="280"/>
      <c r="O49" s="1051">
        <f t="shared" si="4"/>
        <v>26</v>
      </c>
      <c r="P49" s="1052">
        <f t="shared" si="5"/>
        <v>0</v>
      </c>
      <c r="Q49" s="1052">
        <f t="shared" si="6"/>
        <v>1</v>
      </c>
      <c r="R49" s="1053">
        <f t="shared" si="7"/>
        <v>0</v>
      </c>
    </row>
    <row r="50" spans="1:18">
      <c r="A50" s="1045" t="s">
        <v>119</v>
      </c>
      <c r="B50" s="196" t="s">
        <v>277</v>
      </c>
      <c r="C50" s="1061" t="s">
        <v>271</v>
      </c>
      <c r="D50" s="940">
        <v>336</v>
      </c>
      <c r="E50" s="941">
        <v>1</v>
      </c>
      <c r="F50" s="941">
        <v>2</v>
      </c>
      <c r="G50" s="941">
        <v>109</v>
      </c>
      <c r="H50" s="941">
        <v>0</v>
      </c>
      <c r="I50" s="941">
        <v>216</v>
      </c>
      <c r="J50" s="941">
        <v>0</v>
      </c>
      <c r="K50" s="941">
        <v>0</v>
      </c>
      <c r="L50" s="941">
        <v>6</v>
      </c>
      <c r="M50" s="942">
        <v>2</v>
      </c>
      <c r="N50" s="280"/>
      <c r="O50" s="1051">
        <f t="shared" si="4"/>
        <v>216</v>
      </c>
      <c r="P50" s="1052">
        <f t="shared" si="5"/>
        <v>109</v>
      </c>
      <c r="Q50" s="1052">
        <f t="shared" si="6"/>
        <v>5</v>
      </c>
      <c r="R50" s="1053">
        <f t="shared" si="7"/>
        <v>6</v>
      </c>
    </row>
    <row r="51" spans="1:18">
      <c r="A51" s="1045" t="s">
        <v>121</v>
      </c>
      <c r="B51" s="196" t="s">
        <v>122</v>
      </c>
      <c r="C51" s="1061" t="s">
        <v>271</v>
      </c>
      <c r="D51" s="940">
        <v>536</v>
      </c>
      <c r="E51" s="941">
        <v>0</v>
      </c>
      <c r="F51" s="941">
        <v>2</v>
      </c>
      <c r="G51" s="941">
        <v>170</v>
      </c>
      <c r="H51" s="941">
        <v>3</v>
      </c>
      <c r="I51" s="941">
        <v>303</v>
      </c>
      <c r="J51" s="941">
        <v>0</v>
      </c>
      <c r="K51" s="941">
        <v>2</v>
      </c>
      <c r="L51" s="941">
        <v>18</v>
      </c>
      <c r="M51" s="942">
        <v>38</v>
      </c>
      <c r="N51" s="280"/>
      <c r="O51" s="1051">
        <f t="shared" si="4"/>
        <v>303</v>
      </c>
      <c r="P51" s="1052">
        <f t="shared" si="5"/>
        <v>170</v>
      </c>
      <c r="Q51" s="1052">
        <f t="shared" si="6"/>
        <v>43</v>
      </c>
      <c r="R51" s="1053">
        <f t="shared" si="7"/>
        <v>20</v>
      </c>
    </row>
    <row r="52" spans="1:18">
      <c r="A52" s="1045" t="s">
        <v>123</v>
      </c>
      <c r="B52" s="196" t="s">
        <v>296</v>
      </c>
      <c r="C52" s="1061" t="s">
        <v>273</v>
      </c>
      <c r="D52" s="940">
        <v>99</v>
      </c>
      <c r="E52" s="941">
        <v>0</v>
      </c>
      <c r="F52" s="941">
        <v>0</v>
      </c>
      <c r="G52" s="941">
        <v>24</v>
      </c>
      <c r="H52" s="941">
        <v>0</v>
      </c>
      <c r="I52" s="941">
        <v>58</v>
      </c>
      <c r="J52" s="941">
        <v>0</v>
      </c>
      <c r="K52" s="941">
        <v>1</v>
      </c>
      <c r="L52" s="941">
        <v>3</v>
      </c>
      <c r="M52" s="942">
        <v>13</v>
      </c>
      <c r="N52" s="280"/>
      <c r="O52" s="1051">
        <f t="shared" si="4"/>
        <v>58</v>
      </c>
      <c r="P52" s="1052">
        <f t="shared" si="5"/>
        <v>24</v>
      </c>
      <c r="Q52" s="1052">
        <f t="shared" si="6"/>
        <v>13</v>
      </c>
      <c r="R52" s="1053">
        <f t="shared" si="7"/>
        <v>4</v>
      </c>
    </row>
    <row r="53" spans="1:18">
      <c r="A53" s="1045" t="s">
        <v>125</v>
      </c>
      <c r="B53" s="196" t="s">
        <v>126</v>
      </c>
      <c r="C53" s="1061" t="s">
        <v>274</v>
      </c>
      <c r="D53" s="940">
        <v>201</v>
      </c>
      <c r="E53" s="941">
        <v>0</v>
      </c>
      <c r="F53" s="941">
        <v>0</v>
      </c>
      <c r="G53" s="941">
        <v>36</v>
      </c>
      <c r="H53" s="941">
        <v>0</v>
      </c>
      <c r="I53" s="941">
        <v>141</v>
      </c>
      <c r="J53" s="941">
        <v>0</v>
      </c>
      <c r="K53" s="941">
        <v>0</v>
      </c>
      <c r="L53" s="941">
        <v>13</v>
      </c>
      <c r="M53" s="942">
        <v>11</v>
      </c>
      <c r="N53" s="280"/>
      <c r="O53" s="1051">
        <f t="shared" si="4"/>
        <v>141</v>
      </c>
      <c r="P53" s="1052">
        <f t="shared" si="5"/>
        <v>36</v>
      </c>
      <c r="Q53" s="1052">
        <f t="shared" si="6"/>
        <v>11</v>
      </c>
      <c r="R53" s="1053">
        <f t="shared" si="7"/>
        <v>13</v>
      </c>
    </row>
    <row r="54" spans="1:18">
      <c r="A54" s="1045" t="s">
        <v>127</v>
      </c>
      <c r="B54" s="196" t="s">
        <v>128</v>
      </c>
      <c r="C54" s="1061" t="s">
        <v>273</v>
      </c>
      <c r="D54" s="940">
        <v>149</v>
      </c>
      <c r="E54" s="941">
        <v>0</v>
      </c>
      <c r="F54" s="941">
        <v>0</v>
      </c>
      <c r="G54" s="941">
        <v>42</v>
      </c>
      <c r="H54" s="941">
        <v>1</v>
      </c>
      <c r="I54" s="941">
        <v>94</v>
      </c>
      <c r="J54" s="941">
        <v>0</v>
      </c>
      <c r="K54" s="941">
        <v>1</v>
      </c>
      <c r="L54" s="941">
        <v>1</v>
      </c>
      <c r="M54" s="942">
        <v>10</v>
      </c>
      <c r="N54" s="280"/>
      <c r="O54" s="1051">
        <f t="shared" si="4"/>
        <v>94</v>
      </c>
      <c r="P54" s="1052">
        <f t="shared" si="5"/>
        <v>42</v>
      </c>
      <c r="Q54" s="1052">
        <f t="shared" si="6"/>
        <v>11</v>
      </c>
      <c r="R54" s="1053">
        <f t="shared" si="7"/>
        <v>2</v>
      </c>
    </row>
    <row r="55" spans="1:18">
      <c r="A55" s="1045" t="s">
        <v>129</v>
      </c>
      <c r="B55" s="196" t="s">
        <v>130</v>
      </c>
      <c r="C55" s="1061" t="s">
        <v>273</v>
      </c>
      <c r="D55" s="940">
        <v>65</v>
      </c>
      <c r="E55" s="941">
        <v>0</v>
      </c>
      <c r="F55" s="941">
        <v>1</v>
      </c>
      <c r="G55" s="941">
        <v>30</v>
      </c>
      <c r="H55" s="941">
        <v>0</v>
      </c>
      <c r="I55" s="941">
        <v>30</v>
      </c>
      <c r="J55" s="941">
        <v>0</v>
      </c>
      <c r="K55" s="941">
        <v>0</v>
      </c>
      <c r="L55" s="941">
        <v>4</v>
      </c>
      <c r="M55" s="942">
        <v>0</v>
      </c>
      <c r="N55" s="280"/>
      <c r="O55" s="1051">
        <f t="shared" si="4"/>
        <v>30</v>
      </c>
      <c r="P55" s="1052">
        <f t="shared" si="5"/>
        <v>30</v>
      </c>
      <c r="Q55" s="1052">
        <f t="shared" si="6"/>
        <v>1</v>
      </c>
      <c r="R55" s="1053">
        <f t="shared" si="7"/>
        <v>4</v>
      </c>
    </row>
    <row r="56" spans="1:18">
      <c r="A56" s="1045" t="s">
        <v>131</v>
      </c>
      <c r="B56" s="196" t="s">
        <v>132</v>
      </c>
      <c r="C56" s="1061" t="s">
        <v>275</v>
      </c>
      <c r="D56" s="940">
        <v>731</v>
      </c>
      <c r="E56" s="941">
        <v>0</v>
      </c>
      <c r="F56" s="941">
        <v>0</v>
      </c>
      <c r="G56" s="941">
        <v>4</v>
      </c>
      <c r="H56" s="941">
        <v>1</v>
      </c>
      <c r="I56" s="941">
        <v>722</v>
      </c>
      <c r="J56" s="941">
        <v>0</v>
      </c>
      <c r="K56" s="941">
        <v>0</v>
      </c>
      <c r="L56" s="941">
        <v>3</v>
      </c>
      <c r="M56" s="942">
        <v>1</v>
      </c>
      <c r="N56" s="280"/>
      <c r="O56" s="1051">
        <f t="shared" si="4"/>
        <v>722</v>
      </c>
      <c r="P56" s="1052">
        <f t="shared" si="5"/>
        <v>4</v>
      </c>
      <c r="Q56" s="1052">
        <f t="shared" si="6"/>
        <v>2</v>
      </c>
      <c r="R56" s="1053">
        <f t="shared" si="7"/>
        <v>3</v>
      </c>
    </row>
    <row r="57" spans="1:18">
      <c r="A57" s="1045" t="s">
        <v>133</v>
      </c>
      <c r="B57" s="196" t="s">
        <v>134</v>
      </c>
      <c r="C57" s="1061" t="s">
        <v>274</v>
      </c>
      <c r="D57" s="940">
        <v>2799</v>
      </c>
      <c r="E57" s="941">
        <v>0</v>
      </c>
      <c r="F57" s="941">
        <v>66</v>
      </c>
      <c r="G57" s="941">
        <v>103</v>
      </c>
      <c r="H57" s="941">
        <v>2</v>
      </c>
      <c r="I57" s="941">
        <v>293</v>
      </c>
      <c r="J57" s="941">
        <v>9</v>
      </c>
      <c r="K57" s="941">
        <v>4</v>
      </c>
      <c r="L57" s="941">
        <v>2293</v>
      </c>
      <c r="M57" s="942">
        <v>29</v>
      </c>
      <c r="N57" s="280"/>
      <c r="O57" s="1051">
        <f t="shared" si="4"/>
        <v>293</v>
      </c>
      <c r="P57" s="1052">
        <f t="shared" si="5"/>
        <v>103</v>
      </c>
      <c r="Q57" s="1052">
        <f t="shared" si="6"/>
        <v>97</v>
      </c>
      <c r="R57" s="1053">
        <f t="shared" si="7"/>
        <v>2306</v>
      </c>
    </row>
    <row r="58" spans="1:18">
      <c r="A58" s="1045" t="s">
        <v>135</v>
      </c>
      <c r="B58" s="196" t="s">
        <v>136</v>
      </c>
      <c r="C58" s="1061" t="s">
        <v>274</v>
      </c>
      <c r="D58" s="940">
        <v>393</v>
      </c>
      <c r="E58" s="941">
        <v>0</v>
      </c>
      <c r="F58" s="941">
        <v>0</v>
      </c>
      <c r="G58" s="941">
        <v>54</v>
      </c>
      <c r="H58" s="941">
        <v>0</v>
      </c>
      <c r="I58" s="941">
        <v>288</v>
      </c>
      <c r="J58" s="941">
        <v>0</v>
      </c>
      <c r="K58" s="941">
        <v>2</v>
      </c>
      <c r="L58" s="941">
        <v>9</v>
      </c>
      <c r="M58" s="942">
        <v>40</v>
      </c>
      <c r="N58" s="280"/>
      <c r="O58" s="1051">
        <f t="shared" si="4"/>
        <v>288</v>
      </c>
      <c r="P58" s="1052">
        <f t="shared" si="5"/>
        <v>54</v>
      </c>
      <c r="Q58" s="1052">
        <f t="shared" si="6"/>
        <v>40</v>
      </c>
      <c r="R58" s="1053">
        <f t="shared" si="7"/>
        <v>11</v>
      </c>
    </row>
    <row r="59" spans="1:18">
      <c r="A59" s="1045" t="s">
        <v>137</v>
      </c>
      <c r="B59" s="196" t="s">
        <v>138</v>
      </c>
      <c r="C59" s="1061" t="s">
        <v>273</v>
      </c>
      <c r="D59" s="940">
        <v>77</v>
      </c>
      <c r="E59" s="941">
        <v>0</v>
      </c>
      <c r="F59" s="941">
        <v>0</v>
      </c>
      <c r="G59" s="941">
        <v>19</v>
      </c>
      <c r="H59" s="941">
        <v>1</v>
      </c>
      <c r="I59" s="941">
        <v>53</v>
      </c>
      <c r="J59" s="941">
        <v>0</v>
      </c>
      <c r="K59" s="941">
        <v>0</v>
      </c>
      <c r="L59" s="941">
        <v>1</v>
      </c>
      <c r="M59" s="942">
        <v>3</v>
      </c>
      <c r="N59" s="280"/>
      <c r="O59" s="1051">
        <f t="shared" si="4"/>
        <v>53</v>
      </c>
      <c r="P59" s="1052">
        <f t="shared" si="5"/>
        <v>19</v>
      </c>
      <c r="Q59" s="1052">
        <f t="shared" si="6"/>
        <v>4</v>
      </c>
      <c r="R59" s="1053">
        <f t="shared" si="7"/>
        <v>1</v>
      </c>
    </row>
    <row r="60" spans="1:18">
      <c r="A60" s="1045" t="s">
        <v>141</v>
      </c>
      <c r="B60" s="196" t="s">
        <v>142</v>
      </c>
      <c r="C60" s="1061" t="s">
        <v>274</v>
      </c>
      <c r="D60" s="940">
        <v>128</v>
      </c>
      <c r="E60" s="941">
        <v>0</v>
      </c>
      <c r="F60" s="941">
        <v>1</v>
      </c>
      <c r="G60" s="941">
        <v>7</v>
      </c>
      <c r="H60" s="941">
        <v>0</v>
      </c>
      <c r="I60" s="941">
        <v>107</v>
      </c>
      <c r="J60" s="941">
        <v>1</v>
      </c>
      <c r="K60" s="941">
        <v>0</v>
      </c>
      <c r="L60" s="941">
        <v>4</v>
      </c>
      <c r="M60" s="942">
        <v>8</v>
      </c>
      <c r="N60" s="280"/>
      <c r="O60" s="1051">
        <f t="shared" si="4"/>
        <v>107</v>
      </c>
      <c r="P60" s="1052">
        <f t="shared" si="5"/>
        <v>7</v>
      </c>
      <c r="Q60" s="1052">
        <f t="shared" si="6"/>
        <v>9</v>
      </c>
      <c r="R60" s="1053">
        <f t="shared" si="7"/>
        <v>5</v>
      </c>
    </row>
    <row r="61" spans="1:18">
      <c r="A61" s="1045" t="s">
        <v>147</v>
      </c>
      <c r="B61" s="196" t="s">
        <v>148</v>
      </c>
      <c r="C61" s="1061" t="s">
        <v>271</v>
      </c>
      <c r="D61" s="940">
        <v>129</v>
      </c>
      <c r="E61" s="941">
        <v>0</v>
      </c>
      <c r="F61" s="941">
        <v>0</v>
      </c>
      <c r="G61" s="941">
        <v>8</v>
      </c>
      <c r="H61" s="941">
        <v>3</v>
      </c>
      <c r="I61" s="941">
        <v>109</v>
      </c>
      <c r="J61" s="941">
        <v>0</v>
      </c>
      <c r="K61" s="941">
        <v>0</v>
      </c>
      <c r="L61" s="941">
        <v>2</v>
      </c>
      <c r="M61" s="942">
        <v>7</v>
      </c>
      <c r="N61" s="280"/>
      <c r="O61" s="1051">
        <f t="shared" si="4"/>
        <v>109</v>
      </c>
      <c r="P61" s="1052">
        <f t="shared" si="5"/>
        <v>8</v>
      </c>
      <c r="Q61" s="1052">
        <f t="shared" si="6"/>
        <v>10</v>
      </c>
      <c r="R61" s="1053">
        <f t="shared" si="7"/>
        <v>2</v>
      </c>
    </row>
    <row r="62" spans="1:18">
      <c r="A62" s="1045" t="s">
        <v>149</v>
      </c>
      <c r="B62" s="196" t="s">
        <v>150</v>
      </c>
      <c r="C62" s="1061" t="s">
        <v>272</v>
      </c>
      <c r="D62" s="940">
        <v>281</v>
      </c>
      <c r="E62" s="941">
        <v>0</v>
      </c>
      <c r="F62" s="941">
        <v>0</v>
      </c>
      <c r="G62" s="941">
        <v>123</v>
      </c>
      <c r="H62" s="941">
        <v>0</v>
      </c>
      <c r="I62" s="941">
        <v>128</v>
      </c>
      <c r="J62" s="941">
        <v>0</v>
      </c>
      <c r="K62" s="941">
        <v>0</v>
      </c>
      <c r="L62" s="941">
        <v>13</v>
      </c>
      <c r="M62" s="942">
        <v>17</v>
      </c>
      <c r="N62" s="280"/>
      <c r="O62" s="1051">
        <f t="shared" si="4"/>
        <v>128</v>
      </c>
      <c r="P62" s="1052">
        <f t="shared" si="5"/>
        <v>123</v>
      </c>
      <c r="Q62" s="1052">
        <f t="shared" si="6"/>
        <v>17</v>
      </c>
      <c r="R62" s="1053">
        <f t="shared" si="7"/>
        <v>13</v>
      </c>
    </row>
    <row r="63" spans="1:18">
      <c r="A63" s="1045" t="s">
        <v>151</v>
      </c>
      <c r="B63" s="196" t="s">
        <v>152</v>
      </c>
      <c r="C63" s="1061" t="s">
        <v>273</v>
      </c>
      <c r="D63" s="940">
        <v>157</v>
      </c>
      <c r="E63" s="941">
        <v>2</v>
      </c>
      <c r="F63" s="941">
        <v>0</v>
      </c>
      <c r="G63" s="941">
        <v>23</v>
      </c>
      <c r="H63" s="941">
        <v>0</v>
      </c>
      <c r="I63" s="941">
        <v>116</v>
      </c>
      <c r="J63" s="941">
        <v>0</v>
      </c>
      <c r="K63" s="941">
        <v>0</v>
      </c>
      <c r="L63" s="941">
        <v>13</v>
      </c>
      <c r="M63" s="942">
        <v>3</v>
      </c>
      <c r="N63" s="280"/>
      <c r="O63" s="1051">
        <f t="shared" si="4"/>
        <v>116</v>
      </c>
      <c r="P63" s="1052">
        <f t="shared" si="5"/>
        <v>23</v>
      </c>
      <c r="Q63" s="1052">
        <f t="shared" si="6"/>
        <v>5</v>
      </c>
      <c r="R63" s="1053">
        <f t="shared" si="7"/>
        <v>13</v>
      </c>
    </row>
    <row r="64" spans="1:18">
      <c r="A64" s="1045" t="s">
        <v>153</v>
      </c>
      <c r="B64" s="196" t="s">
        <v>154</v>
      </c>
      <c r="C64" s="1061" t="s">
        <v>275</v>
      </c>
      <c r="D64" s="940">
        <v>539</v>
      </c>
      <c r="E64" s="941">
        <v>0</v>
      </c>
      <c r="F64" s="941">
        <v>0</v>
      </c>
      <c r="G64" s="941">
        <v>19</v>
      </c>
      <c r="H64" s="941">
        <v>2</v>
      </c>
      <c r="I64" s="941">
        <v>482</v>
      </c>
      <c r="J64" s="941">
        <v>1</v>
      </c>
      <c r="K64" s="941">
        <v>0</v>
      </c>
      <c r="L64" s="941">
        <v>15</v>
      </c>
      <c r="M64" s="942">
        <v>20</v>
      </c>
      <c r="N64" s="280"/>
      <c r="O64" s="1051">
        <f t="shared" si="4"/>
        <v>482</v>
      </c>
      <c r="P64" s="1052">
        <f t="shared" si="5"/>
        <v>19</v>
      </c>
      <c r="Q64" s="1052">
        <f t="shared" si="6"/>
        <v>22</v>
      </c>
      <c r="R64" s="1053">
        <f t="shared" si="7"/>
        <v>16</v>
      </c>
    </row>
    <row r="65" spans="1:18">
      <c r="A65" s="1045" t="s">
        <v>155</v>
      </c>
      <c r="B65" s="196" t="s">
        <v>156</v>
      </c>
      <c r="C65" s="1061" t="s">
        <v>272</v>
      </c>
      <c r="D65" s="940">
        <v>196</v>
      </c>
      <c r="E65" s="941">
        <v>0</v>
      </c>
      <c r="F65" s="941">
        <v>0</v>
      </c>
      <c r="G65" s="941">
        <v>17</v>
      </c>
      <c r="H65" s="941">
        <v>1</v>
      </c>
      <c r="I65" s="941">
        <v>154</v>
      </c>
      <c r="J65" s="941">
        <v>0</v>
      </c>
      <c r="K65" s="941">
        <v>0</v>
      </c>
      <c r="L65" s="941">
        <v>2</v>
      </c>
      <c r="M65" s="942">
        <v>22</v>
      </c>
      <c r="N65" s="280"/>
      <c r="O65" s="1051">
        <f t="shared" si="4"/>
        <v>154</v>
      </c>
      <c r="P65" s="1052">
        <f t="shared" si="5"/>
        <v>17</v>
      </c>
      <c r="Q65" s="1052">
        <f t="shared" si="6"/>
        <v>23</v>
      </c>
      <c r="R65" s="1053">
        <f t="shared" si="7"/>
        <v>2</v>
      </c>
    </row>
    <row r="66" spans="1:18">
      <c r="A66" s="1045" t="s">
        <v>157</v>
      </c>
      <c r="B66" s="196" t="s">
        <v>158</v>
      </c>
      <c r="C66" s="1061" t="s">
        <v>273</v>
      </c>
      <c r="D66" s="940">
        <v>131</v>
      </c>
      <c r="E66" s="941">
        <v>0</v>
      </c>
      <c r="F66" s="941">
        <v>0</v>
      </c>
      <c r="G66" s="941">
        <v>16</v>
      </c>
      <c r="H66" s="941">
        <v>1</v>
      </c>
      <c r="I66" s="941">
        <v>110</v>
      </c>
      <c r="J66" s="941">
        <v>0</v>
      </c>
      <c r="K66" s="941">
        <v>0</v>
      </c>
      <c r="L66" s="941">
        <v>2</v>
      </c>
      <c r="M66" s="942">
        <v>2</v>
      </c>
      <c r="N66" s="280"/>
      <c r="O66" s="1051">
        <f t="shared" si="4"/>
        <v>110</v>
      </c>
      <c r="P66" s="1052">
        <f t="shared" si="5"/>
        <v>16</v>
      </c>
      <c r="Q66" s="1052">
        <f t="shared" si="6"/>
        <v>3</v>
      </c>
      <c r="R66" s="1053">
        <f t="shared" si="7"/>
        <v>2</v>
      </c>
    </row>
    <row r="67" spans="1:18">
      <c r="A67" s="1045" t="s">
        <v>163</v>
      </c>
      <c r="B67" s="196" t="s">
        <v>164</v>
      </c>
      <c r="C67" s="1061" t="s">
        <v>271</v>
      </c>
      <c r="D67" s="940">
        <v>68</v>
      </c>
      <c r="E67" s="941">
        <v>0</v>
      </c>
      <c r="F67" s="941">
        <v>1</v>
      </c>
      <c r="G67" s="941">
        <v>33</v>
      </c>
      <c r="H67" s="941">
        <v>2</v>
      </c>
      <c r="I67" s="941">
        <v>32</v>
      </c>
      <c r="J67" s="941">
        <v>0</v>
      </c>
      <c r="K67" s="941">
        <v>0</v>
      </c>
      <c r="L67" s="941">
        <v>0</v>
      </c>
      <c r="M67" s="942">
        <v>0</v>
      </c>
      <c r="N67" s="280"/>
      <c r="O67" s="1051">
        <f t="shared" si="4"/>
        <v>32</v>
      </c>
      <c r="P67" s="1052">
        <f t="shared" si="5"/>
        <v>33</v>
      </c>
      <c r="Q67" s="1052">
        <f t="shared" si="6"/>
        <v>3</v>
      </c>
      <c r="R67" s="1053">
        <f t="shared" si="7"/>
        <v>0</v>
      </c>
    </row>
    <row r="68" spans="1:18">
      <c r="A68" s="1045" t="s">
        <v>165</v>
      </c>
      <c r="B68" s="196" t="s">
        <v>166</v>
      </c>
      <c r="C68" s="1061" t="s">
        <v>273</v>
      </c>
      <c r="D68" s="940">
        <v>180</v>
      </c>
      <c r="E68" s="941">
        <v>0</v>
      </c>
      <c r="F68" s="941">
        <v>0</v>
      </c>
      <c r="G68" s="941">
        <v>66</v>
      </c>
      <c r="H68" s="941">
        <v>2</v>
      </c>
      <c r="I68" s="941">
        <v>89</v>
      </c>
      <c r="J68" s="941">
        <v>0</v>
      </c>
      <c r="K68" s="941">
        <v>0</v>
      </c>
      <c r="L68" s="941">
        <v>10</v>
      </c>
      <c r="M68" s="942">
        <v>13</v>
      </c>
      <c r="N68" s="280"/>
      <c r="O68" s="1051">
        <f t="shared" ref="O68:O99" si="8">I68</f>
        <v>89</v>
      </c>
      <c r="P68" s="1052">
        <f t="shared" ref="P68:P99" si="9">G68</f>
        <v>66</v>
      </c>
      <c r="Q68" s="1052">
        <f t="shared" ref="Q68:Q99" si="10">E68+F68+H68+M68</f>
        <v>15</v>
      </c>
      <c r="R68" s="1053">
        <f t="shared" ref="R68:R99" si="11">J68+K68+L68</f>
        <v>10</v>
      </c>
    </row>
    <row r="69" spans="1:18">
      <c r="A69" s="1045" t="s">
        <v>169</v>
      </c>
      <c r="B69" s="196" t="s">
        <v>170</v>
      </c>
      <c r="C69" s="1061" t="s">
        <v>273</v>
      </c>
      <c r="D69" s="940">
        <v>93</v>
      </c>
      <c r="E69" s="941">
        <v>0</v>
      </c>
      <c r="F69" s="941">
        <v>0</v>
      </c>
      <c r="G69" s="941">
        <v>25</v>
      </c>
      <c r="H69" s="941">
        <v>1</v>
      </c>
      <c r="I69" s="941">
        <v>59</v>
      </c>
      <c r="J69" s="941">
        <v>0</v>
      </c>
      <c r="K69" s="941">
        <v>2</v>
      </c>
      <c r="L69" s="941">
        <v>4</v>
      </c>
      <c r="M69" s="942">
        <v>2</v>
      </c>
      <c r="N69" s="280"/>
      <c r="O69" s="1051">
        <f t="shared" si="8"/>
        <v>59</v>
      </c>
      <c r="P69" s="1052">
        <f t="shared" si="9"/>
        <v>25</v>
      </c>
      <c r="Q69" s="1052">
        <f t="shared" si="10"/>
        <v>3</v>
      </c>
      <c r="R69" s="1053">
        <f t="shared" si="11"/>
        <v>6</v>
      </c>
    </row>
    <row r="70" spans="1:18">
      <c r="A70" s="1045" t="s">
        <v>171</v>
      </c>
      <c r="B70" s="196" t="s">
        <v>172</v>
      </c>
      <c r="C70" s="1061" t="s">
        <v>274</v>
      </c>
      <c r="D70" s="940">
        <v>329</v>
      </c>
      <c r="E70" s="941">
        <v>0</v>
      </c>
      <c r="F70" s="941">
        <v>0</v>
      </c>
      <c r="G70" s="941">
        <v>59</v>
      </c>
      <c r="H70" s="941">
        <v>1</v>
      </c>
      <c r="I70" s="941">
        <v>246</v>
      </c>
      <c r="J70" s="941">
        <v>0</v>
      </c>
      <c r="K70" s="941">
        <v>2</v>
      </c>
      <c r="L70" s="941">
        <v>9</v>
      </c>
      <c r="M70" s="942">
        <v>12</v>
      </c>
      <c r="N70" s="280"/>
      <c r="O70" s="1051">
        <f t="shared" si="8"/>
        <v>246</v>
      </c>
      <c r="P70" s="1052">
        <f t="shared" si="9"/>
        <v>59</v>
      </c>
      <c r="Q70" s="1052">
        <f t="shared" si="10"/>
        <v>13</v>
      </c>
      <c r="R70" s="1053">
        <f t="shared" si="11"/>
        <v>11</v>
      </c>
    </row>
    <row r="71" spans="1:18">
      <c r="A71" s="1045" t="s">
        <v>173</v>
      </c>
      <c r="B71" s="196" t="s">
        <v>174</v>
      </c>
      <c r="C71" s="1061" t="s">
        <v>274</v>
      </c>
      <c r="D71" s="940">
        <v>257</v>
      </c>
      <c r="E71" s="941">
        <v>0</v>
      </c>
      <c r="F71" s="941">
        <v>0</v>
      </c>
      <c r="G71" s="941">
        <v>1</v>
      </c>
      <c r="H71" s="941">
        <v>4</v>
      </c>
      <c r="I71" s="941">
        <v>243</v>
      </c>
      <c r="J71" s="941">
        <v>0</v>
      </c>
      <c r="K71" s="941">
        <v>0</v>
      </c>
      <c r="L71" s="941">
        <v>8</v>
      </c>
      <c r="M71" s="942">
        <v>1</v>
      </c>
      <c r="N71" s="280"/>
      <c r="O71" s="1051">
        <f t="shared" si="8"/>
        <v>243</v>
      </c>
      <c r="P71" s="1052">
        <f t="shared" si="9"/>
        <v>1</v>
      </c>
      <c r="Q71" s="1052">
        <f t="shared" si="10"/>
        <v>5</v>
      </c>
      <c r="R71" s="1053">
        <f t="shared" si="11"/>
        <v>8</v>
      </c>
    </row>
    <row r="72" spans="1:18">
      <c r="A72" s="1045" t="s">
        <v>175</v>
      </c>
      <c r="B72" s="196" t="s">
        <v>176</v>
      </c>
      <c r="C72" s="1061" t="s">
        <v>275</v>
      </c>
      <c r="D72" s="940">
        <v>252</v>
      </c>
      <c r="E72" s="941">
        <v>0</v>
      </c>
      <c r="F72" s="941">
        <v>0</v>
      </c>
      <c r="G72" s="941">
        <v>14</v>
      </c>
      <c r="H72" s="941">
        <v>1</v>
      </c>
      <c r="I72" s="941">
        <v>216</v>
      </c>
      <c r="J72" s="941">
        <v>0</v>
      </c>
      <c r="K72" s="941">
        <v>0</v>
      </c>
      <c r="L72" s="941">
        <v>10</v>
      </c>
      <c r="M72" s="942">
        <v>11</v>
      </c>
      <c r="N72" s="280"/>
      <c r="O72" s="1051">
        <f t="shared" si="8"/>
        <v>216</v>
      </c>
      <c r="P72" s="1052">
        <f t="shared" si="9"/>
        <v>14</v>
      </c>
      <c r="Q72" s="1052">
        <f t="shared" si="10"/>
        <v>12</v>
      </c>
      <c r="R72" s="1053">
        <f t="shared" si="11"/>
        <v>10</v>
      </c>
    </row>
    <row r="73" spans="1:18">
      <c r="A73" s="1045" t="s">
        <v>179</v>
      </c>
      <c r="B73" s="196" t="s">
        <v>180</v>
      </c>
      <c r="C73" s="1061" t="s">
        <v>272</v>
      </c>
      <c r="D73" s="940">
        <v>433</v>
      </c>
      <c r="E73" s="941">
        <v>0</v>
      </c>
      <c r="F73" s="941">
        <v>0</v>
      </c>
      <c r="G73" s="941">
        <v>84</v>
      </c>
      <c r="H73" s="941">
        <v>1</v>
      </c>
      <c r="I73" s="941">
        <v>321</v>
      </c>
      <c r="J73" s="941">
        <v>0</v>
      </c>
      <c r="K73" s="941">
        <v>0</v>
      </c>
      <c r="L73" s="941">
        <v>17</v>
      </c>
      <c r="M73" s="942">
        <v>10</v>
      </c>
      <c r="N73" s="280"/>
      <c r="O73" s="1051">
        <f t="shared" si="8"/>
        <v>321</v>
      </c>
      <c r="P73" s="1052">
        <f t="shared" si="9"/>
        <v>84</v>
      </c>
      <c r="Q73" s="1052">
        <f t="shared" si="10"/>
        <v>11</v>
      </c>
      <c r="R73" s="1053">
        <f t="shared" si="11"/>
        <v>17</v>
      </c>
    </row>
    <row r="74" spans="1:18">
      <c r="A74" s="1045" t="s">
        <v>183</v>
      </c>
      <c r="B74" s="196" t="s">
        <v>184</v>
      </c>
      <c r="C74" s="1061" t="s">
        <v>273</v>
      </c>
      <c r="D74" s="940">
        <v>72</v>
      </c>
      <c r="E74" s="941">
        <v>0</v>
      </c>
      <c r="F74" s="941">
        <v>0</v>
      </c>
      <c r="G74" s="941">
        <v>9</v>
      </c>
      <c r="H74" s="941">
        <v>0</v>
      </c>
      <c r="I74" s="941">
        <v>49</v>
      </c>
      <c r="J74" s="941">
        <v>0</v>
      </c>
      <c r="K74" s="941">
        <v>0</v>
      </c>
      <c r="L74" s="941">
        <v>11</v>
      </c>
      <c r="M74" s="942">
        <v>3</v>
      </c>
      <c r="N74" s="280"/>
      <c r="O74" s="1051">
        <f t="shared" si="8"/>
        <v>49</v>
      </c>
      <c r="P74" s="1052">
        <f t="shared" si="9"/>
        <v>9</v>
      </c>
      <c r="Q74" s="1052">
        <f t="shared" si="10"/>
        <v>3</v>
      </c>
      <c r="R74" s="1053">
        <f t="shared" si="11"/>
        <v>11</v>
      </c>
    </row>
    <row r="75" spans="1:18">
      <c r="A75" s="1045" t="s">
        <v>185</v>
      </c>
      <c r="B75" s="196" t="s">
        <v>186</v>
      </c>
      <c r="C75" s="1061" t="s">
        <v>273</v>
      </c>
      <c r="D75" s="940">
        <v>197</v>
      </c>
      <c r="E75" s="941">
        <v>0</v>
      </c>
      <c r="F75" s="941">
        <v>0</v>
      </c>
      <c r="G75" s="941">
        <v>81</v>
      </c>
      <c r="H75" s="941">
        <v>0</v>
      </c>
      <c r="I75" s="941">
        <v>94</v>
      </c>
      <c r="J75" s="941">
        <v>0</v>
      </c>
      <c r="K75" s="941">
        <v>1</v>
      </c>
      <c r="L75" s="941">
        <v>8</v>
      </c>
      <c r="M75" s="942">
        <v>13</v>
      </c>
      <c r="N75" s="280"/>
      <c r="O75" s="1051">
        <f t="shared" si="8"/>
        <v>94</v>
      </c>
      <c r="P75" s="1052">
        <f t="shared" si="9"/>
        <v>81</v>
      </c>
      <c r="Q75" s="1052">
        <f t="shared" si="10"/>
        <v>13</v>
      </c>
      <c r="R75" s="1053">
        <f t="shared" si="11"/>
        <v>9</v>
      </c>
    </row>
    <row r="76" spans="1:18">
      <c r="A76" s="1045" t="s">
        <v>187</v>
      </c>
      <c r="B76" s="196" t="s">
        <v>188</v>
      </c>
      <c r="C76" s="1061" t="s">
        <v>271</v>
      </c>
      <c r="D76" s="940">
        <v>313</v>
      </c>
      <c r="E76" s="941">
        <v>0</v>
      </c>
      <c r="F76" s="941">
        <v>1</v>
      </c>
      <c r="G76" s="941">
        <v>86</v>
      </c>
      <c r="H76" s="941">
        <v>4</v>
      </c>
      <c r="I76" s="941">
        <v>180</v>
      </c>
      <c r="J76" s="941">
        <v>0</v>
      </c>
      <c r="K76" s="941">
        <v>0</v>
      </c>
      <c r="L76" s="941">
        <v>23</v>
      </c>
      <c r="M76" s="942">
        <v>19</v>
      </c>
      <c r="N76" s="280"/>
      <c r="O76" s="1051">
        <f t="shared" si="8"/>
        <v>180</v>
      </c>
      <c r="P76" s="1052">
        <f t="shared" si="9"/>
        <v>86</v>
      </c>
      <c r="Q76" s="1052">
        <f t="shared" si="10"/>
        <v>24</v>
      </c>
      <c r="R76" s="1053">
        <f t="shared" si="11"/>
        <v>23</v>
      </c>
    </row>
    <row r="77" spans="1:18">
      <c r="A77" s="1045" t="s">
        <v>189</v>
      </c>
      <c r="B77" s="196" t="s">
        <v>190</v>
      </c>
      <c r="C77" s="1061" t="s">
        <v>274</v>
      </c>
      <c r="D77" s="940">
        <v>4705</v>
      </c>
      <c r="E77" s="941">
        <v>6</v>
      </c>
      <c r="F77" s="941">
        <v>89</v>
      </c>
      <c r="G77" s="941">
        <v>1554</v>
      </c>
      <c r="H77" s="941">
        <v>22</v>
      </c>
      <c r="I77" s="941">
        <v>2478</v>
      </c>
      <c r="J77" s="941">
        <v>2</v>
      </c>
      <c r="K77" s="941">
        <v>10</v>
      </c>
      <c r="L77" s="941">
        <v>198</v>
      </c>
      <c r="M77" s="942">
        <v>346</v>
      </c>
      <c r="N77" s="280"/>
      <c r="O77" s="1051">
        <f t="shared" si="8"/>
        <v>2478</v>
      </c>
      <c r="P77" s="1052">
        <f t="shared" si="9"/>
        <v>1554</v>
      </c>
      <c r="Q77" s="1052">
        <f t="shared" si="10"/>
        <v>463</v>
      </c>
      <c r="R77" s="1053">
        <f t="shared" si="11"/>
        <v>210</v>
      </c>
    </row>
    <row r="78" spans="1:18">
      <c r="A78" s="1045" t="s">
        <v>191</v>
      </c>
      <c r="B78" s="196" t="s">
        <v>192</v>
      </c>
      <c r="C78" s="1061" t="s">
        <v>275</v>
      </c>
      <c r="D78" s="940">
        <v>769</v>
      </c>
      <c r="E78" s="941">
        <v>0</v>
      </c>
      <c r="F78" s="941">
        <v>0</v>
      </c>
      <c r="G78" s="941">
        <v>55</v>
      </c>
      <c r="H78" s="941">
        <v>2</v>
      </c>
      <c r="I78" s="941">
        <v>644</v>
      </c>
      <c r="J78" s="941">
        <v>0</v>
      </c>
      <c r="K78" s="941">
        <v>1</v>
      </c>
      <c r="L78" s="941">
        <v>19</v>
      </c>
      <c r="M78" s="942">
        <v>48</v>
      </c>
      <c r="N78" s="280"/>
      <c r="O78" s="1051">
        <f t="shared" si="8"/>
        <v>644</v>
      </c>
      <c r="P78" s="1052">
        <f t="shared" si="9"/>
        <v>55</v>
      </c>
      <c r="Q78" s="1052">
        <f t="shared" si="10"/>
        <v>50</v>
      </c>
      <c r="R78" s="1053">
        <f t="shared" si="11"/>
        <v>20</v>
      </c>
    </row>
    <row r="79" spans="1:18">
      <c r="A79" s="1045" t="s">
        <v>195</v>
      </c>
      <c r="B79" s="196" t="s">
        <v>196</v>
      </c>
      <c r="C79" s="1061" t="s">
        <v>274</v>
      </c>
      <c r="D79" s="940">
        <v>100</v>
      </c>
      <c r="E79" s="941">
        <v>1</v>
      </c>
      <c r="F79" s="941">
        <v>0</v>
      </c>
      <c r="G79" s="941">
        <v>11</v>
      </c>
      <c r="H79" s="941">
        <v>2</v>
      </c>
      <c r="I79" s="941">
        <v>81</v>
      </c>
      <c r="J79" s="941">
        <v>0</v>
      </c>
      <c r="K79" s="941">
        <v>0</v>
      </c>
      <c r="L79" s="941">
        <v>4</v>
      </c>
      <c r="M79" s="942">
        <v>1</v>
      </c>
      <c r="N79" s="280"/>
      <c r="O79" s="1051">
        <f t="shared" si="8"/>
        <v>81</v>
      </c>
      <c r="P79" s="1052">
        <f t="shared" si="9"/>
        <v>11</v>
      </c>
      <c r="Q79" s="1052">
        <f t="shared" si="10"/>
        <v>4</v>
      </c>
      <c r="R79" s="1053">
        <f t="shared" si="11"/>
        <v>4</v>
      </c>
    </row>
    <row r="80" spans="1:18">
      <c r="A80" s="1045" t="s">
        <v>199</v>
      </c>
      <c r="B80" s="196" t="s">
        <v>279</v>
      </c>
      <c r="C80" s="1061" t="s">
        <v>273</v>
      </c>
      <c r="D80" s="940">
        <v>51</v>
      </c>
      <c r="E80" s="941">
        <v>0</v>
      </c>
      <c r="F80" s="941">
        <v>0</v>
      </c>
      <c r="G80" s="941">
        <v>18</v>
      </c>
      <c r="H80" s="941">
        <v>1</v>
      </c>
      <c r="I80" s="941">
        <v>19</v>
      </c>
      <c r="J80" s="941">
        <v>0</v>
      </c>
      <c r="K80" s="941">
        <v>0</v>
      </c>
      <c r="L80" s="941">
        <v>8</v>
      </c>
      <c r="M80" s="942">
        <v>5</v>
      </c>
      <c r="N80" s="280"/>
      <c r="O80" s="1051">
        <f t="shared" si="8"/>
        <v>19</v>
      </c>
      <c r="P80" s="1052">
        <f t="shared" si="9"/>
        <v>18</v>
      </c>
      <c r="Q80" s="1052">
        <f t="shared" si="10"/>
        <v>6</v>
      </c>
      <c r="R80" s="1053">
        <f t="shared" si="11"/>
        <v>8</v>
      </c>
    </row>
    <row r="81" spans="1:18">
      <c r="A81" s="1045" t="s">
        <v>203</v>
      </c>
      <c r="B81" s="196" t="s">
        <v>311</v>
      </c>
      <c r="C81" s="1061" t="s">
        <v>272</v>
      </c>
      <c r="D81" s="940">
        <v>1250</v>
      </c>
      <c r="E81" s="941">
        <v>0</v>
      </c>
      <c r="F81" s="941">
        <v>6</v>
      </c>
      <c r="G81" s="941">
        <v>141</v>
      </c>
      <c r="H81" s="941">
        <v>5</v>
      </c>
      <c r="I81" s="941">
        <v>1012</v>
      </c>
      <c r="J81" s="941">
        <v>0</v>
      </c>
      <c r="K81" s="941">
        <v>10</v>
      </c>
      <c r="L81" s="941">
        <v>44</v>
      </c>
      <c r="M81" s="942">
        <v>32</v>
      </c>
      <c r="N81" s="280"/>
      <c r="O81" s="1051">
        <f t="shared" si="8"/>
        <v>1012</v>
      </c>
      <c r="P81" s="1052">
        <f t="shared" si="9"/>
        <v>141</v>
      </c>
      <c r="Q81" s="1052">
        <f t="shared" si="10"/>
        <v>43</v>
      </c>
      <c r="R81" s="1053">
        <f t="shared" si="11"/>
        <v>54</v>
      </c>
    </row>
    <row r="82" spans="1:18">
      <c r="A82" s="1045" t="s">
        <v>205</v>
      </c>
      <c r="B82" s="196" t="s">
        <v>303</v>
      </c>
      <c r="C82" s="1061" t="s">
        <v>272</v>
      </c>
      <c r="D82" s="940">
        <v>413</v>
      </c>
      <c r="E82" s="941">
        <v>0</v>
      </c>
      <c r="F82" s="941">
        <v>0</v>
      </c>
      <c r="G82" s="941">
        <v>26</v>
      </c>
      <c r="H82" s="941">
        <v>1</v>
      </c>
      <c r="I82" s="941">
        <v>361</v>
      </c>
      <c r="J82" s="941">
        <v>0</v>
      </c>
      <c r="K82" s="941">
        <v>0</v>
      </c>
      <c r="L82" s="941">
        <v>1</v>
      </c>
      <c r="M82" s="942">
        <v>24</v>
      </c>
      <c r="N82" s="280"/>
      <c r="O82" s="1051">
        <f t="shared" si="8"/>
        <v>361</v>
      </c>
      <c r="P82" s="1052">
        <f t="shared" si="9"/>
        <v>26</v>
      </c>
      <c r="Q82" s="1052">
        <f t="shared" si="10"/>
        <v>25</v>
      </c>
      <c r="R82" s="1053">
        <f t="shared" si="11"/>
        <v>1</v>
      </c>
    </row>
    <row r="83" spans="1:18">
      <c r="A83" s="1045" t="s">
        <v>207</v>
      </c>
      <c r="B83" s="196" t="s">
        <v>304</v>
      </c>
      <c r="C83" s="1061" t="s">
        <v>274</v>
      </c>
      <c r="D83" s="940">
        <v>2412</v>
      </c>
      <c r="E83" s="941">
        <v>0</v>
      </c>
      <c r="F83" s="941">
        <v>1</v>
      </c>
      <c r="G83" s="941">
        <v>132</v>
      </c>
      <c r="H83" s="941">
        <v>7</v>
      </c>
      <c r="I83" s="941">
        <v>2121</v>
      </c>
      <c r="J83" s="941">
        <v>0</v>
      </c>
      <c r="K83" s="941">
        <v>0</v>
      </c>
      <c r="L83" s="941">
        <v>37</v>
      </c>
      <c r="M83" s="942">
        <v>114</v>
      </c>
      <c r="N83" s="280"/>
      <c r="O83" s="1051">
        <f t="shared" si="8"/>
        <v>2121</v>
      </c>
      <c r="P83" s="1052">
        <f t="shared" si="9"/>
        <v>132</v>
      </c>
      <c r="Q83" s="1052">
        <f t="shared" si="10"/>
        <v>122</v>
      </c>
      <c r="R83" s="1053">
        <f t="shared" si="11"/>
        <v>37</v>
      </c>
    </row>
    <row r="84" spans="1:18">
      <c r="A84" s="1045" t="s">
        <v>209</v>
      </c>
      <c r="B84" s="196" t="s">
        <v>210</v>
      </c>
      <c r="C84" s="1061" t="s">
        <v>275</v>
      </c>
      <c r="D84" s="940">
        <v>683</v>
      </c>
      <c r="E84" s="941">
        <v>0</v>
      </c>
      <c r="F84" s="941">
        <v>0</v>
      </c>
      <c r="G84" s="941">
        <v>4</v>
      </c>
      <c r="H84" s="941">
        <v>6</v>
      </c>
      <c r="I84" s="941">
        <v>659</v>
      </c>
      <c r="J84" s="941">
        <v>3</v>
      </c>
      <c r="K84" s="941">
        <v>0</v>
      </c>
      <c r="L84" s="941">
        <v>6</v>
      </c>
      <c r="M84" s="942">
        <v>5</v>
      </c>
      <c r="N84" s="280"/>
      <c r="O84" s="1051">
        <f t="shared" si="8"/>
        <v>659</v>
      </c>
      <c r="P84" s="1052">
        <f t="shared" si="9"/>
        <v>4</v>
      </c>
      <c r="Q84" s="1052">
        <f t="shared" si="10"/>
        <v>11</v>
      </c>
      <c r="R84" s="1053">
        <f t="shared" si="11"/>
        <v>9</v>
      </c>
    </row>
    <row r="85" spans="1:18">
      <c r="A85" s="1045" t="s">
        <v>211</v>
      </c>
      <c r="B85" s="196" t="s">
        <v>212</v>
      </c>
      <c r="C85" s="1061" t="s">
        <v>275</v>
      </c>
      <c r="D85" s="940">
        <v>417</v>
      </c>
      <c r="E85" s="941">
        <v>0</v>
      </c>
      <c r="F85" s="941">
        <v>0</v>
      </c>
      <c r="G85" s="941">
        <v>4</v>
      </c>
      <c r="H85" s="941">
        <v>0</v>
      </c>
      <c r="I85" s="941">
        <v>400</v>
      </c>
      <c r="J85" s="941">
        <v>0</v>
      </c>
      <c r="K85" s="941">
        <v>0</v>
      </c>
      <c r="L85" s="941">
        <v>3</v>
      </c>
      <c r="M85" s="942">
        <v>10</v>
      </c>
      <c r="N85" s="280"/>
      <c r="O85" s="1051">
        <f t="shared" si="8"/>
        <v>400</v>
      </c>
      <c r="P85" s="1052">
        <f t="shared" si="9"/>
        <v>4</v>
      </c>
      <c r="Q85" s="1052">
        <f t="shared" si="10"/>
        <v>10</v>
      </c>
      <c r="R85" s="1053">
        <f t="shared" si="11"/>
        <v>3</v>
      </c>
    </row>
    <row r="86" spans="1:18">
      <c r="A86" s="1045" t="s">
        <v>213</v>
      </c>
      <c r="B86" s="196" t="s">
        <v>214</v>
      </c>
      <c r="C86" s="1061" t="s">
        <v>274</v>
      </c>
      <c r="D86" s="940">
        <v>531</v>
      </c>
      <c r="E86" s="941">
        <v>0</v>
      </c>
      <c r="F86" s="941">
        <v>1</v>
      </c>
      <c r="G86" s="941">
        <v>13</v>
      </c>
      <c r="H86" s="941">
        <v>2</v>
      </c>
      <c r="I86" s="941">
        <v>480</v>
      </c>
      <c r="J86" s="941">
        <v>1</v>
      </c>
      <c r="K86" s="941">
        <v>0</v>
      </c>
      <c r="L86" s="941">
        <v>25</v>
      </c>
      <c r="M86" s="942">
        <v>9</v>
      </c>
      <c r="N86" s="280"/>
      <c r="O86" s="1051">
        <f t="shared" si="8"/>
        <v>480</v>
      </c>
      <c r="P86" s="1052">
        <f t="shared" si="9"/>
        <v>13</v>
      </c>
      <c r="Q86" s="1052">
        <f t="shared" si="10"/>
        <v>12</v>
      </c>
      <c r="R86" s="1053">
        <f t="shared" si="11"/>
        <v>26</v>
      </c>
    </row>
    <row r="87" spans="1:18">
      <c r="A87" s="1045" t="s">
        <v>215</v>
      </c>
      <c r="B87" s="196" t="s">
        <v>216</v>
      </c>
      <c r="C87" s="1061" t="s">
        <v>275</v>
      </c>
      <c r="D87" s="940">
        <v>799</v>
      </c>
      <c r="E87" s="941">
        <v>0</v>
      </c>
      <c r="F87" s="941">
        <v>0</v>
      </c>
      <c r="G87" s="941">
        <v>19</v>
      </c>
      <c r="H87" s="941">
        <v>5</v>
      </c>
      <c r="I87" s="941">
        <v>747</v>
      </c>
      <c r="J87" s="941">
        <v>0</v>
      </c>
      <c r="K87" s="941">
        <v>1</v>
      </c>
      <c r="L87" s="941">
        <v>12</v>
      </c>
      <c r="M87" s="942">
        <v>15</v>
      </c>
      <c r="N87" s="280"/>
      <c r="O87" s="1051">
        <f t="shared" si="8"/>
        <v>747</v>
      </c>
      <c r="P87" s="1052">
        <f t="shared" si="9"/>
        <v>19</v>
      </c>
      <c r="Q87" s="1052">
        <f t="shared" si="10"/>
        <v>20</v>
      </c>
      <c r="R87" s="1053">
        <f t="shared" si="11"/>
        <v>13</v>
      </c>
    </row>
    <row r="88" spans="1:18">
      <c r="A88" s="1045" t="s">
        <v>217</v>
      </c>
      <c r="B88" s="196" t="s">
        <v>218</v>
      </c>
      <c r="C88" s="1061" t="s">
        <v>271</v>
      </c>
      <c r="D88" s="940">
        <v>130</v>
      </c>
      <c r="E88" s="941">
        <v>1</v>
      </c>
      <c r="F88" s="941">
        <v>0</v>
      </c>
      <c r="G88" s="941">
        <v>65</v>
      </c>
      <c r="H88" s="941">
        <v>0</v>
      </c>
      <c r="I88" s="941">
        <v>55</v>
      </c>
      <c r="J88" s="941">
        <v>0</v>
      </c>
      <c r="K88" s="941">
        <v>0</v>
      </c>
      <c r="L88" s="941">
        <v>4</v>
      </c>
      <c r="M88" s="942">
        <v>5</v>
      </c>
      <c r="N88" s="280"/>
      <c r="O88" s="1051">
        <f t="shared" si="8"/>
        <v>55</v>
      </c>
      <c r="P88" s="1052">
        <f t="shared" si="9"/>
        <v>65</v>
      </c>
      <c r="Q88" s="1052">
        <f t="shared" si="10"/>
        <v>6</v>
      </c>
      <c r="R88" s="1053">
        <f t="shared" si="11"/>
        <v>4</v>
      </c>
    </row>
    <row r="89" spans="1:18">
      <c r="A89" s="1045" t="s">
        <v>219</v>
      </c>
      <c r="B89" s="196" t="s">
        <v>220</v>
      </c>
      <c r="C89" s="1061" t="s">
        <v>274</v>
      </c>
      <c r="D89" s="940">
        <v>1481</v>
      </c>
      <c r="E89" s="941">
        <v>0</v>
      </c>
      <c r="F89" s="941">
        <v>7</v>
      </c>
      <c r="G89" s="941">
        <v>265</v>
      </c>
      <c r="H89" s="941">
        <v>6</v>
      </c>
      <c r="I89" s="941">
        <v>872</v>
      </c>
      <c r="J89" s="941">
        <v>0</v>
      </c>
      <c r="K89" s="941">
        <v>3</v>
      </c>
      <c r="L89" s="941">
        <v>267</v>
      </c>
      <c r="M89" s="942">
        <v>61</v>
      </c>
      <c r="N89" s="280"/>
      <c r="O89" s="1051">
        <f t="shared" si="8"/>
        <v>872</v>
      </c>
      <c r="P89" s="1052">
        <f t="shared" si="9"/>
        <v>265</v>
      </c>
      <c r="Q89" s="1052">
        <f t="shared" si="10"/>
        <v>74</v>
      </c>
      <c r="R89" s="1053">
        <f t="shared" si="11"/>
        <v>270</v>
      </c>
    </row>
    <row r="90" spans="1:18">
      <c r="A90" s="1045" t="s">
        <v>221</v>
      </c>
      <c r="B90" s="196" t="s">
        <v>222</v>
      </c>
      <c r="C90" s="1061" t="s">
        <v>274</v>
      </c>
      <c r="D90" s="940">
        <v>726</v>
      </c>
      <c r="E90" s="941">
        <v>1</v>
      </c>
      <c r="F90" s="941">
        <v>3</v>
      </c>
      <c r="G90" s="941">
        <v>210</v>
      </c>
      <c r="H90" s="941">
        <v>6</v>
      </c>
      <c r="I90" s="941">
        <v>437</v>
      </c>
      <c r="J90" s="941">
        <v>0</v>
      </c>
      <c r="K90" s="941">
        <v>0</v>
      </c>
      <c r="L90" s="941">
        <v>14</v>
      </c>
      <c r="M90" s="942">
        <v>55</v>
      </c>
      <c r="N90" s="280"/>
      <c r="O90" s="1051">
        <f t="shared" si="8"/>
        <v>437</v>
      </c>
      <c r="P90" s="1052">
        <f t="shared" si="9"/>
        <v>210</v>
      </c>
      <c r="Q90" s="1052">
        <f t="shared" si="10"/>
        <v>65</v>
      </c>
      <c r="R90" s="1053">
        <f t="shared" si="11"/>
        <v>14</v>
      </c>
    </row>
    <row r="91" spans="1:18">
      <c r="A91" s="1045" t="s">
        <v>225</v>
      </c>
      <c r="B91" s="196" t="s">
        <v>226</v>
      </c>
      <c r="C91" s="1061" t="s">
        <v>271</v>
      </c>
      <c r="D91" s="940">
        <v>53</v>
      </c>
      <c r="E91" s="941">
        <v>0</v>
      </c>
      <c r="F91" s="941">
        <v>0</v>
      </c>
      <c r="G91" s="941">
        <v>14</v>
      </c>
      <c r="H91" s="941">
        <v>0</v>
      </c>
      <c r="I91" s="941">
        <v>37</v>
      </c>
      <c r="J91" s="941">
        <v>0</v>
      </c>
      <c r="K91" s="941">
        <v>0</v>
      </c>
      <c r="L91" s="941">
        <v>2</v>
      </c>
      <c r="M91" s="942">
        <v>0</v>
      </c>
      <c r="N91" s="280"/>
      <c r="O91" s="1051">
        <f t="shared" si="8"/>
        <v>37</v>
      </c>
      <c r="P91" s="1052">
        <f t="shared" si="9"/>
        <v>14</v>
      </c>
      <c r="Q91" s="1052">
        <f t="shared" si="10"/>
        <v>0</v>
      </c>
      <c r="R91" s="1053">
        <f t="shared" si="11"/>
        <v>2</v>
      </c>
    </row>
    <row r="92" spans="1:18">
      <c r="A92" s="1045" t="s">
        <v>227</v>
      </c>
      <c r="B92" s="196" t="s">
        <v>228</v>
      </c>
      <c r="C92" s="1061" t="s">
        <v>271</v>
      </c>
      <c r="D92" s="940">
        <v>74</v>
      </c>
      <c r="E92" s="941">
        <v>1</v>
      </c>
      <c r="F92" s="941">
        <v>0</v>
      </c>
      <c r="G92" s="941">
        <v>42</v>
      </c>
      <c r="H92" s="941">
        <v>0</v>
      </c>
      <c r="I92" s="941">
        <v>19</v>
      </c>
      <c r="J92" s="941">
        <v>0</v>
      </c>
      <c r="K92" s="941">
        <v>0</v>
      </c>
      <c r="L92" s="941">
        <v>12</v>
      </c>
      <c r="M92" s="942">
        <v>0</v>
      </c>
      <c r="N92" s="280"/>
      <c r="O92" s="1051">
        <f t="shared" si="8"/>
        <v>19</v>
      </c>
      <c r="P92" s="1052">
        <f t="shared" si="9"/>
        <v>42</v>
      </c>
      <c r="Q92" s="1052">
        <f t="shared" si="10"/>
        <v>1</v>
      </c>
      <c r="R92" s="1053">
        <f t="shared" si="11"/>
        <v>12</v>
      </c>
    </row>
    <row r="93" spans="1:18">
      <c r="A93" s="1045" t="s">
        <v>229</v>
      </c>
      <c r="B93" s="196" t="s">
        <v>230</v>
      </c>
      <c r="C93" s="1061" t="s">
        <v>275</v>
      </c>
      <c r="D93" s="940">
        <v>498</v>
      </c>
      <c r="E93" s="941">
        <v>0</v>
      </c>
      <c r="F93" s="941">
        <v>0</v>
      </c>
      <c r="G93" s="941">
        <v>7</v>
      </c>
      <c r="H93" s="941">
        <v>1</v>
      </c>
      <c r="I93" s="941">
        <v>449</v>
      </c>
      <c r="J93" s="941">
        <v>1</v>
      </c>
      <c r="K93" s="941">
        <v>0</v>
      </c>
      <c r="L93" s="941">
        <v>11</v>
      </c>
      <c r="M93" s="942">
        <v>29</v>
      </c>
      <c r="N93" s="280"/>
      <c r="O93" s="1051">
        <f t="shared" si="8"/>
        <v>449</v>
      </c>
      <c r="P93" s="1052">
        <f t="shared" si="9"/>
        <v>7</v>
      </c>
      <c r="Q93" s="1052">
        <f t="shared" si="10"/>
        <v>30</v>
      </c>
      <c r="R93" s="1053">
        <f t="shared" si="11"/>
        <v>12</v>
      </c>
    </row>
    <row r="94" spans="1:18">
      <c r="A94" s="1045" t="s">
        <v>233</v>
      </c>
      <c r="B94" s="196" t="s">
        <v>234</v>
      </c>
      <c r="C94" s="1061" t="s">
        <v>274</v>
      </c>
      <c r="D94" s="940">
        <v>540</v>
      </c>
      <c r="E94" s="941">
        <v>2</v>
      </c>
      <c r="F94" s="941">
        <v>1</v>
      </c>
      <c r="G94" s="941">
        <v>28</v>
      </c>
      <c r="H94" s="941">
        <v>1</v>
      </c>
      <c r="I94" s="941">
        <v>391</v>
      </c>
      <c r="J94" s="941">
        <v>2</v>
      </c>
      <c r="K94" s="941">
        <v>3</v>
      </c>
      <c r="L94" s="941">
        <v>77</v>
      </c>
      <c r="M94" s="942">
        <v>35</v>
      </c>
      <c r="N94" s="280"/>
      <c r="O94" s="1051">
        <f t="shared" si="8"/>
        <v>391</v>
      </c>
      <c r="P94" s="1052">
        <f t="shared" si="9"/>
        <v>28</v>
      </c>
      <c r="Q94" s="1052">
        <f t="shared" si="10"/>
        <v>39</v>
      </c>
      <c r="R94" s="1053">
        <f t="shared" si="11"/>
        <v>82</v>
      </c>
    </row>
    <row r="95" spans="1:18">
      <c r="A95" s="1045" t="s">
        <v>235</v>
      </c>
      <c r="B95" s="196" t="s">
        <v>236</v>
      </c>
      <c r="C95" s="1061" t="s">
        <v>275</v>
      </c>
      <c r="D95" s="940">
        <v>768</v>
      </c>
      <c r="E95" s="941">
        <v>0</v>
      </c>
      <c r="F95" s="941">
        <v>1</v>
      </c>
      <c r="G95" s="941">
        <v>13</v>
      </c>
      <c r="H95" s="941">
        <v>33</v>
      </c>
      <c r="I95" s="941">
        <v>705</v>
      </c>
      <c r="J95" s="941">
        <v>2</v>
      </c>
      <c r="K95" s="941">
        <v>0</v>
      </c>
      <c r="L95" s="941">
        <v>13</v>
      </c>
      <c r="M95" s="942">
        <v>1</v>
      </c>
      <c r="N95" s="280"/>
      <c r="O95" s="1051">
        <f t="shared" si="8"/>
        <v>705</v>
      </c>
      <c r="P95" s="1052">
        <f t="shared" si="9"/>
        <v>13</v>
      </c>
      <c r="Q95" s="1052">
        <f t="shared" si="10"/>
        <v>35</v>
      </c>
      <c r="R95" s="1053">
        <f t="shared" si="11"/>
        <v>15</v>
      </c>
    </row>
    <row r="96" spans="1:18">
      <c r="A96" s="1045" t="s">
        <v>237</v>
      </c>
      <c r="B96" s="196" t="s">
        <v>238</v>
      </c>
      <c r="C96" s="1061" t="s">
        <v>273</v>
      </c>
      <c r="D96" s="940">
        <v>223</v>
      </c>
      <c r="E96" s="941">
        <v>0</v>
      </c>
      <c r="F96" s="941">
        <v>0</v>
      </c>
      <c r="G96" s="941">
        <v>21</v>
      </c>
      <c r="H96" s="941">
        <v>2</v>
      </c>
      <c r="I96" s="941">
        <v>72</v>
      </c>
      <c r="J96" s="941">
        <v>0</v>
      </c>
      <c r="K96" s="941">
        <v>0</v>
      </c>
      <c r="L96" s="941">
        <v>128</v>
      </c>
      <c r="M96" s="942">
        <v>0</v>
      </c>
      <c r="N96" s="280"/>
      <c r="O96" s="1051">
        <f t="shared" si="8"/>
        <v>72</v>
      </c>
      <c r="P96" s="1052">
        <f t="shared" si="9"/>
        <v>21</v>
      </c>
      <c r="Q96" s="1052">
        <f t="shared" si="10"/>
        <v>2</v>
      </c>
      <c r="R96" s="1053">
        <f t="shared" si="11"/>
        <v>128</v>
      </c>
    </row>
    <row r="97" spans="1:18">
      <c r="A97" s="1045" t="s">
        <v>243</v>
      </c>
      <c r="B97" s="196" t="s">
        <v>244</v>
      </c>
      <c r="C97" s="1061" t="s">
        <v>275</v>
      </c>
      <c r="D97" s="940">
        <v>1151</v>
      </c>
      <c r="E97" s="941">
        <v>0</v>
      </c>
      <c r="F97" s="941">
        <v>0</v>
      </c>
      <c r="G97" s="941">
        <v>16</v>
      </c>
      <c r="H97" s="941">
        <v>27</v>
      </c>
      <c r="I97" s="941">
        <v>1058</v>
      </c>
      <c r="J97" s="941">
        <v>0</v>
      </c>
      <c r="K97" s="941">
        <v>1</v>
      </c>
      <c r="L97" s="941">
        <v>3</v>
      </c>
      <c r="M97" s="942">
        <v>46</v>
      </c>
      <c r="N97" s="280"/>
      <c r="O97" s="1051">
        <f t="shared" si="8"/>
        <v>1058</v>
      </c>
      <c r="P97" s="1052">
        <f t="shared" si="9"/>
        <v>16</v>
      </c>
      <c r="Q97" s="1052">
        <f t="shared" si="10"/>
        <v>73</v>
      </c>
      <c r="R97" s="1053">
        <f t="shared" si="11"/>
        <v>4</v>
      </c>
    </row>
    <row r="98" spans="1:18">
      <c r="A98" s="1045" t="s">
        <v>245</v>
      </c>
      <c r="B98" s="196" t="s">
        <v>246</v>
      </c>
      <c r="C98" s="1061" t="s">
        <v>275</v>
      </c>
      <c r="D98" s="940">
        <v>472</v>
      </c>
      <c r="E98" s="941">
        <v>0</v>
      </c>
      <c r="F98" s="941">
        <v>0</v>
      </c>
      <c r="G98" s="941">
        <v>20</v>
      </c>
      <c r="H98" s="941">
        <v>5</v>
      </c>
      <c r="I98" s="941">
        <v>410</v>
      </c>
      <c r="J98" s="941">
        <v>1</v>
      </c>
      <c r="K98" s="941">
        <v>0</v>
      </c>
      <c r="L98" s="941">
        <v>13</v>
      </c>
      <c r="M98" s="942">
        <v>23</v>
      </c>
      <c r="N98" s="280"/>
      <c r="O98" s="1051">
        <f t="shared" si="8"/>
        <v>410</v>
      </c>
      <c r="P98" s="1052">
        <f t="shared" si="9"/>
        <v>20</v>
      </c>
      <c r="Q98" s="1052">
        <f t="shared" si="10"/>
        <v>28</v>
      </c>
      <c r="R98" s="1053">
        <f t="shared" si="11"/>
        <v>14</v>
      </c>
    </row>
    <row r="99" spans="1:18">
      <c r="A99" s="1045" t="s">
        <v>247</v>
      </c>
      <c r="B99" s="196" t="s">
        <v>248</v>
      </c>
      <c r="C99" s="1061" t="s">
        <v>271</v>
      </c>
      <c r="D99" s="940">
        <v>844</v>
      </c>
      <c r="E99" s="941">
        <v>1</v>
      </c>
      <c r="F99" s="941">
        <v>7</v>
      </c>
      <c r="G99" s="941">
        <v>183</v>
      </c>
      <c r="H99" s="941">
        <v>5</v>
      </c>
      <c r="I99" s="941">
        <v>535</v>
      </c>
      <c r="J99" s="941">
        <v>0</v>
      </c>
      <c r="K99" s="941">
        <v>1</v>
      </c>
      <c r="L99" s="941">
        <v>95</v>
      </c>
      <c r="M99" s="942">
        <v>17</v>
      </c>
      <c r="N99" s="280"/>
      <c r="O99" s="1051">
        <f t="shared" si="8"/>
        <v>535</v>
      </c>
      <c r="P99" s="1052">
        <f t="shared" si="9"/>
        <v>183</v>
      </c>
      <c r="Q99" s="1052">
        <f t="shared" si="10"/>
        <v>30</v>
      </c>
      <c r="R99" s="1053">
        <f t="shared" si="11"/>
        <v>96</v>
      </c>
    </row>
    <row r="100" spans="1:18">
      <c r="A100" s="1045" t="s">
        <v>14</v>
      </c>
      <c r="B100" s="196" t="s">
        <v>15</v>
      </c>
      <c r="C100" s="1061" t="s">
        <v>274</v>
      </c>
      <c r="D100" s="940">
        <v>1207</v>
      </c>
      <c r="E100" s="941">
        <v>0</v>
      </c>
      <c r="F100" s="941">
        <v>27</v>
      </c>
      <c r="G100" s="941">
        <v>568</v>
      </c>
      <c r="H100" s="941">
        <v>3</v>
      </c>
      <c r="I100" s="941">
        <v>492</v>
      </c>
      <c r="J100" s="941">
        <v>0</v>
      </c>
      <c r="K100" s="941">
        <v>2</v>
      </c>
      <c r="L100" s="941">
        <v>72</v>
      </c>
      <c r="M100" s="942">
        <v>43</v>
      </c>
      <c r="N100" s="280"/>
      <c r="O100" s="1051">
        <f t="shared" ref="O100:O124" si="12">I100</f>
        <v>492</v>
      </c>
      <c r="P100" s="1052">
        <f t="shared" ref="P100:P124" si="13">G100</f>
        <v>568</v>
      </c>
      <c r="Q100" s="1052">
        <f t="shared" ref="Q100:Q124" si="14">E100+F100+H100+M100</f>
        <v>73</v>
      </c>
      <c r="R100" s="1053">
        <f t="shared" ref="R100:R124" si="15">J100+K100+L100</f>
        <v>74</v>
      </c>
    </row>
    <row r="101" spans="1:18">
      <c r="A101" s="1045" t="s">
        <v>35</v>
      </c>
      <c r="B101" s="196" t="s">
        <v>36</v>
      </c>
      <c r="C101" s="1061" t="s">
        <v>275</v>
      </c>
      <c r="D101" s="940">
        <v>426</v>
      </c>
      <c r="E101" s="941">
        <v>0</v>
      </c>
      <c r="F101" s="941">
        <v>1</v>
      </c>
      <c r="G101" s="941">
        <v>16</v>
      </c>
      <c r="H101" s="941">
        <v>0</v>
      </c>
      <c r="I101" s="941">
        <v>335</v>
      </c>
      <c r="J101" s="941">
        <v>0</v>
      </c>
      <c r="K101" s="941">
        <v>0</v>
      </c>
      <c r="L101" s="941">
        <v>64</v>
      </c>
      <c r="M101" s="942">
        <v>10</v>
      </c>
      <c r="N101" s="280"/>
      <c r="O101" s="1051">
        <f t="shared" si="12"/>
        <v>335</v>
      </c>
      <c r="P101" s="1052">
        <f t="shared" si="13"/>
        <v>16</v>
      </c>
      <c r="Q101" s="1052">
        <f t="shared" si="14"/>
        <v>11</v>
      </c>
      <c r="R101" s="1053">
        <f t="shared" si="15"/>
        <v>64</v>
      </c>
    </row>
    <row r="102" spans="1:18">
      <c r="A102" s="1045" t="s">
        <v>53</v>
      </c>
      <c r="B102" s="196" t="s">
        <v>54</v>
      </c>
      <c r="C102" s="1061" t="s">
        <v>272</v>
      </c>
      <c r="D102" s="940">
        <v>884</v>
      </c>
      <c r="E102" s="941">
        <v>0</v>
      </c>
      <c r="F102" s="941">
        <v>18</v>
      </c>
      <c r="G102" s="941">
        <v>488</v>
      </c>
      <c r="H102" s="941">
        <v>4</v>
      </c>
      <c r="I102" s="941">
        <v>288</v>
      </c>
      <c r="J102" s="941">
        <v>0</v>
      </c>
      <c r="K102" s="941">
        <v>1</v>
      </c>
      <c r="L102" s="941">
        <v>34</v>
      </c>
      <c r="M102" s="942">
        <v>51</v>
      </c>
      <c r="N102" s="280"/>
      <c r="O102" s="1051">
        <f t="shared" si="12"/>
        <v>288</v>
      </c>
      <c r="P102" s="1052">
        <f t="shared" si="13"/>
        <v>488</v>
      </c>
      <c r="Q102" s="1052">
        <f t="shared" si="14"/>
        <v>73</v>
      </c>
      <c r="R102" s="1053">
        <f t="shared" si="15"/>
        <v>35</v>
      </c>
    </row>
    <row r="103" spans="1:18">
      <c r="A103" s="1045" t="s">
        <v>55</v>
      </c>
      <c r="B103" s="196" t="s">
        <v>56</v>
      </c>
      <c r="C103" s="1061" t="s">
        <v>271</v>
      </c>
      <c r="D103" s="940">
        <v>2144</v>
      </c>
      <c r="E103" s="941">
        <v>5</v>
      </c>
      <c r="F103" s="941">
        <v>19</v>
      </c>
      <c r="G103" s="941">
        <v>887</v>
      </c>
      <c r="H103" s="941">
        <v>41</v>
      </c>
      <c r="I103" s="941">
        <v>1012</v>
      </c>
      <c r="J103" s="941">
        <v>19</v>
      </c>
      <c r="K103" s="941">
        <v>10</v>
      </c>
      <c r="L103" s="941">
        <v>51</v>
      </c>
      <c r="M103" s="942">
        <v>100</v>
      </c>
      <c r="N103" s="280"/>
      <c r="O103" s="1051">
        <f t="shared" si="12"/>
        <v>1012</v>
      </c>
      <c r="P103" s="1052">
        <f t="shared" si="13"/>
        <v>887</v>
      </c>
      <c r="Q103" s="1052">
        <f t="shared" si="14"/>
        <v>165</v>
      </c>
      <c r="R103" s="1053">
        <f t="shared" si="15"/>
        <v>80</v>
      </c>
    </row>
    <row r="104" spans="1:18">
      <c r="A104" s="1045" t="s">
        <v>67</v>
      </c>
      <c r="B104" s="196" t="s">
        <v>68</v>
      </c>
      <c r="C104" s="1061" t="s">
        <v>272</v>
      </c>
      <c r="D104" s="940">
        <v>685</v>
      </c>
      <c r="E104" s="941">
        <v>0</v>
      </c>
      <c r="F104" s="941">
        <v>4</v>
      </c>
      <c r="G104" s="941">
        <v>410</v>
      </c>
      <c r="H104" s="941">
        <v>0</v>
      </c>
      <c r="I104" s="941">
        <v>212</v>
      </c>
      <c r="J104" s="941">
        <v>0</v>
      </c>
      <c r="K104" s="941">
        <v>1</v>
      </c>
      <c r="L104" s="941">
        <v>36</v>
      </c>
      <c r="M104" s="942">
        <v>22</v>
      </c>
      <c r="N104" s="280"/>
      <c r="O104" s="1051">
        <f t="shared" si="12"/>
        <v>212</v>
      </c>
      <c r="P104" s="1052">
        <f t="shared" si="13"/>
        <v>410</v>
      </c>
      <c r="Q104" s="1052">
        <f t="shared" si="14"/>
        <v>26</v>
      </c>
      <c r="R104" s="1053">
        <f t="shared" si="15"/>
        <v>37</v>
      </c>
    </row>
    <row r="105" spans="1:18">
      <c r="A105" s="1045" t="s">
        <v>83</v>
      </c>
      <c r="B105" s="196" t="s">
        <v>84</v>
      </c>
      <c r="C105" s="1061" t="s">
        <v>271</v>
      </c>
      <c r="D105" s="940">
        <v>160</v>
      </c>
      <c r="E105" s="941">
        <v>0</v>
      </c>
      <c r="F105" s="941">
        <v>0</v>
      </c>
      <c r="G105" s="941">
        <v>127</v>
      </c>
      <c r="H105" s="941">
        <v>0</v>
      </c>
      <c r="I105" s="941">
        <v>21</v>
      </c>
      <c r="J105" s="941">
        <v>0</v>
      </c>
      <c r="K105" s="941">
        <v>0</v>
      </c>
      <c r="L105" s="941">
        <v>1</v>
      </c>
      <c r="M105" s="942">
        <v>11</v>
      </c>
      <c r="N105" s="280"/>
      <c r="O105" s="1051">
        <f t="shared" si="12"/>
        <v>21</v>
      </c>
      <c r="P105" s="1052">
        <f t="shared" si="13"/>
        <v>127</v>
      </c>
      <c r="Q105" s="1052">
        <f t="shared" si="14"/>
        <v>11</v>
      </c>
      <c r="R105" s="1053">
        <f t="shared" si="15"/>
        <v>1</v>
      </c>
    </row>
    <row r="106" spans="1:18">
      <c r="A106" s="1045" t="s">
        <v>89</v>
      </c>
      <c r="B106" s="196" t="s">
        <v>90</v>
      </c>
      <c r="C106" s="1061" t="s">
        <v>274</v>
      </c>
      <c r="D106" s="940">
        <v>442</v>
      </c>
      <c r="E106" s="941">
        <v>1</v>
      </c>
      <c r="F106" s="941">
        <v>3</v>
      </c>
      <c r="G106" s="941">
        <v>181</v>
      </c>
      <c r="H106" s="941">
        <v>2</v>
      </c>
      <c r="I106" s="941">
        <v>199</v>
      </c>
      <c r="J106" s="941">
        <v>1</v>
      </c>
      <c r="K106" s="941">
        <v>0</v>
      </c>
      <c r="L106" s="941">
        <v>35</v>
      </c>
      <c r="M106" s="942">
        <v>20</v>
      </c>
      <c r="N106" s="280"/>
      <c r="O106" s="1051">
        <f t="shared" si="12"/>
        <v>199</v>
      </c>
      <c r="P106" s="1052">
        <f t="shared" si="13"/>
        <v>181</v>
      </c>
      <c r="Q106" s="1052">
        <f t="shared" si="14"/>
        <v>26</v>
      </c>
      <c r="R106" s="1053">
        <f t="shared" si="15"/>
        <v>36</v>
      </c>
    </row>
    <row r="107" spans="1:18">
      <c r="A107" s="1045" t="s">
        <v>91</v>
      </c>
      <c r="B107" s="196" t="s">
        <v>92</v>
      </c>
      <c r="C107" s="1061" t="s">
        <v>275</v>
      </c>
      <c r="D107" s="940">
        <v>114</v>
      </c>
      <c r="E107" s="941">
        <v>0</v>
      </c>
      <c r="F107" s="941">
        <v>0</v>
      </c>
      <c r="G107" s="941">
        <v>11</v>
      </c>
      <c r="H107" s="941">
        <v>0</v>
      </c>
      <c r="I107" s="941">
        <v>92</v>
      </c>
      <c r="J107" s="941">
        <v>0</v>
      </c>
      <c r="K107" s="941">
        <v>0</v>
      </c>
      <c r="L107" s="941">
        <v>0</v>
      </c>
      <c r="M107" s="942">
        <v>11</v>
      </c>
      <c r="N107" s="280"/>
      <c r="O107" s="1051">
        <f t="shared" si="12"/>
        <v>92</v>
      </c>
      <c r="P107" s="1052">
        <f t="shared" si="13"/>
        <v>11</v>
      </c>
      <c r="Q107" s="1052">
        <f t="shared" si="14"/>
        <v>11</v>
      </c>
      <c r="R107" s="1053">
        <f t="shared" si="15"/>
        <v>0</v>
      </c>
    </row>
    <row r="108" spans="1:18">
      <c r="A108" s="1045" t="s">
        <v>107</v>
      </c>
      <c r="B108" s="196" t="s">
        <v>108</v>
      </c>
      <c r="C108" s="1061" t="s">
        <v>271</v>
      </c>
      <c r="D108" s="940">
        <v>1528</v>
      </c>
      <c r="E108" s="941">
        <v>2</v>
      </c>
      <c r="F108" s="941">
        <v>13</v>
      </c>
      <c r="G108" s="941">
        <v>851</v>
      </c>
      <c r="H108" s="941">
        <v>2</v>
      </c>
      <c r="I108" s="941">
        <v>487</v>
      </c>
      <c r="J108" s="941">
        <v>2</v>
      </c>
      <c r="K108" s="941">
        <v>0</v>
      </c>
      <c r="L108" s="941">
        <v>82</v>
      </c>
      <c r="M108" s="942">
        <v>89</v>
      </c>
      <c r="N108" s="280"/>
      <c r="O108" s="1051">
        <f t="shared" si="12"/>
        <v>487</v>
      </c>
      <c r="P108" s="1052">
        <f t="shared" si="13"/>
        <v>851</v>
      </c>
      <c r="Q108" s="1052">
        <f t="shared" si="14"/>
        <v>106</v>
      </c>
      <c r="R108" s="1053">
        <f t="shared" si="15"/>
        <v>84</v>
      </c>
    </row>
    <row r="109" spans="1:18">
      <c r="A109" s="1045" t="s">
        <v>117</v>
      </c>
      <c r="B109" s="196" t="s">
        <v>118</v>
      </c>
      <c r="C109" s="1061" t="s">
        <v>273</v>
      </c>
      <c r="D109" s="940">
        <v>392</v>
      </c>
      <c r="E109" s="941">
        <v>0</v>
      </c>
      <c r="F109" s="941">
        <v>0</v>
      </c>
      <c r="G109" s="941">
        <v>149</v>
      </c>
      <c r="H109" s="941">
        <v>6</v>
      </c>
      <c r="I109" s="941">
        <v>167</v>
      </c>
      <c r="J109" s="941">
        <v>1</v>
      </c>
      <c r="K109" s="941">
        <v>1</v>
      </c>
      <c r="L109" s="941">
        <v>26</v>
      </c>
      <c r="M109" s="942">
        <v>42</v>
      </c>
      <c r="N109" s="280"/>
      <c r="O109" s="1051">
        <f t="shared" si="12"/>
        <v>167</v>
      </c>
      <c r="P109" s="1052">
        <f t="shared" si="13"/>
        <v>149</v>
      </c>
      <c r="Q109" s="1052">
        <f t="shared" si="14"/>
        <v>48</v>
      </c>
      <c r="R109" s="1053">
        <f t="shared" si="15"/>
        <v>28</v>
      </c>
    </row>
    <row r="110" spans="1:18">
      <c r="A110" s="1045" t="s">
        <v>139</v>
      </c>
      <c r="B110" s="196" t="s">
        <v>140</v>
      </c>
      <c r="C110" s="1061" t="s">
        <v>272</v>
      </c>
      <c r="D110" s="940">
        <v>1260</v>
      </c>
      <c r="E110" s="941">
        <v>2</v>
      </c>
      <c r="F110" s="941">
        <v>5</v>
      </c>
      <c r="G110" s="941">
        <v>610</v>
      </c>
      <c r="H110" s="941">
        <v>5</v>
      </c>
      <c r="I110" s="941">
        <v>396</v>
      </c>
      <c r="J110" s="941">
        <v>2</v>
      </c>
      <c r="K110" s="941">
        <v>1</v>
      </c>
      <c r="L110" s="941">
        <v>153</v>
      </c>
      <c r="M110" s="942">
        <v>86</v>
      </c>
      <c r="N110" s="280"/>
      <c r="O110" s="1051">
        <f t="shared" si="12"/>
        <v>396</v>
      </c>
      <c r="P110" s="1052">
        <f t="shared" si="13"/>
        <v>610</v>
      </c>
      <c r="Q110" s="1052">
        <f t="shared" si="14"/>
        <v>98</v>
      </c>
      <c r="R110" s="1053">
        <f t="shared" si="15"/>
        <v>156</v>
      </c>
    </row>
    <row r="111" spans="1:18">
      <c r="A111" s="1045" t="s">
        <v>143</v>
      </c>
      <c r="B111" s="196" t="s">
        <v>144</v>
      </c>
      <c r="C111" s="1061" t="s">
        <v>274</v>
      </c>
      <c r="D111" s="940">
        <v>522</v>
      </c>
      <c r="E111" s="941">
        <v>0</v>
      </c>
      <c r="F111" s="941">
        <v>6</v>
      </c>
      <c r="G111" s="941">
        <v>130</v>
      </c>
      <c r="H111" s="941">
        <v>2</v>
      </c>
      <c r="I111" s="941">
        <v>296</v>
      </c>
      <c r="J111" s="941">
        <v>0</v>
      </c>
      <c r="K111" s="941">
        <v>1</v>
      </c>
      <c r="L111" s="941">
        <v>55</v>
      </c>
      <c r="M111" s="942">
        <v>32</v>
      </c>
      <c r="N111" s="280"/>
      <c r="O111" s="1051">
        <f t="shared" si="12"/>
        <v>296</v>
      </c>
      <c r="P111" s="1052">
        <f t="shared" si="13"/>
        <v>130</v>
      </c>
      <c r="Q111" s="1052">
        <f t="shared" si="14"/>
        <v>40</v>
      </c>
      <c r="R111" s="1053">
        <f t="shared" si="15"/>
        <v>56</v>
      </c>
    </row>
    <row r="112" spans="1:18">
      <c r="A112" s="1045" t="s">
        <v>145</v>
      </c>
      <c r="B112" s="196" t="s">
        <v>146</v>
      </c>
      <c r="C112" s="1061" t="s">
        <v>274</v>
      </c>
      <c r="D112" s="940">
        <v>179</v>
      </c>
      <c r="E112" s="941">
        <v>0</v>
      </c>
      <c r="F112" s="941">
        <v>0</v>
      </c>
      <c r="G112" s="941">
        <v>18</v>
      </c>
      <c r="H112" s="941">
        <v>3</v>
      </c>
      <c r="I112" s="941">
        <v>109</v>
      </c>
      <c r="J112" s="941">
        <v>0</v>
      </c>
      <c r="K112" s="941">
        <v>0</v>
      </c>
      <c r="L112" s="941">
        <v>33</v>
      </c>
      <c r="M112" s="942">
        <v>16</v>
      </c>
      <c r="N112" s="280"/>
      <c r="O112" s="1051">
        <f t="shared" si="12"/>
        <v>109</v>
      </c>
      <c r="P112" s="1052">
        <f t="shared" si="13"/>
        <v>18</v>
      </c>
      <c r="Q112" s="1052">
        <f t="shared" si="14"/>
        <v>19</v>
      </c>
      <c r="R112" s="1053">
        <f t="shared" si="15"/>
        <v>33</v>
      </c>
    </row>
    <row r="113" spans="1:18">
      <c r="A113" s="1045" t="s">
        <v>159</v>
      </c>
      <c r="B113" s="196" t="s">
        <v>160</v>
      </c>
      <c r="C113" s="1061" t="s">
        <v>271</v>
      </c>
      <c r="D113" s="940">
        <v>2125</v>
      </c>
      <c r="E113" s="941">
        <v>0</v>
      </c>
      <c r="F113" s="941">
        <v>29</v>
      </c>
      <c r="G113" s="941">
        <v>1216</v>
      </c>
      <c r="H113" s="941">
        <v>16</v>
      </c>
      <c r="I113" s="941">
        <v>576</v>
      </c>
      <c r="J113" s="941">
        <v>0</v>
      </c>
      <c r="K113" s="941">
        <v>5</v>
      </c>
      <c r="L113" s="941">
        <v>170</v>
      </c>
      <c r="M113" s="942">
        <v>113</v>
      </c>
      <c r="N113" s="280"/>
      <c r="O113" s="1051">
        <f t="shared" si="12"/>
        <v>576</v>
      </c>
      <c r="P113" s="1052">
        <f t="shared" si="13"/>
        <v>1216</v>
      </c>
      <c r="Q113" s="1052">
        <f t="shared" si="14"/>
        <v>158</v>
      </c>
      <c r="R113" s="1053">
        <f t="shared" si="15"/>
        <v>175</v>
      </c>
    </row>
    <row r="114" spans="1:18">
      <c r="A114" s="1045" t="s">
        <v>161</v>
      </c>
      <c r="B114" s="196" t="s">
        <v>162</v>
      </c>
      <c r="C114" s="1061" t="s">
        <v>271</v>
      </c>
      <c r="D114" s="940">
        <v>2490</v>
      </c>
      <c r="E114" s="941">
        <v>1</v>
      </c>
      <c r="F114" s="941">
        <v>8</v>
      </c>
      <c r="G114" s="941">
        <v>1439</v>
      </c>
      <c r="H114" s="941">
        <v>5</v>
      </c>
      <c r="I114" s="941">
        <v>703</v>
      </c>
      <c r="J114" s="941">
        <v>0</v>
      </c>
      <c r="K114" s="941">
        <v>1</v>
      </c>
      <c r="L114" s="941">
        <v>229</v>
      </c>
      <c r="M114" s="942">
        <v>104</v>
      </c>
      <c r="N114" s="280"/>
      <c r="O114" s="1051">
        <f t="shared" si="12"/>
        <v>703</v>
      </c>
      <c r="P114" s="1052">
        <f t="shared" si="13"/>
        <v>1439</v>
      </c>
      <c r="Q114" s="1052">
        <f t="shared" si="14"/>
        <v>118</v>
      </c>
      <c r="R114" s="1053">
        <f t="shared" si="15"/>
        <v>230</v>
      </c>
    </row>
    <row r="115" spans="1:18">
      <c r="A115" s="1045" t="s">
        <v>167</v>
      </c>
      <c r="B115" s="196" t="s">
        <v>168</v>
      </c>
      <c r="C115" s="1061" t="s">
        <v>275</v>
      </c>
      <c r="D115" s="940">
        <v>118</v>
      </c>
      <c r="E115" s="941">
        <v>0</v>
      </c>
      <c r="F115" s="941">
        <v>0</v>
      </c>
      <c r="G115" s="941">
        <v>11</v>
      </c>
      <c r="H115" s="941">
        <v>0</v>
      </c>
      <c r="I115" s="941">
        <v>100</v>
      </c>
      <c r="J115" s="941">
        <v>0</v>
      </c>
      <c r="K115" s="941">
        <v>0</v>
      </c>
      <c r="L115" s="941">
        <v>0</v>
      </c>
      <c r="M115" s="942">
        <v>7</v>
      </c>
      <c r="N115" s="280"/>
      <c r="O115" s="1051">
        <f t="shared" si="12"/>
        <v>100</v>
      </c>
      <c r="P115" s="1052">
        <f t="shared" si="13"/>
        <v>11</v>
      </c>
      <c r="Q115" s="1052">
        <f t="shared" si="14"/>
        <v>7</v>
      </c>
      <c r="R115" s="1053">
        <f t="shared" si="15"/>
        <v>0</v>
      </c>
    </row>
    <row r="116" spans="1:18">
      <c r="A116" s="1045" t="s">
        <v>177</v>
      </c>
      <c r="B116" s="196" t="s">
        <v>178</v>
      </c>
      <c r="C116" s="1061" t="s">
        <v>273</v>
      </c>
      <c r="D116" s="940">
        <v>389</v>
      </c>
      <c r="E116" s="941">
        <v>1</v>
      </c>
      <c r="F116" s="941">
        <v>1</v>
      </c>
      <c r="G116" s="941">
        <v>302</v>
      </c>
      <c r="H116" s="941">
        <v>2</v>
      </c>
      <c r="I116" s="941">
        <v>51</v>
      </c>
      <c r="J116" s="941">
        <v>3</v>
      </c>
      <c r="K116" s="941">
        <v>0</v>
      </c>
      <c r="L116" s="941">
        <v>17</v>
      </c>
      <c r="M116" s="942">
        <v>12</v>
      </c>
      <c r="N116" s="280"/>
      <c r="O116" s="1051">
        <f t="shared" si="12"/>
        <v>51</v>
      </c>
      <c r="P116" s="1052">
        <f t="shared" si="13"/>
        <v>302</v>
      </c>
      <c r="Q116" s="1052">
        <f t="shared" si="14"/>
        <v>16</v>
      </c>
      <c r="R116" s="1053">
        <f t="shared" si="15"/>
        <v>20</v>
      </c>
    </row>
    <row r="117" spans="1:18">
      <c r="A117" s="1045" t="s">
        <v>181</v>
      </c>
      <c r="B117" s="196" t="s">
        <v>182</v>
      </c>
      <c r="C117" s="1061" t="s">
        <v>271</v>
      </c>
      <c r="D117" s="940">
        <v>1269</v>
      </c>
      <c r="E117" s="941">
        <v>1</v>
      </c>
      <c r="F117" s="941">
        <v>3</v>
      </c>
      <c r="G117" s="941">
        <v>810</v>
      </c>
      <c r="H117" s="941">
        <v>7</v>
      </c>
      <c r="I117" s="941">
        <v>293</v>
      </c>
      <c r="J117" s="941">
        <v>0</v>
      </c>
      <c r="K117" s="941">
        <v>3</v>
      </c>
      <c r="L117" s="941">
        <v>78</v>
      </c>
      <c r="M117" s="942">
        <v>74</v>
      </c>
      <c r="N117" s="280"/>
      <c r="O117" s="1051">
        <f t="shared" si="12"/>
        <v>293</v>
      </c>
      <c r="P117" s="1052">
        <f t="shared" si="13"/>
        <v>810</v>
      </c>
      <c r="Q117" s="1052">
        <f t="shared" si="14"/>
        <v>85</v>
      </c>
      <c r="R117" s="1053">
        <f t="shared" si="15"/>
        <v>81</v>
      </c>
    </row>
    <row r="118" spans="1:18">
      <c r="A118" s="1045" t="s">
        <v>193</v>
      </c>
      <c r="B118" s="196" t="s">
        <v>194</v>
      </c>
      <c r="C118" s="1061" t="s">
        <v>275</v>
      </c>
      <c r="D118" s="940">
        <v>145</v>
      </c>
      <c r="E118" s="941">
        <v>0</v>
      </c>
      <c r="F118" s="941">
        <v>0</v>
      </c>
      <c r="G118" s="941">
        <v>7</v>
      </c>
      <c r="H118" s="941">
        <v>0</v>
      </c>
      <c r="I118" s="941">
        <v>95</v>
      </c>
      <c r="J118" s="941">
        <v>0</v>
      </c>
      <c r="K118" s="941">
        <v>0</v>
      </c>
      <c r="L118" s="941">
        <v>25</v>
      </c>
      <c r="M118" s="942">
        <v>18</v>
      </c>
      <c r="N118" s="280"/>
      <c r="O118" s="1051">
        <f t="shared" si="12"/>
        <v>95</v>
      </c>
      <c r="P118" s="1052">
        <f t="shared" si="13"/>
        <v>7</v>
      </c>
      <c r="Q118" s="1052">
        <f t="shared" si="14"/>
        <v>18</v>
      </c>
      <c r="R118" s="1053">
        <f t="shared" si="15"/>
        <v>25</v>
      </c>
    </row>
    <row r="119" spans="1:18">
      <c r="A119" s="1045" t="s">
        <v>197</v>
      </c>
      <c r="B119" s="196" t="s">
        <v>198</v>
      </c>
      <c r="C119" s="1061" t="s">
        <v>273</v>
      </c>
      <c r="D119" s="940">
        <v>3192</v>
      </c>
      <c r="E119" s="941">
        <v>1</v>
      </c>
      <c r="F119" s="941">
        <v>22</v>
      </c>
      <c r="G119" s="941">
        <v>2527</v>
      </c>
      <c r="H119" s="941">
        <v>5</v>
      </c>
      <c r="I119" s="941">
        <v>389</v>
      </c>
      <c r="J119" s="941">
        <v>25</v>
      </c>
      <c r="K119" s="941">
        <v>4</v>
      </c>
      <c r="L119" s="941">
        <v>70</v>
      </c>
      <c r="M119" s="942">
        <v>149</v>
      </c>
      <c r="N119" s="280"/>
      <c r="O119" s="1051">
        <f t="shared" si="12"/>
        <v>389</v>
      </c>
      <c r="P119" s="1052">
        <f t="shared" si="13"/>
        <v>2527</v>
      </c>
      <c r="Q119" s="1052">
        <f t="shared" si="14"/>
        <v>177</v>
      </c>
      <c r="R119" s="1053">
        <f t="shared" si="15"/>
        <v>99</v>
      </c>
    </row>
    <row r="120" spans="1:18">
      <c r="A120" s="1045" t="s">
        <v>201</v>
      </c>
      <c r="B120" s="196" t="s">
        <v>202</v>
      </c>
      <c r="C120" s="1061" t="s">
        <v>272</v>
      </c>
      <c r="D120" s="940">
        <v>1954</v>
      </c>
      <c r="E120" s="941">
        <v>1</v>
      </c>
      <c r="F120" s="941">
        <v>13</v>
      </c>
      <c r="G120" s="941">
        <v>733</v>
      </c>
      <c r="H120" s="941">
        <v>26</v>
      </c>
      <c r="I120" s="941">
        <v>939</v>
      </c>
      <c r="J120" s="941">
        <v>0</v>
      </c>
      <c r="K120" s="941">
        <v>7</v>
      </c>
      <c r="L120" s="941">
        <v>71</v>
      </c>
      <c r="M120" s="942">
        <v>164</v>
      </c>
      <c r="N120" s="280"/>
      <c r="O120" s="1051">
        <f t="shared" si="12"/>
        <v>939</v>
      </c>
      <c r="P120" s="1052">
        <f t="shared" si="13"/>
        <v>733</v>
      </c>
      <c r="Q120" s="1052">
        <f t="shared" si="14"/>
        <v>204</v>
      </c>
      <c r="R120" s="1053">
        <f t="shared" si="15"/>
        <v>78</v>
      </c>
    </row>
    <row r="121" spans="1:18">
      <c r="A121" s="1045" t="s">
        <v>223</v>
      </c>
      <c r="B121" s="196" t="s">
        <v>224</v>
      </c>
      <c r="C121" s="1061" t="s">
        <v>271</v>
      </c>
      <c r="D121" s="940">
        <v>1011</v>
      </c>
      <c r="E121" s="941">
        <v>0</v>
      </c>
      <c r="F121" s="941">
        <v>5</v>
      </c>
      <c r="G121" s="941">
        <v>586</v>
      </c>
      <c r="H121" s="941">
        <v>5</v>
      </c>
      <c r="I121" s="941">
        <v>320</v>
      </c>
      <c r="J121" s="941">
        <v>1</v>
      </c>
      <c r="K121" s="941">
        <v>0</v>
      </c>
      <c r="L121" s="941">
        <v>58</v>
      </c>
      <c r="M121" s="942">
        <v>36</v>
      </c>
      <c r="N121" s="280"/>
      <c r="O121" s="1051">
        <f t="shared" si="12"/>
        <v>320</v>
      </c>
      <c r="P121" s="1052">
        <f t="shared" si="13"/>
        <v>586</v>
      </c>
      <c r="Q121" s="1052">
        <f t="shared" si="14"/>
        <v>46</v>
      </c>
      <c r="R121" s="1053">
        <f t="shared" si="15"/>
        <v>59</v>
      </c>
    </row>
    <row r="122" spans="1:18">
      <c r="A122" s="1045" t="s">
        <v>231</v>
      </c>
      <c r="B122" s="196" t="s">
        <v>232</v>
      </c>
      <c r="C122" s="1061" t="s">
        <v>271</v>
      </c>
      <c r="D122" s="940">
        <v>4080</v>
      </c>
      <c r="E122" s="941">
        <v>3</v>
      </c>
      <c r="F122" s="941">
        <v>47</v>
      </c>
      <c r="G122" s="941">
        <v>1312</v>
      </c>
      <c r="H122" s="941">
        <v>21</v>
      </c>
      <c r="I122" s="941">
        <v>2158</v>
      </c>
      <c r="J122" s="941">
        <v>0</v>
      </c>
      <c r="K122" s="941">
        <v>6</v>
      </c>
      <c r="L122" s="941">
        <v>206</v>
      </c>
      <c r="M122" s="942">
        <v>327</v>
      </c>
      <c r="N122" s="280"/>
      <c r="O122" s="1051">
        <f t="shared" si="12"/>
        <v>2158</v>
      </c>
      <c r="P122" s="1052">
        <f t="shared" si="13"/>
        <v>1312</v>
      </c>
      <c r="Q122" s="1052">
        <f t="shared" si="14"/>
        <v>398</v>
      </c>
      <c r="R122" s="1053">
        <f t="shared" si="15"/>
        <v>212</v>
      </c>
    </row>
    <row r="123" spans="1:18">
      <c r="A123" s="1045" t="s">
        <v>239</v>
      </c>
      <c r="B123" s="196" t="s">
        <v>240</v>
      </c>
      <c r="C123" s="1061" t="s">
        <v>271</v>
      </c>
      <c r="D123" s="940">
        <v>92</v>
      </c>
      <c r="E123" s="941">
        <v>0</v>
      </c>
      <c r="F123" s="941">
        <v>0</v>
      </c>
      <c r="G123" s="941">
        <v>35</v>
      </c>
      <c r="H123" s="941">
        <v>2</v>
      </c>
      <c r="I123" s="941">
        <v>42</v>
      </c>
      <c r="J123" s="941">
        <v>0</v>
      </c>
      <c r="K123" s="941">
        <v>0</v>
      </c>
      <c r="L123" s="941">
        <v>9</v>
      </c>
      <c r="M123" s="942">
        <v>4</v>
      </c>
      <c r="N123" s="280"/>
      <c r="O123" s="1051">
        <f t="shared" si="12"/>
        <v>42</v>
      </c>
      <c r="P123" s="1052">
        <f t="shared" si="13"/>
        <v>35</v>
      </c>
      <c r="Q123" s="1052">
        <f t="shared" si="14"/>
        <v>6</v>
      </c>
      <c r="R123" s="1053">
        <f t="shared" si="15"/>
        <v>9</v>
      </c>
    </row>
    <row r="124" spans="1:18">
      <c r="A124" s="1046" t="s">
        <v>241</v>
      </c>
      <c r="B124" s="621" t="s">
        <v>242</v>
      </c>
      <c r="C124" s="1062" t="s">
        <v>274</v>
      </c>
      <c r="D124" s="1049">
        <v>537</v>
      </c>
      <c r="E124" s="1036">
        <v>0</v>
      </c>
      <c r="F124" s="1036">
        <v>0</v>
      </c>
      <c r="G124" s="1036">
        <v>75</v>
      </c>
      <c r="H124" s="1036">
        <v>2</v>
      </c>
      <c r="I124" s="1036">
        <v>372</v>
      </c>
      <c r="J124" s="1036">
        <v>0</v>
      </c>
      <c r="K124" s="1036">
        <v>5</v>
      </c>
      <c r="L124" s="1036">
        <v>29</v>
      </c>
      <c r="M124" s="1050">
        <v>54</v>
      </c>
      <c r="N124" s="280"/>
      <c r="O124" s="1054">
        <f t="shared" si="12"/>
        <v>372</v>
      </c>
      <c r="P124" s="1037">
        <f t="shared" si="13"/>
        <v>75</v>
      </c>
      <c r="Q124" s="1037">
        <f t="shared" si="14"/>
        <v>56</v>
      </c>
      <c r="R124" s="1055">
        <f t="shared" si="15"/>
        <v>34</v>
      </c>
    </row>
    <row r="125" spans="1:18">
      <c r="A125" s="1038"/>
      <c r="B125" s="1038"/>
      <c r="C125" s="1063"/>
    </row>
    <row r="126" spans="1:18" ht="31.5" customHeight="1">
      <c r="A126" s="1672" t="s">
        <v>1148</v>
      </c>
      <c r="B126" s="1672"/>
      <c r="C126" s="1672"/>
      <c r="D126" s="1672"/>
      <c r="E126" s="1672"/>
      <c r="F126" s="1672"/>
      <c r="G126" s="1672"/>
    </row>
    <row r="127" spans="1:18">
      <c r="A127" s="1028"/>
      <c r="B127" s="1028"/>
      <c r="C127" s="1059"/>
    </row>
    <row r="128" spans="1:18" s="827" customFormat="1">
      <c r="A128" s="1673" t="s">
        <v>249</v>
      </c>
      <c r="B128" s="1673"/>
      <c r="C128" s="1673"/>
      <c r="D128" s="1673"/>
      <c r="E128" s="1673"/>
      <c r="F128" s="1673"/>
      <c r="G128" s="1673"/>
      <c r="H128" s="1039"/>
    </row>
    <row r="129" spans="1:8" s="827" customFormat="1">
      <c r="A129" s="856" t="s">
        <v>250</v>
      </c>
      <c r="B129" s="857" t="s">
        <v>251</v>
      </c>
      <c r="C129" s="1064"/>
      <c r="D129" s="858"/>
      <c r="E129" s="858"/>
      <c r="F129" s="858"/>
      <c r="G129" s="858"/>
      <c r="H129" s="858"/>
    </row>
  </sheetData>
  <autoFilter ref="A3:C3"/>
  <mergeCells count="3">
    <mergeCell ref="A1:H1"/>
    <mergeCell ref="A128:G128"/>
    <mergeCell ref="A126:G126"/>
  </mergeCells>
  <hyperlinks>
    <hyperlink ref="B129" r:id="rId1"/>
  </hyperlinks>
  <pageMargins left="0.7" right="0.7" top="0.75" bottom="0.75" header="0.3" footer="0.3"/>
  <pageSetup orientation="portrait" r:id="rId2"/>
</worksheet>
</file>

<file path=xl/worksheets/sheet22.xml><?xml version="1.0" encoding="utf-8"?>
<worksheet xmlns="http://schemas.openxmlformats.org/spreadsheetml/2006/main" xmlns:r="http://schemas.openxmlformats.org/officeDocument/2006/relationships">
  <dimension ref="A1:Y127"/>
  <sheetViews>
    <sheetView zoomScaleNormal="106" zoomScaleSheetLayoutView="116" workbookViewId="0">
      <pane xSplit="2" ySplit="3" topLeftCell="K4" activePane="bottomRight" state="frozen"/>
      <selection pane="topRight" activeCell="C1" sqref="C1"/>
      <selection pane="bottomLeft" activeCell="A4" sqref="A4"/>
      <selection pane="bottomRight" activeCell="K6" sqref="K6"/>
    </sheetView>
  </sheetViews>
  <sheetFormatPr defaultRowHeight="12.75"/>
  <cols>
    <col min="1" max="1" width="12.25" style="18" customWidth="1"/>
    <col min="2" max="2" width="21.5" style="28" customWidth="1"/>
    <col min="3" max="3" width="10.125" style="18" customWidth="1"/>
    <col min="4" max="4" width="9.875" style="18" customWidth="1"/>
    <col min="5" max="5" width="9.875" style="18" bestFit="1" customWidth="1"/>
    <col min="6" max="6" width="2.625" style="18" customWidth="1"/>
    <col min="7" max="7" width="10.125" style="18" customWidth="1"/>
    <col min="8" max="8" width="9.5" style="18" customWidth="1"/>
    <col min="9" max="9" width="9.75" style="18" customWidth="1"/>
    <col min="10" max="10" width="2.625" style="18" customWidth="1"/>
    <col min="11" max="11" width="9.625" style="18" customWidth="1"/>
    <col min="12" max="12" width="10.5" style="18" customWidth="1"/>
    <col min="13" max="13" width="11.375" style="18" customWidth="1"/>
    <col min="14" max="14" width="2.625" style="18" customWidth="1"/>
    <col min="15" max="15" width="10.125" style="18" customWidth="1"/>
    <col min="16" max="16" width="10.25" style="18" customWidth="1"/>
    <col min="17" max="17" width="10.375" style="18" customWidth="1"/>
    <col min="18" max="18" width="2.625" style="18" customWidth="1"/>
    <col min="19" max="19" width="11" style="18" customWidth="1"/>
    <col min="20" max="20" width="10.875" style="18" customWidth="1"/>
    <col min="21" max="21" width="9.875" style="18" customWidth="1"/>
    <col min="22" max="22" width="2.625" style="18" customWidth="1"/>
    <col min="23" max="23" width="9.5" style="18" customWidth="1"/>
    <col min="24" max="24" width="10.375" style="18" customWidth="1"/>
    <col min="25" max="25" width="10.25" style="18" customWidth="1"/>
    <col min="26" max="16384" width="9" style="18"/>
  </cols>
  <sheetData>
    <row r="1" spans="1:25" ht="15.75">
      <c r="C1" s="1682" t="s">
        <v>750</v>
      </c>
      <c r="D1" s="1682"/>
      <c r="E1" s="1682"/>
      <c r="F1" s="1682"/>
      <c r="G1" s="1682"/>
      <c r="H1" s="1682"/>
      <c r="I1" s="1682"/>
      <c r="J1" s="1682"/>
      <c r="K1" s="1682"/>
      <c r="L1" s="1682"/>
      <c r="M1" s="1682"/>
      <c r="O1" s="1679" t="s">
        <v>751</v>
      </c>
      <c r="P1" s="1679"/>
      <c r="Q1" s="1679"/>
      <c r="R1" s="1679"/>
      <c r="S1" s="1679"/>
      <c r="T1" s="1679"/>
      <c r="U1" s="1679"/>
      <c r="V1" s="1679"/>
      <c r="W1" s="1679"/>
      <c r="X1" s="1679"/>
      <c r="Y1" s="1679"/>
    </row>
    <row r="2" spans="1:25" ht="12.75" customHeight="1">
      <c r="C2" s="1678" t="s">
        <v>2</v>
      </c>
      <c r="D2" s="1678"/>
      <c r="E2" s="1678"/>
      <c r="F2" s="37"/>
      <c r="G2" s="1678" t="s">
        <v>608</v>
      </c>
      <c r="H2" s="1678"/>
      <c r="I2" s="1678"/>
      <c r="J2" s="37"/>
      <c r="K2" s="1678" t="s">
        <v>759</v>
      </c>
      <c r="L2" s="1678"/>
      <c r="M2" s="1678"/>
      <c r="N2" s="43"/>
      <c r="O2" s="1678" t="s">
        <v>2</v>
      </c>
      <c r="P2" s="1678"/>
      <c r="Q2" s="1678"/>
      <c r="S2" s="1678" t="s">
        <v>608</v>
      </c>
      <c r="T2" s="1678"/>
      <c r="U2" s="1678"/>
      <c r="X2" s="22"/>
      <c r="Y2" s="30"/>
    </row>
    <row r="3" spans="1:25" s="21" customFormat="1" ht="45" customHeight="1">
      <c r="A3" s="20" t="s">
        <v>315</v>
      </c>
      <c r="B3" s="31" t="s">
        <v>316</v>
      </c>
      <c r="C3" s="23" t="s">
        <v>756</v>
      </c>
      <c r="D3" s="23" t="s">
        <v>757</v>
      </c>
      <c r="E3" s="34" t="s">
        <v>758</v>
      </c>
      <c r="F3" s="38"/>
      <c r="G3" s="35" t="s">
        <v>756</v>
      </c>
      <c r="H3" s="23" t="s">
        <v>757</v>
      </c>
      <c r="I3" s="34" t="s">
        <v>758</v>
      </c>
      <c r="J3" s="38"/>
      <c r="K3" s="23" t="s">
        <v>756</v>
      </c>
      <c r="L3" s="23" t="s">
        <v>757</v>
      </c>
      <c r="M3" s="34" t="s">
        <v>758</v>
      </c>
      <c r="N3" s="38"/>
      <c r="O3" s="23" t="s">
        <v>756</v>
      </c>
      <c r="P3" s="23" t="s">
        <v>757</v>
      </c>
      <c r="Q3" s="34" t="s">
        <v>758</v>
      </c>
      <c r="R3" s="38"/>
      <c r="S3" s="35" t="s">
        <v>756</v>
      </c>
      <c r="T3" s="23" t="s">
        <v>757</v>
      </c>
      <c r="U3" s="34" t="s">
        <v>758</v>
      </c>
      <c r="V3" s="38"/>
      <c r="W3" s="35" t="s">
        <v>756</v>
      </c>
      <c r="X3" s="23" t="s">
        <v>757</v>
      </c>
      <c r="Y3" s="34" t="s">
        <v>758</v>
      </c>
    </row>
    <row r="4" spans="1:25" ht="16.5" customHeight="1">
      <c r="A4" s="16" t="s">
        <v>10</v>
      </c>
      <c r="B4" s="32" t="s">
        <v>11</v>
      </c>
      <c r="C4" s="26" t="e">
        <f t="shared" ref="C4:C35" si="0">VLOOKUP(A4,MedicaidR,7,FALSE)</f>
        <v>#REF!</v>
      </c>
      <c r="D4" s="26" t="e">
        <f t="shared" ref="D4:D35" si="1">VLOOKUP(A4,Pop,14,FALSE)</f>
        <v>#REF!</v>
      </c>
      <c r="E4" s="12" t="e">
        <f t="shared" ref="E4:E35" si="2">+C4/D4</f>
        <v>#REF!</v>
      </c>
      <c r="F4" s="45"/>
      <c r="G4" s="26" t="e">
        <f t="shared" ref="G4:G35" si="3">VLOOKUP(A4,MedicaidR,8,FALSE)</f>
        <v>#REF!</v>
      </c>
      <c r="H4" s="26" t="e">
        <f t="shared" ref="H4:H35" si="4">VLOOKUP(A4,Pop,15,FALSE)</f>
        <v>#REF!</v>
      </c>
      <c r="I4" s="12" t="e">
        <f t="shared" ref="I4:I35" si="5">+G4/H4</f>
        <v>#REF!</v>
      </c>
      <c r="J4" s="45"/>
      <c r="K4" s="26" t="e">
        <f t="shared" ref="K4:K35" si="6">VLOOKUP(A4,MedicaidR,9,FALSE)</f>
        <v>#REF!</v>
      </c>
      <c r="L4" s="26" t="e">
        <f t="shared" ref="L4:L35" si="7">VLOOKUP(A4,Pop,16,FALSE)</f>
        <v>#REF!</v>
      </c>
      <c r="M4" s="12" t="e">
        <f t="shared" ref="M4:M35" si="8">+K4/L4</f>
        <v>#REF!</v>
      </c>
      <c r="N4" s="12"/>
      <c r="O4" s="26" t="e">
        <f t="shared" ref="O4:O35" si="9">VLOOKUP(A4,MedicaidR,3,FALSE)</f>
        <v>#REF!</v>
      </c>
      <c r="P4" s="26" t="e">
        <f t="shared" ref="P4:P35" si="10">VLOOKUP(A4,Pop,8,FALSE)</f>
        <v>#REF!</v>
      </c>
      <c r="Q4" s="12" t="e">
        <f t="shared" ref="Q4:Q35" si="11">+O4/P4</f>
        <v>#REF!</v>
      </c>
      <c r="R4" s="12"/>
      <c r="S4" s="26" t="e">
        <f t="shared" ref="S4:S35" si="12">VLOOKUP(A4,MedicaidR,4,FALSE)</f>
        <v>#REF!</v>
      </c>
      <c r="T4" s="26" t="e">
        <f t="shared" ref="T4:T35" si="13">VLOOKUP(A4,Pop,9,FALSE)</f>
        <v>#REF!</v>
      </c>
      <c r="U4" s="12" t="e">
        <f t="shared" ref="U4:U35" si="14">+S4/T4</f>
        <v>#REF!</v>
      </c>
      <c r="V4" s="12"/>
      <c r="W4" s="44" t="e">
        <f t="shared" ref="W4:W35" si="15">VLOOKUP(A4,MedicaidR,5,FALSE)</f>
        <v>#REF!</v>
      </c>
      <c r="X4" s="26" t="e">
        <f t="shared" ref="X4:X35" si="16">VLOOKUP(A4,Pop,10,FALSE)</f>
        <v>#REF!</v>
      </c>
      <c r="Y4" s="12" t="e">
        <f t="shared" ref="Y4:Y35" si="17">+W4/X4</f>
        <v>#REF!</v>
      </c>
    </row>
    <row r="5" spans="1:25" ht="16.5" customHeight="1">
      <c r="A5" s="16" t="s">
        <v>12</v>
      </c>
      <c r="B5" s="17" t="s">
        <v>13</v>
      </c>
      <c r="C5" s="26" t="e">
        <f t="shared" si="0"/>
        <v>#REF!</v>
      </c>
      <c r="D5" s="26" t="e">
        <f t="shared" si="1"/>
        <v>#REF!</v>
      </c>
      <c r="E5" s="12" t="e">
        <f t="shared" si="2"/>
        <v>#REF!</v>
      </c>
      <c r="F5" s="26"/>
      <c r="G5" s="26" t="e">
        <f t="shared" si="3"/>
        <v>#REF!</v>
      </c>
      <c r="H5" s="26" t="e">
        <f t="shared" si="4"/>
        <v>#REF!</v>
      </c>
      <c r="I5" s="12" t="e">
        <f t="shared" si="5"/>
        <v>#REF!</v>
      </c>
      <c r="J5" s="26"/>
      <c r="K5" s="26" t="e">
        <f t="shared" si="6"/>
        <v>#REF!</v>
      </c>
      <c r="L5" s="26" t="e">
        <f t="shared" si="7"/>
        <v>#REF!</v>
      </c>
      <c r="M5" s="12" t="e">
        <f t="shared" si="8"/>
        <v>#REF!</v>
      </c>
      <c r="N5" s="12"/>
      <c r="O5" s="26" t="e">
        <f t="shared" si="9"/>
        <v>#REF!</v>
      </c>
      <c r="P5" s="26" t="e">
        <f t="shared" si="10"/>
        <v>#REF!</v>
      </c>
      <c r="Q5" s="12" t="e">
        <f t="shared" si="11"/>
        <v>#REF!</v>
      </c>
      <c r="R5" s="12"/>
      <c r="S5" s="26" t="e">
        <f t="shared" si="12"/>
        <v>#REF!</v>
      </c>
      <c r="T5" s="26" t="e">
        <f t="shared" si="13"/>
        <v>#REF!</v>
      </c>
      <c r="U5" s="12" t="e">
        <f t="shared" si="14"/>
        <v>#REF!</v>
      </c>
      <c r="V5" s="12"/>
      <c r="W5" s="44" t="e">
        <f t="shared" si="15"/>
        <v>#REF!</v>
      </c>
      <c r="X5" s="26" t="e">
        <f t="shared" si="16"/>
        <v>#REF!</v>
      </c>
      <c r="Y5" s="12" t="e">
        <f t="shared" si="17"/>
        <v>#REF!</v>
      </c>
    </row>
    <row r="6" spans="1:25" ht="16.5" customHeight="1">
      <c r="A6" s="16" t="s">
        <v>16</v>
      </c>
      <c r="B6" s="32" t="s">
        <v>307</v>
      </c>
      <c r="C6" s="26" t="e">
        <f t="shared" si="0"/>
        <v>#REF!</v>
      </c>
      <c r="D6" s="26" t="e">
        <f t="shared" si="1"/>
        <v>#REF!</v>
      </c>
      <c r="E6" s="12" t="e">
        <f t="shared" si="2"/>
        <v>#REF!</v>
      </c>
      <c r="F6" s="26"/>
      <c r="G6" s="26" t="e">
        <f t="shared" si="3"/>
        <v>#REF!</v>
      </c>
      <c r="H6" s="26" t="e">
        <f t="shared" si="4"/>
        <v>#REF!</v>
      </c>
      <c r="I6" s="12" t="e">
        <f t="shared" si="5"/>
        <v>#REF!</v>
      </c>
      <c r="J6" s="26"/>
      <c r="K6" s="26" t="e">
        <f t="shared" si="6"/>
        <v>#REF!</v>
      </c>
      <c r="L6" s="26" t="e">
        <f t="shared" si="7"/>
        <v>#REF!</v>
      </c>
      <c r="M6" s="12" t="e">
        <f t="shared" si="8"/>
        <v>#REF!</v>
      </c>
      <c r="N6" s="12"/>
      <c r="O6" s="26" t="e">
        <f t="shared" si="9"/>
        <v>#REF!</v>
      </c>
      <c r="P6" s="26" t="e">
        <f t="shared" si="10"/>
        <v>#REF!</v>
      </c>
      <c r="Q6" s="12" t="e">
        <f t="shared" si="11"/>
        <v>#REF!</v>
      </c>
      <c r="R6" s="12"/>
      <c r="S6" s="26" t="e">
        <f t="shared" si="12"/>
        <v>#REF!</v>
      </c>
      <c r="T6" s="26" t="e">
        <f t="shared" si="13"/>
        <v>#REF!</v>
      </c>
      <c r="U6" s="12" t="e">
        <f t="shared" si="14"/>
        <v>#REF!</v>
      </c>
      <c r="V6" s="12"/>
      <c r="W6" s="44" t="e">
        <f t="shared" si="15"/>
        <v>#REF!</v>
      </c>
      <c r="X6" s="26" t="e">
        <f t="shared" si="16"/>
        <v>#REF!</v>
      </c>
      <c r="Y6" s="12" t="e">
        <f t="shared" si="17"/>
        <v>#REF!</v>
      </c>
    </row>
    <row r="7" spans="1:25" ht="16.5" customHeight="1">
      <c r="A7" s="16" t="s">
        <v>18</v>
      </c>
      <c r="B7" s="17" t="s">
        <v>19</v>
      </c>
      <c r="C7" s="26" t="e">
        <f t="shared" si="0"/>
        <v>#REF!</v>
      </c>
      <c r="D7" s="26" t="e">
        <f t="shared" si="1"/>
        <v>#REF!</v>
      </c>
      <c r="E7" s="12" t="e">
        <f t="shared" si="2"/>
        <v>#REF!</v>
      </c>
      <c r="F7" s="26"/>
      <c r="G7" s="26" t="e">
        <f t="shared" si="3"/>
        <v>#REF!</v>
      </c>
      <c r="H7" s="26" t="e">
        <f t="shared" si="4"/>
        <v>#REF!</v>
      </c>
      <c r="I7" s="12" t="e">
        <f t="shared" si="5"/>
        <v>#REF!</v>
      </c>
      <c r="J7" s="26"/>
      <c r="K7" s="26" t="e">
        <f t="shared" si="6"/>
        <v>#REF!</v>
      </c>
      <c r="L7" s="26" t="e">
        <f t="shared" si="7"/>
        <v>#REF!</v>
      </c>
      <c r="M7" s="12" t="e">
        <f t="shared" si="8"/>
        <v>#REF!</v>
      </c>
      <c r="N7" s="12"/>
      <c r="O7" s="26" t="e">
        <f t="shared" si="9"/>
        <v>#REF!</v>
      </c>
      <c r="P7" s="26" t="e">
        <f t="shared" si="10"/>
        <v>#REF!</v>
      </c>
      <c r="Q7" s="12" t="e">
        <f t="shared" si="11"/>
        <v>#REF!</v>
      </c>
      <c r="R7" s="12"/>
      <c r="S7" s="26" t="e">
        <f t="shared" si="12"/>
        <v>#REF!</v>
      </c>
      <c r="T7" s="26" t="e">
        <f t="shared" si="13"/>
        <v>#REF!</v>
      </c>
      <c r="U7" s="12" t="e">
        <f t="shared" si="14"/>
        <v>#REF!</v>
      </c>
      <c r="V7" s="12"/>
      <c r="W7" s="44" t="e">
        <f t="shared" si="15"/>
        <v>#REF!</v>
      </c>
      <c r="X7" s="26" t="e">
        <f t="shared" si="16"/>
        <v>#REF!</v>
      </c>
      <c r="Y7" s="12" t="e">
        <f t="shared" si="17"/>
        <v>#REF!</v>
      </c>
    </row>
    <row r="8" spans="1:25" ht="16.5" customHeight="1">
      <c r="A8" s="16" t="s">
        <v>20</v>
      </c>
      <c r="B8" s="32" t="s">
        <v>21</v>
      </c>
      <c r="C8" s="26" t="e">
        <f t="shared" si="0"/>
        <v>#REF!</v>
      </c>
      <c r="D8" s="26" t="e">
        <f t="shared" si="1"/>
        <v>#REF!</v>
      </c>
      <c r="E8" s="12" t="e">
        <f t="shared" si="2"/>
        <v>#REF!</v>
      </c>
      <c r="F8" s="26"/>
      <c r="G8" s="26" t="e">
        <f t="shared" si="3"/>
        <v>#REF!</v>
      </c>
      <c r="H8" s="26" t="e">
        <f t="shared" si="4"/>
        <v>#REF!</v>
      </c>
      <c r="I8" s="12" t="e">
        <f t="shared" si="5"/>
        <v>#REF!</v>
      </c>
      <c r="J8" s="26"/>
      <c r="K8" s="26" t="e">
        <f t="shared" si="6"/>
        <v>#REF!</v>
      </c>
      <c r="L8" s="26" t="e">
        <f t="shared" si="7"/>
        <v>#REF!</v>
      </c>
      <c r="M8" s="12" t="e">
        <f t="shared" si="8"/>
        <v>#REF!</v>
      </c>
      <c r="N8" s="12"/>
      <c r="O8" s="26" t="e">
        <f t="shared" si="9"/>
        <v>#REF!</v>
      </c>
      <c r="P8" s="26" t="e">
        <f t="shared" si="10"/>
        <v>#REF!</v>
      </c>
      <c r="Q8" s="12" t="e">
        <f t="shared" si="11"/>
        <v>#REF!</v>
      </c>
      <c r="R8" s="12"/>
      <c r="S8" s="26" t="e">
        <f t="shared" si="12"/>
        <v>#REF!</v>
      </c>
      <c r="T8" s="26" t="e">
        <f t="shared" si="13"/>
        <v>#REF!</v>
      </c>
      <c r="U8" s="12" t="e">
        <f t="shared" si="14"/>
        <v>#REF!</v>
      </c>
      <c r="V8" s="12"/>
      <c r="W8" s="44" t="e">
        <f t="shared" si="15"/>
        <v>#REF!</v>
      </c>
      <c r="X8" s="26" t="e">
        <f t="shared" si="16"/>
        <v>#REF!</v>
      </c>
      <c r="Y8" s="12" t="e">
        <f t="shared" si="17"/>
        <v>#REF!</v>
      </c>
    </row>
    <row r="9" spans="1:25" ht="16.5" customHeight="1">
      <c r="A9" s="16" t="s">
        <v>22</v>
      </c>
      <c r="B9" s="17" t="s">
        <v>23</v>
      </c>
      <c r="C9" s="26" t="e">
        <f t="shared" si="0"/>
        <v>#REF!</v>
      </c>
      <c r="D9" s="26" t="e">
        <f t="shared" si="1"/>
        <v>#REF!</v>
      </c>
      <c r="E9" s="12" t="e">
        <f t="shared" si="2"/>
        <v>#REF!</v>
      </c>
      <c r="F9" s="26"/>
      <c r="G9" s="26" t="e">
        <f t="shared" si="3"/>
        <v>#REF!</v>
      </c>
      <c r="H9" s="26" t="e">
        <f t="shared" si="4"/>
        <v>#REF!</v>
      </c>
      <c r="I9" s="12" t="e">
        <f t="shared" si="5"/>
        <v>#REF!</v>
      </c>
      <c r="J9" s="26"/>
      <c r="K9" s="26" t="e">
        <f t="shared" si="6"/>
        <v>#REF!</v>
      </c>
      <c r="L9" s="26" t="e">
        <f t="shared" si="7"/>
        <v>#REF!</v>
      </c>
      <c r="M9" s="12" t="e">
        <f t="shared" si="8"/>
        <v>#REF!</v>
      </c>
      <c r="N9" s="12"/>
      <c r="O9" s="26" t="e">
        <f t="shared" si="9"/>
        <v>#REF!</v>
      </c>
      <c r="P9" s="26" t="e">
        <f t="shared" si="10"/>
        <v>#REF!</v>
      </c>
      <c r="Q9" s="12" t="e">
        <f t="shared" si="11"/>
        <v>#REF!</v>
      </c>
      <c r="R9" s="12"/>
      <c r="S9" s="26" t="e">
        <f t="shared" si="12"/>
        <v>#REF!</v>
      </c>
      <c r="T9" s="26" t="e">
        <f t="shared" si="13"/>
        <v>#REF!</v>
      </c>
      <c r="U9" s="12" t="e">
        <f t="shared" si="14"/>
        <v>#REF!</v>
      </c>
      <c r="V9" s="12"/>
      <c r="W9" s="44" t="e">
        <f t="shared" si="15"/>
        <v>#REF!</v>
      </c>
      <c r="X9" s="26" t="e">
        <f t="shared" si="16"/>
        <v>#REF!</v>
      </c>
      <c r="Y9" s="12" t="e">
        <f t="shared" si="17"/>
        <v>#REF!</v>
      </c>
    </row>
    <row r="10" spans="1:25" ht="16.5" customHeight="1">
      <c r="A10" s="16" t="s">
        <v>24</v>
      </c>
      <c r="B10" s="17" t="s">
        <v>25</v>
      </c>
      <c r="C10" s="26" t="e">
        <f t="shared" si="0"/>
        <v>#REF!</v>
      </c>
      <c r="D10" s="26" t="e">
        <f t="shared" si="1"/>
        <v>#REF!</v>
      </c>
      <c r="E10" s="12" t="e">
        <f t="shared" si="2"/>
        <v>#REF!</v>
      </c>
      <c r="F10" s="26"/>
      <c r="G10" s="26" t="e">
        <f t="shared" si="3"/>
        <v>#REF!</v>
      </c>
      <c r="H10" s="26" t="e">
        <f t="shared" si="4"/>
        <v>#REF!</v>
      </c>
      <c r="I10" s="12" t="e">
        <f t="shared" si="5"/>
        <v>#REF!</v>
      </c>
      <c r="J10" s="26"/>
      <c r="K10" s="26" t="e">
        <f t="shared" si="6"/>
        <v>#REF!</v>
      </c>
      <c r="L10" s="26" t="e">
        <f t="shared" si="7"/>
        <v>#REF!</v>
      </c>
      <c r="M10" s="12" t="e">
        <f t="shared" si="8"/>
        <v>#REF!</v>
      </c>
      <c r="N10" s="12"/>
      <c r="O10" s="26" t="e">
        <f t="shared" si="9"/>
        <v>#REF!</v>
      </c>
      <c r="P10" s="26" t="e">
        <f t="shared" si="10"/>
        <v>#REF!</v>
      </c>
      <c r="Q10" s="12" t="e">
        <f t="shared" si="11"/>
        <v>#REF!</v>
      </c>
      <c r="R10" s="12"/>
      <c r="S10" s="26" t="e">
        <f t="shared" si="12"/>
        <v>#REF!</v>
      </c>
      <c r="T10" s="26" t="e">
        <f t="shared" si="13"/>
        <v>#REF!</v>
      </c>
      <c r="U10" s="12" t="e">
        <f t="shared" si="14"/>
        <v>#REF!</v>
      </c>
      <c r="V10" s="12"/>
      <c r="W10" s="44" t="e">
        <f t="shared" si="15"/>
        <v>#REF!</v>
      </c>
      <c r="X10" s="26" t="e">
        <f t="shared" si="16"/>
        <v>#REF!</v>
      </c>
      <c r="Y10" s="12" t="e">
        <f t="shared" si="17"/>
        <v>#REF!</v>
      </c>
    </row>
    <row r="11" spans="1:25" ht="16.5" customHeight="1">
      <c r="A11" s="16" t="s">
        <v>26</v>
      </c>
      <c r="B11" s="32" t="s">
        <v>308</v>
      </c>
      <c r="C11" s="26" t="e">
        <f t="shared" si="0"/>
        <v>#REF!</v>
      </c>
      <c r="D11" s="26" t="e">
        <f t="shared" si="1"/>
        <v>#REF!</v>
      </c>
      <c r="E11" s="12" t="e">
        <f t="shared" si="2"/>
        <v>#REF!</v>
      </c>
      <c r="F11" s="26"/>
      <c r="G11" s="26" t="e">
        <f t="shared" si="3"/>
        <v>#REF!</v>
      </c>
      <c r="H11" s="26" t="e">
        <f t="shared" si="4"/>
        <v>#REF!</v>
      </c>
      <c r="I11" s="12" t="e">
        <f t="shared" si="5"/>
        <v>#REF!</v>
      </c>
      <c r="J11" s="26"/>
      <c r="K11" s="26" t="e">
        <f t="shared" si="6"/>
        <v>#REF!</v>
      </c>
      <c r="L11" s="26" t="e">
        <f t="shared" si="7"/>
        <v>#REF!</v>
      </c>
      <c r="M11" s="12" t="e">
        <f t="shared" si="8"/>
        <v>#REF!</v>
      </c>
      <c r="N11" s="12"/>
      <c r="O11" s="26" t="e">
        <f t="shared" si="9"/>
        <v>#REF!</v>
      </c>
      <c r="P11" s="26" t="e">
        <f t="shared" si="10"/>
        <v>#REF!</v>
      </c>
      <c r="Q11" s="12" t="e">
        <f t="shared" si="11"/>
        <v>#REF!</v>
      </c>
      <c r="R11" s="12"/>
      <c r="S11" s="26" t="e">
        <f t="shared" si="12"/>
        <v>#REF!</v>
      </c>
      <c r="T11" s="26" t="e">
        <f t="shared" si="13"/>
        <v>#REF!</v>
      </c>
      <c r="U11" s="12" t="e">
        <f t="shared" si="14"/>
        <v>#REF!</v>
      </c>
      <c r="V11" s="12"/>
      <c r="W11" s="44" t="e">
        <f t="shared" si="15"/>
        <v>#REF!</v>
      </c>
      <c r="X11" s="26" t="e">
        <f t="shared" si="16"/>
        <v>#REF!</v>
      </c>
      <c r="Y11" s="12" t="e">
        <f t="shared" si="17"/>
        <v>#REF!</v>
      </c>
    </row>
    <row r="12" spans="1:25" ht="16.5" customHeight="1">
      <c r="A12" s="16" t="s">
        <v>27</v>
      </c>
      <c r="B12" s="32" t="s">
        <v>28</v>
      </c>
      <c r="C12" s="26" t="e">
        <f t="shared" si="0"/>
        <v>#REF!</v>
      </c>
      <c r="D12" s="26" t="e">
        <f t="shared" si="1"/>
        <v>#REF!</v>
      </c>
      <c r="E12" s="12" t="e">
        <f t="shared" si="2"/>
        <v>#REF!</v>
      </c>
      <c r="F12" s="26"/>
      <c r="G12" s="26" t="e">
        <f t="shared" si="3"/>
        <v>#REF!</v>
      </c>
      <c r="H12" s="26" t="e">
        <f t="shared" si="4"/>
        <v>#REF!</v>
      </c>
      <c r="I12" s="12" t="e">
        <f t="shared" si="5"/>
        <v>#REF!</v>
      </c>
      <c r="J12" s="26"/>
      <c r="K12" s="26" t="e">
        <f t="shared" si="6"/>
        <v>#REF!</v>
      </c>
      <c r="L12" s="26" t="e">
        <f t="shared" si="7"/>
        <v>#REF!</v>
      </c>
      <c r="M12" s="12" t="e">
        <f t="shared" si="8"/>
        <v>#REF!</v>
      </c>
      <c r="N12" s="12"/>
      <c r="O12" s="26" t="e">
        <f t="shared" si="9"/>
        <v>#REF!</v>
      </c>
      <c r="P12" s="26" t="e">
        <f t="shared" si="10"/>
        <v>#REF!</v>
      </c>
      <c r="Q12" s="12" t="e">
        <f t="shared" si="11"/>
        <v>#REF!</v>
      </c>
      <c r="R12" s="12"/>
      <c r="S12" s="26" t="e">
        <f t="shared" si="12"/>
        <v>#REF!</v>
      </c>
      <c r="T12" s="26" t="e">
        <f t="shared" si="13"/>
        <v>#REF!</v>
      </c>
      <c r="U12" s="12" t="e">
        <f t="shared" si="14"/>
        <v>#REF!</v>
      </c>
      <c r="V12" s="12"/>
      <c r="W12" s="44" t="e">
        <f t="shared" si="15"/>
        <v>#REF!</v>
      </c>
      <c r="X12" s="26" t="e">
        <f t="shared" si="16"/>
        <v>#REF!</v>
      </c>
      <c r="Y12" s="12" t="e">
        <f t="shared" si="17"/>
        <v>#REF!</v>
      </c>
    </row>
    <row r="13" spans="1:25" ht="16.5" customHeight="1">
      <c r="A13" s="16" t="s">
        <v>29</v>
      </c>
      <c r="B13" s="17" t="s">
        <v>329</v>
      </c>
      <c r="C13" s="26" t="e">
        <f t="shared" si="0"/>
        <v>#REF!</v>
      </c>
      <c r="D13" s="26" t="e">
        <f t="shared" si="1"/>
        <v>#REF!</v>
      </c>
      <c r="E13" s="12" t="e">
        <f t="shared" si="2"/>
        <v>#REF!</v>
      </c>
      <c r="F13" s="26"/>
      <c r="G13" s="26" t="e">
        <f t="shared" si="3"/>
        <v>#REF!</v>
      </c>
      <c r="H13" s="26" t="e">
        <f t="shared" si="4"/>
        <v>#REF!</v>
      </c>
      <c r="I13" s="12" t="e">
        <f t="shared" si="5"/>
        <v>#REF!</v>
      </c>
      <c r="J13" s="26"/>
      <c r="K13" s="26" t="e">
        <f t="shared" si="6"/>
        <v>#REF!</v>
      </c>
      <c r="L13" s="26" t="e">
        <f t="shared" si="7"/>
        <v>#REF!</v>
      </c>
      <c r="M13" s="12" t="e">
        <f t="shared" si="8"/>
        <v>#REF!</v>
      </c>
      <c r="N13" s="12"/>
      <c r="O13" s="26" t="e">
        <f t="shared" si="9"/>
        <v>#REF!</v>
      </c>
      <c r="P13" s="26" t="e">
        <f t="shared" si="10"/>
        <v>#REF!</v>
      </c>
      <c r="Q13" s="12" t="e">
        <f t="shared" si="11"/>
        <v>#REF!</v>
      </c>
      <c r="R13" s="12"/>
      <c r="S13" s="26" t="e">
        <f t="shared" si="12"/>
        <v>#REF!</v>
      </c>
      <c r="T13" s="26" t="e">
        <f t="shared" si="13"/>
        <v>#REF!</v>
      </c>
      <c r="U13" s="12" t="e">
        <f t="shared" si="14"/>
        <v>#REF!</v>
      </c>
      <c r="V13" s="12"/>
      <c r="W13" s="44" t="e">
        <f t="shared" si="15"/>
        <v>#REF!</v>
      </c>
      <c r="X13" s="26" t="e">
        <f t="shared" si="16"/>
        <v>#REF!</v>
      </c>
      <c r="Y13" s="12" t="e">
        <f t="shared" si="17"/>
        <v>#REF!</v>
      </c>
    </row>
    <row r="14" spans="1:25" ht="16.5" customHeight="1">
      <c r="A14" s="16" t="s">
        <v>31</v>
      </c>
      <c r="B14" s="32" t="s">
        <v>32</v>
      </c>
      <c r="C14" s="26" t="e">
        <f t="shared" si="0"/>
        <v>#REF!</v>
      </c>
      <c r="D14" s="26" t="e">
        <f t="shared" si="1"/>
        <v>#REF!</v>
      </c>
      <c r="E14" s="12" t="e">
        <f t="shared" si="2"/>
        <v>#REF!</v>
      </c>
      <c r="F14" s="26"/>
      <c r="G14" s="26" t="e">
        <f t="shared" si="3"/>
        <v>#REF!</v>
      </c>
      <c r="H14" s="26" t="e">
        <f t="shared" si="4"/>
        <v>#REF!</v>
      </c>
      <c r="I14" s="12" t="e">
        <f t="shared" si="5"/>
        <v>#REF!</v>
      </c>
      <c r="J14" s="26"/>
      <c r="K14" s="26" t="e">
        <f t="shared" si="6"/>
        <v>#REF!</v>
      </c>
      <c r="L14" s="26" t="e">
        <f t="shared" si="7"/>
        <v>#REF!</v>
      </c>
      <c r="M14" s="12" t="e">
        <f t="shared" si="8"/>
        <v>#REF!</v>
      </c>
      <c r="N14" s="12"/>
      <c r="O14" s="26" t="e">
        <f t="shared" si="9"/>
        <v>#REF!</v>
      </c>
      <c r="P14" s="26" t="e">
        <f t="shared" si="10"/>
        <v>#REF!</v>
      </c>
      <c r="Q14" s="12" t="e">
        <f t="shared" si="11"/>
        <v>#REF!</v>
      </c>
      <c r="R14" s="12"/>
      <c r="S14" s="26" t="e">
        <f t="shared" si="12"/>
        <v>#REF!</v>
      </c>
      <c r="T14" s="26" t="e">
        <f t="shared" si="13"/>
        <v>#REF!</v>
      </c>
      <c r="U14" s="12" t="e">
        <f t="shared" si="14"/>
        <v>#REF!</v>
      </c>
      <c r="V14" s="12"/>
      <c r="W14" s="44" t="e">
        <f t="shared" si="15"/>
        <v>#REF!</v>
      </c>
      <c r="X14" s="26" t="e">
        <f t="shared" si="16"/>
        <v>#REF!</v>
      </c>
      <c r="Y14" s="12" t="e">
        <f t="shared" si="17"/>
        <v>#REF!</v>
      </c>
    </row>
    <row r="15" spans="1:25" ht="16.5" customHeight="1">
      <c r="A15" s="16" t="s">
        <v>33</v>
      </c>
      <c r="B15" s="17" t="s">
        <v>34</v>
      </c>
      <c r="C15" s="26" t="e">
        <f t="shared" si="0"/>
        <v>#REF!</v>
      </c>
      <c r="D15" s="26" t="e">
        <f t="shared" si="1"/>
        <v>#REF!</v>
      </c>
      <c r="E15" s="12" t="e">
        <f t="shared" si="2"/>
        <v>#REF!</v>
      </c>
      <c r="F15" s="26"/>
      <c r="G15" s="26" t="e">
        <f t="shared" si="3"/>
        <v>#REF!</v>
      </c>
      <c r="H15" s="26" t="e">
        <f t="shared" si="4"/>
        <v>#REF!</v>
      </c>
      <c r="I15" s="12" t="e">
        <f t="shared" si="5"/>
        <v>#REF!</v>
      </c>
      <c r="J15" s="26"/>
      <c r="K15" s="26" t="e">
        <f t="shared" si="6"/>
        <v>#REF!</v>
      </c>
      <c r="L15" s="26" t="e">
        <f t="shared" si="7"/>
        <v>#REF!</v>
      </c>
      <c r="M15" s="12" t="e">
        <f t="shared" si="8"/>
        <v>#REF!</v>
      </c>
      <c r="N15" s="12"/>
      <c r="O15" s="26" t="e">
        <f t="shared" si="9"/>
        <v>#REF!</v>
      </c>
      <c r="P15" s="26" t="e">
        <f t="shared" si="10"/>
        <v>#REF!</v>
      </c>
      <c r="Q15" s="12" t="e">
        <f t="shared" si="11"/>
        <v>#REF!</v>
      </c>
      <c r="R15" s="12"/>
      <c r="S15" s="26" t="e">
        <f t="shared" si="12"/>
        <v>#REF!</v>
      </c>
      <c r="T15" s="26" t="e">
        <f t="shared" si="13"/>
        <v>#REF!</v>
      </c>
      <c r="U15" s="12" t="e">
        <f t="shared" si="14"/>
        <v>#REF!</v>
      </c>
      <c r="V15" s="12"/>
      <c r="W15" s="44" t="e">
        <f t="shared" si="15"/>
        <v>#REF!</v>
      </c>
      <c r="X15" s="26" t="e">
        <f t="shared" si="16"/>
        <v>#REF!</v>
      </c>
      <c r="Y15" s="12" t="e">
        <f t="shared" si="17"/>
        <v>#REF!</v>
      </c>
    </row>
    <row r="16" spans="1:25" ht="16.5" customHeight="1">
      <c r="A16" s="16" t="s">
        <v>37</v>
      </c>
      <c r="B16" s="17" t="s">
        <v>38</v>
      </c>
      <c r="C16" s="26" t="e">
        <f t="shared" si="0"/>
        <v>#REF!</v>
      </c>
      <c r="D16" s="26" t="e">
        <f t="shared" si="1"/>
        <v>#REF!</v>
      </c>
      <c r="E16" s="12" t="e">
        <f t="shared" si="2"/>
        <v>#REF!</v>
      </c>
      <c r="F16" s="26"/>
      <c r="G16" s="26" t="e">
        <f t="shared" si="3"/>
        <v>#REF!</v>
      </c>
      <c r="H16" s="26" t="e">
        <f t="shared" si="4"/>
        <v>#REF!</v>
      </c>
      <c r="I16" s="12" t="e">
        <f t="shared" si="5"/>
        <v>#REF!</v>
      </c>
      <c r="J16" s="26"/>
      <c r="K16" s="26" t="e">
        <f t="shared" si="6"/>
        <v>#REF!</v>
      </c>
      <c r="L16" s="26" t="e">
        <f t="shared" si="7"/>
        <v>#REF!</v>
      </c>
      <c r="M16" s="12" t="e">
        <f t="shared" si="8"/>
        <v>#REF!</v>
      </c>
      <c r="N16" s="12"/>
      <c r="O16" s="26" t="e">
        <f t="shared" si="9"/>
        <v>#REF!</v>
      </c>
      <c r="P16" s="26" t="e">
        <f t="shared" si="10"/>
        <v>#REF!</v>
      </c>
      <c r="Q16" s="12" t="e">
        <f t="shared" si="11"/>
        <v>#REF!</v>
      </c>
      <c r="R16" s="12"/>
      <c r="S16" s="26" t="e">
        <f t="shared" si="12"/>
        <v>#REF!</v>
      </c>
      <c r="T16" s="26" t="e">
        <f t="shared" si="13"/>
        <v>#REF!</v>
      </c>
      <c r="U16" s="12" t="e">
        <f t="shared" si="14"/>
        <v>#REF!</v>
      </c>
      <c r="V16" s="12"/>
      <c r="W16" s="44" t="e">
        <f t="shared" si="15"/>
        <v>#REF!</v>
      </c>
      <c r="X16" s="26" t="e">
        <f t="shared" si="16"/>
        <v>#REF!</v>
      </c>
      <c r="Y16" s="12" t="e">
        <f t="shared" si="17"/>
        <v>#REF!</v>
      </c>
    </row>
    <row r="17" spans="1:25" ht="16.5" customHeight="1">
      <c r="A17" s="16" t="s">
        <v>39</v>
      </c>
      <c r="B17" s="32" t="s">
        <v>40</v>
      </c>
      <c r="C17" s="26" t="e">
        <f t="shared" si="0"/>
        <v>#REF!</v>
      </c>
      <c r="D17" s="26" t="e">
        <f t="shared" si="1"/>
        <v>#REF!</v>
      </c>
      <c r="E17" s="12" t="e">
        <f t="shared" si="2"/>
        <v>#REF!</v>
      </c>
      <c r="F17" s="26"/>
      <c r="G17" s="26" t="e">
        <f t="shared" si="3"/>
        <v>#REF!</v>
      </c>
      <c r="H17" s="26" t="e">
        <f t="shared" si="4"/>
        <v>#REF!</v>
      </c>
      <c r="I17" s="12" t="e">
        <f t="shared" si="5"/>
        <v>#REF!</v>
      </c>
      <c r="J17" s="26"/>
      <c r="K17" s="26" t="e">
        <f t="shared" si="6"/>
        <v>#REF!</v>
      </c>
      <c r="L17" s="26" t="e">
        <f t="shared" si="7"/>
        <v>#REF!</v>
      </c>
      <c r="M17" s="12" t="e">
        <f t="shared" si="8"/>
        <v>#REF!</v>
      </c>
      <c r="N17" s="12"/>
      <c r="O17" s="26" t="e">
        <f t="shared" si="9"/>
        <v>#REF!</v>
      </c>
      <c r="P17" s="26" t="e">
        <f t="shared" si="10"/>
        <v>#REF!</v>
      </c>
      <c r="Q17" s="12" t="e">
        <f t="shared" si="11"/>
        <v>#REF!</v>
      </c>
      <c r="R17" s="12"/>
      <c r="S17" s="26" t="e">
        <f t="shared" si="12"/>
        <v>#REF!</v>
      </c>
      <c r="T17" s="26" t="e">
        <f t="shared" si="13"/>
        <v>#REF!</v>
      </c>
      <c r="U17" s="12" t="e">
        <f t="shared" si="14"/>
        <v>#REF!</v>
      </c>
      <c r="V17" s="12"/>
      <c r="W17" s="44" t="e">
        <f t="shared" si="15"/>
        <v>#REF!</v>
      </c>
      <c r="X17" s="26" t="e">
        <f t="shared" si="16"/>
        <v>#REF!</v>
      </c>
      <c r="Y17" s="12" t="e">
        <f t="shared" si="17"/>
        <v>#REF!</v>
      </c>
    </row>
    <row r="18" spans="1:25" ht="16.5" customHeight="1">
      <c r="A18" s="16" t="s">
        <v>41</v>
      </c>
      <c r="B18" s="32" t="s">
        <v>42</v>
      </c>
      <c r="C18" s="26" t="e">
        <f t="shared" si="0"/>
        <v>#REF!</v>
      </c>
      <c r="D18" s="26" t="e">
        <f t="shared" si="1"/>
        <v>#REF!</v>
      </c>
      <c r="E18" s="12" t="e">
        <f t="shared" si="2"/>
        <v>#REF!</v>
      </c>
      <c r="F18" s="26"/>
      <c r="G18" s="26" t="e">
        <f t="shared" si="3"/>
        <v>#REF!</v>
      </c>
      <c r="H18" s="26" t="e">
        <f t="shared" si="4"/>
        <v>#REF!</v>
      </c>
      <c r="I18" s="12" t="e">
        <f t="shared" si="5"/>
        <v>#REF!</v>
      </c>
      <c r="J18" s="26"/>
      <c r="K18" s="26" t="e">
        <f t="shared" si="6"/>
        <v>#REF!</v>
      </c>
      <c r="L18" s="26" t="e">
        <f t="shared" si="7"/>
        <v>#REF!</v>
      </c>
      <c r="M18" s="12" t="e">
        <f t="shared" si="8"/>
        <v>#REF!</v>
      </c>
      <c r="N18" s="12"/>
      <c r="O18" s="26" t="e">
        <f t="shared" si="9"/>
        <v>#REF!</v>
      </c>
      <c r="P18" s="26" t="e">
        <f t="shared" si="10"/>
        <v>#REF!</v>
      </c>
      <c r="Q18" s="12" t="e">
        <f t="shared" si="11"/>
        <v>#REF!</v>
      </c>
      <c r="R18" s="12"/>
      <c r="S18" s="26" t="e">
        <f t="shared" si="12"/>
        <v>#REF!</v>
      </c>
      <c r="T18" s="26" t="e">
        <f t="shared" si="13"/>
        <v>#REF!</v>
      </c>
      <c r="U18" s="12" t="e">
        <f t="shared" si="14"/>
        <v>#REF!</v>
      </c>
      <c r="V18" s="12"/>
      <c r="W18" s="44" t="e">
        <f t="shared" si="15"/>
        <v>#REF!</v>
      </c>
      <c r="X18" s="26" t="e">
        <f t="shared" si="16"/>
        <v>#REF!</v>
      </c>
      <c r="Y18" s="12" t="e">
        <f t="shared" si="17"/>
        <v>#REF!</v>
      </c>
    </row>
    <row r="19" spans="1:25" ht="16.5" customHeight="1">
      <c r="A19" s="16" t="s">
        <v>43</v>
      </c>
      <c r="B19" s="32" t="s">
        <v>44</v>
      </c>
      <c r="C19" s="26" t="e">
        <f t="shared" si="0"/>
        <v>#REF!</v>
      </c>
      <c r="D19" s="26" t="e">
        <f t="shared" si="1"/>
        <v>#REF!</v>
      </c>
      <c r="E19" s="12" t="e">
        <f t="shared" si="2"/>
        <v>#REF!</v>
      </c>
      <c r="F19" s="26"/>
      <c r="G19" s="26" t="e">
        <f t="shared" si="3"/>
        <v>#REF!</v>
      </c>
      <c r="H19" s="26" t="e">
        <f t="shared" si="4"/>
        <v>#REF!</v>
      </c>
      <c r="I19" s="12" t="e">
        <f t="shared" si="5"/>
        <v>#REF!</v>
      </c>
      <c r="J19" s="26"/>
      <c r="K19" s="26" t="e">
        <f t="shared" si="6"/>
        <v>#REF!</v>
      </c>
      <c r="L19" s="26" t="e">
        <f t="shared" si="7"/>
        <v>#REF!</v>
      </c>
      <c r="M19" s="12" t="e">
        <f t="shared" si="8"/>
        <v>#REF!</v>
      </c>
      <c r="N19" s="12"/>
      <c r="O19" s="26" t="e">
        <f t="shared" si="9"/>
        <v>#REF!</v>
      </c>
      <c r="P19" s="26" t="e">
        <f t="shared" si="10"/>
        <v>#REF!</v>
      </c>
      <c r="Q19" s="12" t="e">
        <f t="shared" si="11"/>
        <v>#REF!</v>
      </c>
      <c r="R19" s="12"/>
      <c r="S19" s="26" t="e">
        <f t="shared" si="12"/>
        <v>#REF!</v>
      </c>
      <c r="T19" s="26" t="e">
        <f t="shared" si="13"/>
        <v>#REF!</v>
      </c>
      <c r="U19" s="12" t="e">
        <f t="shared" si="14"/>
        <v>#REF!</v>
      </c>
      <c r="V19" s="12"/>
      <c r="W19" s="44" t="e">
        <f t="shared" si="15"/>
        <v>#REF!</v>
      </c>
      <c r="X19" s="26" t="e">
        <f t="shared" si="16"/>
        <v>#REF!</v>
      </c>
      <c r="Y19" s="12" t="e">
        <f t="shared" si="17"/>
        <v>#REF!</v>
      </c>
    </row>
    <row r="20" spans="1:25" ht="16.5" customHeight="1">
      <c r="A20" s="16" t="s">
        <v>45</v>
      </c>
      <c r="B20" s="17" t="s">
        <v>46</v>
      </c>
      <c r="C20" s="26" t="e">
        <f t="shared" si="0"/>
        <v>#REF!</v>
      </c>
      <c r="D20" s="26" t="e">
        <f t="shared" si="1"/>
        <v>#REF!</v>
      </c>
      <c r="E20" s="12" t="e">
        <f t="shared" si="2"/>
        <v>#REF!</v>
      </c>
      <c r="F20" s="26"/>
      <c r="G20" s="26" t="e">
        <f t="shared" si="3"/>
        <v>#REF!</v>
      </c>
      <c r="H20" s="26" t="e">
        <f t="shared" si="4"/>
        <v>#REF!</v>
      </c>
      <c r="I20" s="12" t="e">
        <f t="shared" si="5"/>
        <v>#REF!</v>
      </c>
      <c r="J20" s="26"/>
      <c r="K20" s="26" t="e">
        <f t="shared" si="6"/>
        <v>#REF!</v>
      </c>
      <c r="L20" s="26" t="e">
        <f t="shared" si="7"/>
        <v>#REF!</v>
      </c>
      <c r="M20" s="12" t="e">
        <f t="shared" si="8"/>
        <v>#REF!</v>
      </c>
      <c r="N20" s="12"/>
      <c r="O20" s="26" t="e">
        <f t="shared" si="9"/>
        <v>#REF!</v>
      </c>
      <c r="P20" s="26" t="e">
        <f t="shared" si="10"/>
        <v>#REF!</v>
      </c>
      <c r="Q20" s="12" t="e">
        <f t="shared" si="11"/>
        <v>#REF!</v>
      </c>
      <c r="R20" s="12"/>
      <c r="S20" s="26" t="e">
        <f t="shared" si="12"/>
        <v>#REF!</v>
      </c>
      <c r="T20" s="26" t="e">
        <f t="shared" si="13"/>
        <v>#REF!</v>
      </c>
      <c r="U20" s="12" t="e">
        <f t="shared" si="14"/>
        <v>#REF!</v>
      </c>
      <c r="V20" s="12"/>
      <c r="W20" s="44" t="e">
        <f t="shared" si="15"/>
        <v>#REF!</v>
      </c>
      <c r="X20" s="26" t="e">
        <f t="shared" si="16"/>
        <v>#REF!</v>
      </c>
      <c r="Y20" s="12" t="e">
        <f t="shared" si="17"/>
        <v>#REF!</v>
      </c>
    </row>
    <row r="21" spans="1:25" ht="16.5" customHeight="1">
      <c r="A21" s="16" t="s">
        <v>47</v>
      </c>
      <c r="B21" s="32" t="s">
        <v>48</v>
      </c>
      <c r="C21" s="26" t="e">
        <f t="shared" si="0"/>
        <v>#REF!</v>
      </c>
      <c r="D21" s="26" t="e">
        <f t="shared" si="1"/>
        <v>#REF!</v>
      </c>
      <c r="E21" s="12" t="e">
        <f t="shared" si="2"/>
        <v>#REF!</v>
      </c>
      <c r="F21" s="26"/>
      <c r="G21" s="26" t="e">
        <f t="shared" si="3"/>
        <v>#REF!</v>
      </c>
      <c r="H21" s="26" t="e">
        <f t="shared" si="4"/>
        <v>#REF!</v>
      </c>
      <c r="I21" s="12" t="e">
        <f t="shared" si="5"/>
        <v>#REF!</v>
      </c>
      <c r="J21" s="26"/>
      <c r="K21" s="26" t="e">
        <f t="shared" si="6"/>
        <v>#REF!</v>
      </c>
      <c r="L21" s="26" t="e">
        <f t="shared" si="7"/>
        <v>#REF!</v>
      </c>
      <c r="M21" s="12" t="e">
        <f t="shared" si="8"/>
        <v>#REF!</v>
      </c>
      <c r="N21" s="12"/>
      <c r="O21" s="26" t="e">
        <f t="shared" si="9"/>
        <v>#REF!</v>
      </c>
      <c r="P21" s="26" t="e">
        <f t="shared" si="10"/>
        <v>#REF!</v>
      </c>
      <c r="Q21" s="12" t="e">
        <f t="shared" si="11"/>
        <v>#REF!</v>
      </c>
      <c r="R21" s="12"/>
      <c r="S21" s="26" t="e">
        <f t="shared" si="12"/>
        <v>#REF!</v>
      </c>
      <c r="T21" s="26" t="e">
        <f t="shared" si="13"/>
        <v>#REF!</v>
      </c>
      <c r="U21" s="12" t="e">
        <f t="shared" si="14"/>
        <v>#REF!</v>
      </c>
      <c r="V21" s="12"/>
      <c r="W21" s="44" t="e">
        <f t="shared" si="15"/>
        <v>#REF!</v>
      </c>
      <c r="X21" s="26" t="e">
        <f t="shared" si="16"/>
        <v>#REF!</v>
      </c>
      <c r="Y21" s="12" t="e">
        <f t="shared" si="17"/>
        <v>#REF!</v>
      </c>
    </row>
    <row r="22" spans="1:25" ht="16.5" customHeight="1">
      <c r="A22" s="16" t="s">
        <v>49</v>
      </c>
      <c r="B22" s="17" t="s">
        <v>276</v>
      </c>
      <c r="C22" s="26" t="e">
        <f t="shared" si="0"/>
        <v>#REF!</v>
      </c>
      <c r="D22" s="26" t="e">
        <f t="shared" si="1"/>
        <v>#REF!</v>
      </c>
      <c r="E22" s="12" t="e">
        <f t="shared" si="2"/>
        <v>#REF!</v>
      </c>
      <c r="F22" s="26"/>
      <c r="G22" s="26" t="e">
        <f t="shared" si="3"/>
        <v>#REF!</v>
      </c>
      <c r="H22" s="26" t="e">
        <f t="shared" si="4"/>
        <v>#REF!</v>
      </c>
      <c r="I22" s="12" t="e">
        <f t="shared" si="5"/>
        <v>#REF!</v>
      </c>
      <c r="J22" s="26"/>
      <c r="K22" s="26" t="e">
        <f t="shared" si="6"/>
        <v>#REF!</v>
      </c>
      <c r="L22" s="26" t="e">
        <f t="shared" si="7"/>
        <v>#REF!</v>
      </c>
      <c r="M22" s="12" t="e">
        <f t="shared" si="8"/>
        <v>#REF!</v>
      </c>
      <c r="N22" s="12"/>
      <c r="O22" s="26" t="e">
        <f t="shared" si="9"/>
        <v>#REF!</v>
      </c>
      <c r="P22" s="26" t="e">
        <f t="shared" si="10"/>
        <v>#REF!</v>
      </c>
      <c r="Q22" s="12" t="e">
        <f t="shared" si="11"/>
        <v>#REF!</v>
      </c>
      <c r="R22" s="12"/>
      <c r="S22" s="26" t="e">
        <f t="shared" si="12"/>
        <v>#REF!</v>
      </c>
      <c r="T22" s="26" t="e">
        <f t="shared" si="13"/>
        <v>#REF!</v>
      </c>
      <c r="U22" s="12" t="e">
        <f t="shared" si="14"/>
        <v>#REF!</v>
      </c>
      <c r="V22" s="12"/>
      <c r="W22" s="44" t="e">
        <f t="shared" si="15"/>
        <v>#REF!</v>
      </c>
      <c r="X22" s="26" t="e">
        <f t="shared" si="16"/>
        <v>#REF!</v>
      </c>
      <c r="Y22" s="12" t="e">
        <f t="shared" si="17"/>
        <v>#REF!</v>
      </c>
    </row>
    <row r="23" spans="1:25" ht="16.5" customHeight="1">
      <c r="A23" s="16" t="s">
        <v>51</v>
      </c>
      <c r="B23" s="32" t="s">
        <v>52</v>
      </c>
      <c r="C23" s="26" t="e">
        <f t="shared" si="0"/>
        <v>#REF!</v>
      </c>
      <c r="D23" s="26" t="e">
        <f t="shared" si="1"/>
        <v>#REF!</v>
      </c>
      <c r="E23" s="12" t="e">
        <f t="shared" si="2"/>
        <v>#REF!</v>
      </c>
      <c r="F23" s="26"/>
      <c r="G23" s="26" t="e">
        <f t="shared" si="3"/>
        <v>#REF!</v>
      </c>
      <c r="H23" s="26" t="e">
        <f t="shared" si="4"/>
        <v>#REF!</v>
      </c>
      <c r="I23" s="12" t="e">
        <f t="shared" si="5"/>
        <v>#REF!</v>
      </c>
      <c r="J23" s="26"/>
      <c r="K23" s="26" t="e">
        <f t="shared" si="6"/>
        <v>#REF!</v>
      </c>
      <c r="L23" s="26" t="e">
        <f t="shared" si="7"/>
        <v>#REF!</v>
      </c>
      <c r="M23" s="12" t="e">
        <f t="shared" si="8"/>
        <v>#REF!</v>
      </c>
      <c r="N23" s="12"/>
      <c r="O23" s="26" t="e">
        <f t="shared" si="9"/>
        <v>#REF!</v>
      </c>
      <c r="P23" s="26" t="e">
        <f t="shared" si="10"/>
        <v>#REF!</v>
      </c>
      <c r="Q23" s="12" t="e">
        <f t="shared" si="11"/>
        <v>#REF!</v>
      </c>
      <c r="R23" s="12"/>
      <c r="S23" s="26" t="e">
        <f t="shared" si="12"/>
        <v>#REF!</v>
      </c>
      <c r="T23" s="26" t="e">
        <f t="shared" si="13"/>
        <v>#REF!</v>
      </c>
      <c r="U23" s="12" t="e">
        <f t="shared" si="14"/>
        <v>#REF!</v>
      </c>
      <c r="V23" s="12"/>
      <c r="W23" s="44" t="e">
        <f t="shared" si="15"/>
        <v>#REF!</v>
      </c>
      <c r="X23" s="26" t="e">
        <f t="shared" si="16"/>
        <v>#REF!</v>
      </c>
      <c r="Y23" s="12" t="e">
        <f t="shared" si="17"/>
        <v>#REF!</v>
      </c>
    </row>
    <row r="24" spans="1:25" ht="16.5" customHeight="1">
      <c r="A24" s="16" t="s">
        <v>57</v>
      </c>
      <c r="B24" s="17" t="s">
        <v>305</v>
      </c>
      <c r="C24" s="26" t="e">
        <f t="shared" si="0"/>
        <v>#REF!</v>
      </c>
      <c r="D24" s="26" t="e">
        <f t="shared" si="1"/>
        <v>#REF!</v>
      </c>
      <c r="E24" s="12" t="e">
        <f t="shared" si="2"/>
        <v>#REF!</v>
      </c>
      <c r="F24" s="26"/>
      <c r="G24" s="26" t="e">
        <f t="shared" si="3"/>
        <v>#REF!</v>
      </c>
      <c r="H24" s="26" t="e">
        <f t="shared" si="4"/>
        <v>#REF!</v>
      </c>
      <c r="I24" s="12" t="e">
        <f t="shared" si="5"/>
        <v>#REF!</v>
      </c>
      <c r="J24" s="26"/>
      <c r="K24" s="26" t="e">
        <f t="shared" si="6"/>
        <v>#REF!</v>
      </c>
      <c r="L24" s="26" t="e">
        <f t="shared" si="7"/>
        <v>#REF!</v>
      </c>
      <c r="M24" s="12" t="e">
        <f t="shared" si="8"/>
        <v>#REF!</v>
      </c>
      <c r="N24" s="12"/>
      <c r="O24" s="26" t="e">
        <f t="shared" si="9"/>
        <v>#REF!</v>
      </c>
      <c r="P24" s="26" t="e">
        <f t="shared" si="10"/>
        <v>#REF!</v>
      </c>
      <c r="Q24" s="12" t="e">
        <f t="shared" si="11"/>
        <v>#REF!</v>
      </c>
      <c r="R24" s="12"/>
      <c r="S24" s="26" t="e">
        <f t="shared" si="12"/>
        <v>#REF!</v>
      </c>
      <c r="T24" s="26" t="e">
        <f t="shared" si="13"/>
        <v>#REF!</v>
      </c>
      <c r="U24" s="12" t="e">
        <f t="shared" si="14"/>
        <v>#REF!</v>
      </c>
      <c r="V24" s="12"/>
      <c r="W24" s="44" t="e">
        <f t="shared" si="15"/>
        <v>#REF!</v>
      </c>
      <c r="X24" s="26" t="e">
        <f t="shared" si="16"/>
        <v>#REF!</v>
      </c>
      <c r="Y24" s="12" t="e">
        <f t="shared" si="17"/>
        <v>#REF!</v>
      </c>
    </row>
    <row r="25" spans="1:25" ht="16.5" customHeight="1">
      <c r="A25" s="16" t="s">
        <v>59</v>
      </c>
      <c r="B25" s="17" t="s">
        <v>60</v>
      </c>
      <c r="C25" s="26" t="e">
        <f t="shared" si="0"/>
        <v>#REF!</v>
      </c>
      <c r="D25" s="26" t="e">
        <f t="shared" si="1"/>
        <v>#REF!</v>
      </c>
      <c r="E25" s="12" t="e">
        <f t="shared" si="2"/>
        <v>#REF!</v>
      </c>
      <c r="F25" s="26"/>
      <c r="G25" s="26" t="e">
        <f t="shared" si="3"/>
        <v>#REF!</v>
      </c>
      <c r="H25" s="26" t="e">
        <f t="shared" si="4"/>
        <v>#REF!</v>
      </c>
      <c r="I25" s="12" t="e">
        <f t="shared" si="5"/>
        <v>#REF!</v>
      </c>
      <c r="J25" s="26"/>
      <c r="K25" s="26" t="e">
        <f t="shared" si="6"/>
        <v>#REF!</v>
      </c>
      <c r="L25" s="26" t="e">
        <f t="shared" si="7"/>
        <v>#REF!</v>
      </c>
      <c r="M25" s="12" t="e">
        <f t="shared" si="8"/>
        <v>#REF!</v>
      </c>
      <c r="N25" s="12"/>
      <c r="O25" s="26" t="e">
        <f t="shared" si="9"/>
        <v>#REF!</v>
      </c>
      <c r="P25" s="26" t="e">
        <f t="shared" si="10"/>
        <v>#REF!</v>
      </c>
      <c r="Q25" s="12" t="e">
        <f t="shared" si="11"/>
        <v>#REF!</v>
      </c>
      <c r="R25" s="12"/>
      <c r="S25" s="26" t="e">
        <f t="shared" si="12"/>
        <v>#REF!</v>
      </c>
      <c r="T25" s="26" t="e">
        <f t="shared" si="13"/>
        <v>#REF!</v>
      </c>
      <c r="U25" s="12" t="e">
        <f t="shared" si="14"/>
        <v>#REF!</v>
      </c>
      <c r="V25" s="12"/>
      <c r="W25" s="44" t="e">
        <f t="shared" si="15"/>
        <v>#REF!</v>
      </c>
      <c r="X25" s="26" t="e">
        <f t="shared" si="16"/>
        <v>#REF!</v>
      </c>
      <c r="Y25" s="12" t="e">
        <f t="shared" si="17"/>
        <v>#REF!</v>
      </c>
    </row>
    <row r="26" spans="1:25" ht="16.5" customHeight="1">
      <c r="A26" s="16" t="s">
        <v>61</v>
      </c>
      <c r="B26" s="32" t="s">
        <v>62</v>
      </c>
      <c r="C26" s="26" t="e">
        <f t="shared" si="0"/>
        <v>#REF!</v>
      </c>
      <c r="D26" s="26" t="e">
        <f t="shared" si="1"/>
        <v>#REF!</v>
      </c>
      <c r="E26" s="12" t="e">
        <f t="shared" si="2"/>
        <v>#REF!</v>
      </c>
      <c r="F26" s="26"/>
      <c r="G26" s="26" t="e">
        <f t="shared" si="3"/>
        <v>#REF!</v>
      </c>
      <c r="H26" s="26" t="e">
        <f t="shared" si="4"/>
        <v>#REF!</v>
      </c>
      <c r="I26" s="12" t="e">
        <f t="shared" si="5"/>
        <v>#REF!</v>
      </c>
      <c r="J26" s="26"/>
      <c r="K26" s="26" t="e">
        <f t="shared" si="6"/>
        <v>#REF!</v>
      </c>
      <c r="L26" s="26" t="e">
        <f t="shared" si="7"/>
        <v>#REF!</v>
      </c>
      <c r="M26" s="12" t="e">
        <f t="shared" si="8"/>
        <v>#REF!</v>
      </c>
      <c r="N26" s="12"/>
      <c r="O26" s="26" t="e">
        <f t="shared" si="9"/>
        <v>#REF!</v>
      </c>
      <c r="P26" s="26" t="e">
        <f t="shared" si="10"/>
        <v>#REF!</v>
      </c>
      <c r="Q26" s="12" t="e">
        <f t="shared" si="11"/>
        <v>#REF!</v>
      </c>
      <c r="R26" s="12"/>
      <c r="S26" s="26" t="e">
        <f t="shared" si="12"/>
        <v>#REF!</v>
      </c>
      <c r="T26" s="26" t="e">
        <f t="shared" si="13"/>
        <v>#REF!</v>
      </c>
      <c r="U26" s="12" t="e">
        <f t="shared" si="14"/>
        <v>#REF!</v>
      </c>
      <c r="V26" s="12"/>
      <c r="W26" s="44" t="e">
        <f t="shared" si="15"/>
        <v>#REF!</v>
      </c>
      <c r="X26" s="26" t="e">
        <f t="shared" si="16"/>
        <v>#REF!</v>
      </c>
      <c r="Y26" s="12" t="e">
        <f t="shared" si="17"/>
        <v>#REF!</v>
      </c>
    </row>
    <row r="27" spans="1:25" ht="16.5" customHeight="1">
      <c r="A27" s="16" t="s">
        <v>63</v>
      </c>
      <c r="B27" s="17" t="s">
        <v>64</v>
      </c>
      <c r="C27" s="26" t="e">
        <f t="shared" si="0"/>
        <v>#REF!</v>
      </c>
      <c r="D27" s="26" t="e">
        <f t="shared" si="1"/>
        <v>#REF!</v>
      </c>
      <c r="E27" s="12" t="e">
        <f t="shared" si="2"/>
        <v>#REF!</v>
      </c>
      <c r="F27" s="26"/>
      <c r="G27" s="26" t="e">
        <f t="shared" si="3"/>
        <v>#REF!</v>
      </c>
      <c r="H27" s="26" t="e">
        <f t="shared" si="4"/>
        <v>#REF!</v>
      </c>
      <c r="I27" s="12" t="e">
        <f t="shared" si="5"/>
        <v>#REF!</v>
      </c>
      <c r="J27" s="26"/>
      <c r="K27" s="26" t="e">
        <f t="shared" si="6"/>
        <v>#REF!</v>
      </c>
      <c r="L27" s="26" t="e">
        <f t="shared" si="7"/>
        <v>#REF!</v>
      </c>
      <c r="M27" s="12" t="e">
        <f t="shared" si="8"/>
        <v>#REF!</v>
      </c>
      <c r="N27" s="12"/>
      <c r="O27" s="26" t="e">
        <f t="shared" si="9"/>
        <v>#REF!</v>
      </c>
      <c r="P27" s="26" t="e">
        <f t="shared" si="10"/>
        <v>#REF!</v>
      </c>
      <c r="Q27" s="12" t="e">
        <f t="shared" si="11"/>
        <v>#REF!</v>
      </c>
      <c r="R27" s="12"/>
      <c r="S27" s="26" t="e">
        <f t="shared" si="12"/>
        <v>#REF!</v>
      </c>
      <c r="T27" s="26" t="e">
        <f t="shared" si="13"/>
        <v>#REF!</v>
      </c>
      <c r="U27" s="12" t="e">
        <f t="shared" si="14"/>
        <v>#REF!</v>
      </c>
      <c r="V27" s="12"/>
      <c r="W27" s="44" t="e">
        <f t="shared" si="15"/>
        <v>#REF!</v>
      </c>
      <c r="X27" s="26" t="e">
        <f t="shared" si="16"/>
        <v>#REF!</v>
      </c>
      <c r="Y27" s="12" t="e">
        <f t="shared" si="17"/>
        <v>#REF!</v>
      </c>
    </row>
    <row r="28" spans="1:25" ht="16.5" customHeight="1">
      <c r="A28" s="16" t="s">
        <v>65</v>
      </c>
      <c r="B28" s="32" t="s">
        <v>66</v>
      </c>
      <c r="C28" s="26" t="e">
        <f t="shared" si="0"/>
        <v>#REF!</v>
      </c>
      <c r="D28" s="26" t="e">
        <f t="shared" si="1"/>
        <v>#REF!</v>
      </c>
      <c r="E28" s="12" t="e">
        <f t="shared" si="2"/>
        <v>#REF!</v>
      </c>
      <c r="F28" s="26"/>
      <c r="G28" s="26" t="e">
        <f t="shared" si="3"/>
        <v>#REF!</v>
      </c>
      <c r="H28" s="26" t="e">
        <f t="shared" si="4"/>
        <v>#REF!</v>
      </c>
      <c r="I28" s="12" t="e">
        <f t="shared" si="5"/>
        <v>#REF!</v>
      </c>
      <c r="J28" s="26"/>
      <c r="K28" s="26" t="e">
        <f t="shared" si="6"/>
        <v>#REF!</v>
      </c>
      <c r="L28" s="26" t="e">
        <f t="shared" si="7"/>
        <v>#REF!</v>
      </c>
      <c r="M28" s="12" t="e">
        <f t="shared" si="8"/>
        <v>#REF!</v>
      </c>
      <c r="N28" s="12"/>
      <c r="O28" s="26" t="e">
        <f t="shared" si="9"/>
        <v>#REF!</v>
      </c>
      <c r="P28" s="26" t="e">
        <f t="shared" si="10"/>
        <v>#REF!</v>
      </c>
      <c r="Q28" s="12" t="e">
        <f t="shared" si="11"/>
        <v>#REF!</v>
      </c>
      <c r="R28" s="12"/>
      <c r="S28" s="26" t="e">
        <f t="shared" si="12"/>
        <v>#REF!</v>
      </c>
      <c r="T28" s="26" t="e">
        <f t="shared" si="13"/>
        <v>#REF!</v>
      </c>
      <c r="U28" s="12" t="e">
        <f t="shared" si="14"/>
        <v>#REF!</v>
      </c>
      <c r="V28" s="12"/>
      <c r="W28" s="44" t="e">
        <f t="shared" si="15"/>
        <v>#REF!</v>
      </c>
      <c r="X28" s="26" t="e">
        <f t="shared" si="16"/>
        <v>#REF!</v>
      </c>
      <c r="Y28" s="12" t="e">
        <f t="shared" si="17"/>
        <v>#REF!</v>
      </c>
    </row>
    <row r="29" spans="1:25" ht="16.5" customHeight="1">
      <c r="A29" s="16" t="s">
        <v>69</v>
      </c>
      <c r="B29" s="32" t="s">
        <v>70</v>
      </c>
      <c r="C29" s="26" t="e">
        <f t="shared" si="0"/>
        <v>#REF!</v>
      </c>
      <c r="D29" s="26" t="e">
        <f t="shared" si="1"/>
        <v>#REF!</v>
      </c>
      <c r="E29" s="12" t="e">
        <f t="shared" si="2"/>
        <v>#REF!</v>
      </c>
      <c r="F29" s="26"/>
      <c r="G29" s="26" t="e">
        <f t="shared" si="3"/>
        <v>#REF!</v>
      </c>
      <c r="H29" s="26" t="e">
        <f t="shared" si="4"/>
        <v>#REF!</v>
      </c>
      <c r="I29" s="12" t="e">
        <f t="shared" si="5"/>
        <v>#REF!</v>
      </c>
      <c r="J29" s="26"/>
      <c r="K29" s="26" t="e">
        <f t="shared" si="6"/>
        <v>#REF!</v>
      </c>
      <c r="L29" s="26" t="e">
        <f t="shared" si="7"/>
        <v>#REF!</v>
      </c>
      <c r="M29" s="12" t="e">
        <f t="shared" si="8"/>
        <v>#REF!</v>
      </c>
      <c r="N29" s="12"/>
      <c r="O29" s="26" t="e">
        <f t="shared" si="9"/>
        <v>#REF!</v>
      </c>
      <c r="P29" s="26" t="e">
        <f t="shared" si="10"/>
        <v>#REF!</v>
      </c>
      <c r="Q29" s="12" t="e">
        <f t="shared" si="11"/>
        <v>#REF!</v>
      </c>
      <c r="R29" s="12"/>
      <c r="S29" s="26" t="e">
        <f t="shared" si="12"/>
        <v>#REF!</v>
      </c>
      <c r="T29" s="26" t="e">
        <f t="shared" si="13"/>
        <v>#REF!</v>
      </c>
      <c r="U29" s="12" t="e">
        <f t="shared" si="14"/>
        <v>#REF!</v>
      </c>
      <c r="V29" s="12"/>
      <c r="W29" s="44" t="e">
        <f t="shared" si="15"/>
        <v>#REF!</v>
      </c>
      <c r="X29" s="26" t="e">
        <f t="shared" si="16"/>
        <v>#REF!</v>
      </c>
      <c r="Y29" s="12" t="e">
        <f t="shared" si="17"/>
        <v>#REF!</v>
      </c>
    </row>
    <row r="30" spans="1:25" ht="16.5" customHeight="1">
      <c r="A30" s="16" t="s">
        <v>71</v>
      </c>
      <c r="B30" s="32" t="s">
        <v>72</v>
      </c>
      <c r="C30" s="26" t="e">
        <f t="shared" si="0"/>
        <v>#REF!</v>
      </c>
      <c r="D30" s="26" t="e">
        <f t="shared" si="1"/>
        <v>#REF!</v>
      </c>
      <c r="E30" s="12" t="e">
        <f t="shared" si="2"/>
        <v>#REF!</v>
      </c>
      <c r="F30" s="26"/>
      <c r="G30" s="26" t="e">
        <f t="shared" si="3"/>
        <v>#REF!</v>
      </c>
      <c r="H30" s="26" t="e">
        <f t="shared" si="4"/>
        <v>#REF!</v>
      </c>
      <c r="I30" s="12" t="e">
        <f t="shared" si="5"/>
        <v>#REF!</v>
      </c>
      <c r="J30" s="26"/>
      <c r="K30" s="26" t="e">
        <f t="shared" si="6"/>
        <v>#REF!</v>
      </c>
      <c r="L30" s="26" t="e">
        <f t="shared" si="7"/>
        <v>#REF!</v>
      </c>
      <c r="M30" s="12" t="e">
        <f t="shared" si="8"/>
        <v>#REF!</v>
      </c>
      <c r="N30" s="12"/>
      <c r="O30" s="26" t="e">
        <f t="shared" si="9"/>
        <v>#REF!</v>
      </c>
      <c r="P30" s="26" t="e">
        <f t="shared" si="10"/>
        <v>#REF!</v>
      </c>
      <c r="Q30" s="12" t="e">
        <f t="shared" si="11"/>
        <v>#REF!</v>
      </c>
      <c r="R30" s="12"/>
      <c r="S30" s="26" t="e">
        <f t="shared" si="12"/>
        <v>#REF!</v>
      </c>
      <c r="T30" s="26" t="e">
        <f t="shared" si="13"/>
        <v>#REF!</v>
      </c>
      <c r="U30" s="12" t="e">
        <f t="shared" si="14"/>
        <v>#REF!</v>
      </c>
      <c r="V30" s="12"/>
      <c r="W30" s="44" t="e">
        <f t="shared" si="15"/>
        <v>#REF!</v>
      </c>
      <c r="X30" s="26" t="e">
        <f t="shared" si="16"/>
        <v>#REF!</v>
      </c>
      <c r="Y30" s="12" t="e">
        <f t="shared" si="17"/>
        <v>#REF!</v>
      </c>
    </row>
    <row r="31" spans="1:25" ht="16.5" customHeight="1">
      <c r="A31" s="16" t="s">
        <v>73</v>
      </c>
      <c r="B31" s="32" t="s">
        <v>74</v>
      </c>
      <c r="C31" s="26" t="e">
        <f t="shared" si="0"/>
        <v>#REF!</v>
      </c>
      <c r="D31" s="26" t="e">
        <f t="shared" si="1"/>
        <v>#REF!</v>
      </c>
      <c r="E31" s="12" t="e">
        <f t="shared" si="2"/>
        <v>#REF!</v>
      </c>
      <c r="F31" s="26"/>
      <c r="G31" s="26" t="e">
        <f t="shared" si="3"/>
        <v>#REF!</v>
      </c>
      <c r="H31" s="26" t="e">
        <f t="shared" si="4"/>
        <v>#REF!</v>
      </c>
      <c r="I31" s="12" t="e">
        <f t="shared" si="5"/>
        <v>#REF!</v>
      </c>
      <c r="J31" s="26"/>
      <c r="K31" s="26" t="e">
        <f t="shared" si="6"/>
        <v>#REF!</v>
      </c>
      <c r="L31" s="26" t="e">
        <f t="shared" si="7"/>
        <v>#REF!</v>
      </c>
      <c r="M31" s="12" t="e">
        <f t="shared" si="8"/>
        <v>#REF!</v>
      </c>
      <c r="N31" s="12"/>
      <c r="O31" s="26" t="e">
        <f t="shared" si="9"/>
        <v>#REF!</v>
      </c>
      <c r="P31" s="26" t="e">
        <f t="shared" si="10"/>
        <v>#REF!</v>
      </c>
      <c r="Q31" s="12" t="e">
        <f t="shared" si="11"/>
        <v>#REF!</v>
      </c>
      <c r="R31" s="12"/>
      <c r="S31" s="26" t="e">
        <f t="shared" si="12"/>
        <v>#REF!</v>
      </c>
      <c r="T31" s="26" t="e">
        <f t="shared" si="13"/>
        <v>#REF!</v>
      </c>
      <c r="U31" s="12" t="e">
        <f t="shared" si="14"/>
        <v>#REF!</v>
      </c>
      <c r="V31" s="12"/>
      <c r="W31" s="44" t="e">
        <f t="shared" si="15"/>
        <v>#REF!</v>
      </c>
      <c r="X31" s="26" t="e">
        <f t="shared" si="16"/>
        <v>#REF!</v>
      </c>
      <c r="Y31" s="12" t="e">
        <f t="shared" si="17"/>
        <v>#REF!</v>
      </c>
    </row>
    <row r="32" spans="1:25" ht="16.5" customHeight="1">
      <c r="A32" s="16" t="s">
        <v>75</v>
      </c>
      <c r="B32" s="17" t="s">
        <v>312</v>
      </c>
      <c r="C32" s="26" t="e">
        <f t="shared" si="0"/>
        <v>#REF!</v>
      </c>
      <c r="D32" s="26" t="e">
        <f t="shared" si="1"/>
        <v>#REF!</v>
      </c>
      <c r="E32" s="12" t="e">
        <f t="shared" si="2"/>
        <v>#REF!</v>
      </c>
      <c r="F32" s="26"/>
      <c r="G32" s="26" t="e">
        <f t="shared" si="3"/>
        <v>#REF!</v>
      </c>
      <c r="H32" s="26" t="e">
        <f t="shared" si="4"/>
        <v>#REF!</v>
      </c>
      <c r="I32" s="12" t="e">
        <f t="shared" si="5"/>
        <v>#REF!</v>
      </c>
      <c r="J32" s="26"/>
      <c r="K32" s="26" t="e">
        <f t="shared" si="6"/>
        <v>#REF!</v>
      </c>
      <c r="L32" s="26" t="e">
        <f t="shared" si="7"/>
        <v>#REF!</v>
      </c>
      <c r="M32" s="12" t="e">
        <f t="shared" si="8"/>
        <v>#REF!</v>
      </c>
      <c r="N32" s="12"/>
      <c r="O32" s="26" t="e">
        <f t="shared" si="9"/>
        <v>#REF!</v>
      </c>
      <c r="P32" s="26" t="e">
        <f t="shared" si="10"/>
        <v>#REF!</v>
      </c>
      <c r="Q32" s="12" t="e">
        <f t="shared" si="11"/>
        <v>#REF!</v>
      </c>
      <c r="R32" s="12"/>
      <c r="S32" s="26" t="e">
        <f t="shared" si="12"/>
        <v>#REF!</v>
      </c>
      <c r="T32" s="26" t="e">
        <f t="shared" si="13"/>
        <v>#REF!</v>
      </c>
      <c r="U32" s="12" t="e">
        <f t="shared" si="14"/>
        <v>#REF!</v>
      </c>
      <c r="V32" s="12"/>
      <c r="W32" s="44" t="e">
        <f t="shared" si="15"/>
        <v>#REF!</v>
      </c>
      <c r="X32" s="26" t="e">
        <f t="shared" si="16"/>
        <v>#REF!</v>
      </c>
      <c r="Y32" s="12" t="e">
        <f t="shared" si="17"/>
        <v>#REF!</v>
      </c>
    </row>
    <row r="33" spans="1:25" ht="16.5" customHeight="1">
      <c r="A33" s="16" t="s">
        <v>77</v>
      </c>
      <c r="B33" s="17" t="s">
        <v>78</v>
      </c>
      <c r="C33" s="26" t="e">
        <f t="shared" si="0"/>
        <v>#REF!</v>
      </c>
      <c r="D33" s="26" t="e">
        <f t="shared" si="1"/>
        <v>#REF!</v>
      </c>
      <c r="E33" s="12" t="e">
        <f t="shared" si="2"/>
        <v>#REF!</v>
      </c>
      <c r="F33" s="26"/>
      <c r="G33" s="26" t="e">
        <f t="shared" si="3"/>
        <v>#REF!</v>
      </c>
      <c r="H33" s="26" t="e">
        <f t="shared" si="4"/>
        <v>#REF!</v>
      </c>
      <c r="I33" s="12" t="e">
        <f t="shared" si="5"/>
        <v>#REF!</v>
      </c>
      <c r="J33" s="26"/>
      <c r="K33" s="26" t="e">
        <f t="shared" si="6"/>
        <v>#REF!</v>
      </c>
      <c r="L33" s="26" t="e">
        <f t="shared" si="7"/>
        <v>#REF!</v>
      </c>
      <c r="M33" s="12" t="e">
        <f t="shared" si="8"/>
        <v>#REF!</v>
      </c>
      <c r="N33" s="12"/>
      <c r="O33" s="26" t="e">
        <f t="shared" si="9"/>
        <v>#REF!</v>
      </c>
      <c r="P33" s="26" t="e">
        <f t="shared" si="10"/>
        <v>#REF!</v>
      </c>
      <c r="Q33" s="12" t="e">
        <f t="shared" si="11"/>
        <v>#REF!</v>
      </c>
      <c r="R33" s="12"/>
      <c r="S33" s="26" t="e">
        <f t="shared" si="12"/>
        <v>#REF!</v>
      </c>
      <c r="T33" s="26" t="e">
        <f t="shared" si="13"/>
        <v>#REF!</v>
      </c>
      <c r="U33" s="12" t="e">
        <f t="shared" si="14"/>
        <v>#REF!</v>
      </c>
      <c r="V33" s="12"/>
      <c r="W33" s="44" t="e">
        <f t="shared" si="15"/>
        <v>#REF!</v>
      </c>
      <c r="X33" s="26" t="e">
        <f t="shared" si="16"/>
        <v>#REF!</v>
      </c>
      <c r="Y33" s="12" t="e">
        <f t="shared" si="17"/>
        <v>#REF!</v>
      </c>
    </row>
    <row r="34" spans="1:25" ht="16.5" customHeight="1">
      <c r="A34" s="16" t="s">
        <v>79</v>
      </c>
      <c r="B34" s="32" t="s">
        <v>80</v>
      </c>
      <c r="C34" s="26" t="e">
        <f t="shared" si="0"/>
        <v>#REF!</v>
      </c>
      <c r="D34" s="26" t="e">
        <f t="shared" si="1"/>
        <v>#REF!</v>
      </c>
      <c r="E34" s="12" t="e">
        <f t="shared" si="2"/>
        <v>#REF!</v>
      </c>
      <c r="F34" s="26"/>
      <c r="G34" s="26" t="e">
        <f t="shared" si="3"/>
        <v>#REF!</v>
      </c>
      <c r="H34" s="26" t="e">
        <f t="shared" si="4"/>
        <v>#REF!</v>
      </c>
      <c r="I34" s="12" t="e">
        <f t="shared" si="5"/>
        <v>#REF!</v>
      </c>
      <c r="J34" s="26"/>
      <c r="K34" s="26" t="e">
        <f t="shared" si="6"/>
        <v>#REF!</v>
      </c>
      <c r="L34" s="26" t="e">
        <f t="shared" si="7"/>
        <v>#REF!</v>
      </c>
      <c r="M34" s="12" t="e">
        <f t="shared" si="8"/>
        <v>#REF!</v>
      </c>
      <c r="N34" s="12"/>
      <c r="O34" s="26" t="e">
        <f t="shared" si="9"/>
        <v>#REF!</v>
      </c>
      <c r="P34" s="26" t="e">
        <f t="shared" si="10"/>
        <v>#REF!</v>
      </c>
      <c r="Q34" s="12" t="e">
        <f t="shared" si="11"/>
        <v>#REF!</v>
      </c>
      <c r="R34" s="12"/>
      <c r="S34" s="26" t="e">
        <f t="shared" si="12"/>
        <v>#REF!</v>
      </c>
      <c r="T34" s="26" t="e">
        <f t="shared" si="13"/>
        <v>#REF!</v>
      </c>
      <c r="U34" s="12" t="e">
        <f t="shared" si="14"/>
        <v>#REF!</v>
      </c>
      <c r="V34" s="12"/>
      <c r="W34" s="44" t="e">
        <f t="shared" si="15"/>
        <v>#REF!</v>
      </c>
      <c r="X34" s="26" t="e">
        <f t="shared" si="16"/>
        <v>#REF!</v>
      </c>
      <c r="Y34" s="12" t="e">
        <f t="shared" si="17"/>
        <v>#REF!</v>
      </c>
    </row>
    <row r="35" spans="1:25" ht="16.5" customHeight="1">
      <c r="A35" s="16" t="s">
        <v>81</v>
      </c>
      <c r="B35" s="17" t="s">
        <v>82</v>
      </c>
      <c r="C35" s="26" t="e">
        <f t="shared" si="0"/>
        <v>#REF!</v>
      </c>
      <c r="D35" s="26" t="e">
        <f t="shared" si="1"/>
        <v>#REF!</v>
      </c>
      <c r="E35" s="12" t="e">
        <f t="shared" si="2"/>
        <v>#REF!</v>
      </c>
      <c r="F35" s="26"/>
      <c r="G35" s="26" t="e">
        <f t="shared" si="3"/>
        <v>#REF!</v>
      </c>
      <c r="H35" s="26" t="e">
        <f t="shared" si="4"/>
        <v>#REF!</v>
      </c>
      <c r="I35" s="12" t="e">
        <f t="shared" si="5"/>
        <v>#REF!</v>
      </c>
      <c r="J35" s="26"/>
      <c r="K35" s="26" t="e">
        <f t="shared" si="6"/>
        <v>#REF!</v>
      </c>
      <c r="L35" s="26" t="e">
        <f t="shared" si="7"/>
        <v>#REF!</v>
      </c>
      <c r="M35" s="12" t="e">
        <f t="shared" si="8"/>
        <v>#REF!</v>
      </c>
      <c r="N35" s="12"/>
      <c r="O35" s="26" t="e">
        <f t="shared" si="9"/>
        <v>#REF!</v>
      </c>
      <c r="P35" s="26" t="e">
        <f t="shared" si="10"/>
        <v>#REF!</v>
      </c>
      <c r="Q35" s="12" t="e">
        <f t="shared" si="11"/>
        <v>#REF!</v>
      </c>
      <c r="R35" s="12"/>
      <c r="S35" s="26" t="e">
        <f t="shared" si="12"/>
        <v>#REF!</v>
      </c>
      <c r="T35" s="26" t="e">
        <f t="shared" si="13"/>
        <v>#REF!</v>
      </c>
      <c r="U35" s="12" t="e">
        <f t="shared" si="14"/>
        <v>#REF!</v>
      </c>
      <c r="V35" s="12"/>
      <c r="W35" s="44" t="e">
        <f t="shared" si="15"/>
        <v>#REF!</v>
      </c>
      <c r="X35" s="26" t="e">
        <f t="shared" si="16"/>
        <v>#REF!</v>
      </c>
      <c r="Y35" s="12" t="e">
        <f t="shared" si="17"/>
        <v>#REF!</v>
      </c>
    </row>
    <row r="36" spans="1:25" ht="16.5" customHeight="1">
      <c r="A36" s="16" t="s">
        <v>85</v>
      </c>
      <c r="B36" s="32" t="s">
        <v>330</v>
      </c>
      <c r="C36" s="26" t="e">
        <f t="shared" ref="C36:C67" si="18">VLOOKUP(A36,MedicaidR,7,FALSE)</f>
        <v>#REF!</v>
      </c>
      <c r="D36" s="26" t="e">
        <f t="shared" ref="D36:D67" si="19">VLOOKUP(A36,Pop,14,FALSE)</f>
        <v>#REF!</v>
      </c>
      <c r="E36" s="12" t="e">
        <f t="shared" ref="E36:E67" si="20">+C36/D36</f>
        <v>#REF!</v>
      </c>
      <c r="F36" s="26"/>
      <c r="G36" s="26" t="e">
        <f t="shared" ref="G36:G67" si="21">VLOOKUP(A36,MedicaidR,8,FALSE)</f>
        <v>#REF!</v>
      </c>
      <c r="H36" s="26" t="e">
        <f t="shared" ref="H36:H67" si="22">VLOOKUP(A36,Pop,15,FALSE)</f>
        <v>#REF!</v>
      </c>
      <c r="I36" s="12" t="e">
        <f t="shared" ref="I36:I67" si="23">+G36/H36</f>
        <v>#REF!</v>
      </c>
      <c r="J36" s="26"/>
      <c r="K36" s="26" t="e">
        <f t="shared" ref="K36:K67" si="24">VLOOKUP(A36,MedicaidR,9,FALSE)</f>
        <v>#REF!</v>
      </c>
      <c r="L36" s="26" t="e">
        <f t="shared" ref="L36:L67" si="25">VLOOKUP(A36,Pop,16,FALSE)</f>
        <v>#REF!</v>
      </c>
      <c r="M36" s="12" t="e">
        <f t="shared" ref="M36:M67" si="26">+K36/L36</f>
        <v>#REF!</v>
      </c>
      <c r="N36" s="12"/>
      <c r="O36" s="26" t="e">
        <f t="shared" ref="O36:O67" si="27">VLOOKUP(A36,MedicaidR,3,FALSE)</f>
        <v>#REF!</v>
      </c>
      <c r="P36" s="26" t="e">
        <f t="shared" ref="P36:P67" si="28">VLOOKUP(A36,Pop,8,FALSE)</f>
        <v>#REF!</v>
      </c>
      <c r="Q36" s="12" t="e">
        <f t="shared" ref="Q36:Q67" si="29">+O36/P36</f>
        <v>#REF!</v>
      </c>
      <c r="R36" s="12"/>
      <c r="S36" s="26" t="e">
        <f t="shared" ref="S36:S67" si="30">VLOOKUP(A36,MedicaidR,4,FALSE)</f>
        <v>#REF!</v>
      </c>
      <c r="T36" s="26" t="e">
        <f t="shared" ref="T36:T67" si="31">VLOOKUP(A36,Pop,9,FALSE)</f>
        <v>#REF!</v>
      </c>
      <c r="U36" s="12" t="e">
        <f t="shared" ref="U36:U67" si="32">+S36/T36</f>
        <v>#REF!</v>
      </c>
      <c r="V36" s="12"/>
      <c r="W36" s="44" t="e">
        <f t="shared" ref="W36:W67" si="33">VLOOKUP(A36,MedicaidR,5,FALSE)</f>
        <v>#REF!</v>
      </c>
      <c r="X36" s="26" t="e">
        <f t="shared" ref="X36:X67" si="34">VLOOKUP(A36,Pop,10,FALSE)</f>
        <v>#REF!</v>
      </c>
      <c r="Y36" s="12" t="e">
        <f t="shared" ref="Y36:Y67" si="35">+W36/X36</f>
        <v>#REF!</v>
      </c>
    </row>
    <row r="37" spans="1:25" ht="16.5" customHeight="1">
      <c r="A37" s="16" t="s">
        <v>87</v>
      </c>
      <c r="B37" s="17" t="s">
        <v>88</v>
      </c>
      <c r="C37" s="26" t="e">
        <f t="shared" si="18"/>
        <v>#REF!</v>
      </c>
      <c r="D37" s="26" t="e">
        <f t="shared" si="19"/>
        <v>#REF!</v>
      </c>
      <c r="E37" s="12" t="e">
        <f t="shared" si="20"/>
        <v>#REF!</v>
      </c>
      <c r="F37" s="26"/>
      <c r="G37" s="26" t="e">
        <f t="shared" si="21"/>
        <v>#REF!</v>
      </c>
      <c r="H37" s="26" t="e">
        <f t="shared" si="22"/>
        <v>#REF!</v>
      </c>
      <c r="I37" s="12" t="e">
        <f t="shared" si="23"/>
        <v>#REF!</v>
      </c>
      <c r="J37" s="26"/>
      <c r="K37" s="26" t="e">
        <f t="shared" si="24"/>
        <v>#REF!</v>
      </c>
      <c r="L37" s="26" t="e">
        <f t="shared" si="25"/>
        <v>#REF!</v>
      </c>
      <c r="M37" s="12" t="e">
        <f t="shared" si="26"/>
        <v>#REF!</v>
      </c>
      <c r="N37" s="12"/>
      <c r="O37" s="26" t="e">
        <f t="shared" si="27"/>
        <v>#REF!</v>
      </c>
      <c r="P37" s="26" t="e">
        <f t="shared" si="28"/>
        <v>#REF!</v>
      </c>
      <c r="Q37" s="12" t="e">
        <f t="shared" si="29"/>
        <v>#REF!</v>
      </c>
      <c r="R37" s="12"/>
      <c r="S37" s="26" t="e">
        <f t="shared" si="30"/>
        <v>#REF!</v>
      </c>
      <c r="T37" s="26" t="e">
        <f t="shared" si="31"/>
        <v>#REF!</v>
      </c>
      <c r="U37" s="12" t="e">
        <f t="shared" si="32"/>
        <v>#REF!</v>
      </c>
      <c r="V37" s="12"/>
      <c r="W37" s="44" t="e">
        <f t="shared" si="33"/>
        <v>#REF!</v>
      </c>
      <c r="X37" s="26" t="e">
        <f t="shared" si="34"/>
        <v>#REF!</v>
      </c>
      <c r="Y37" s="12" t="e">
        <f t="shared" si="35"/>
        <v>#REF!</v>
      </c>
    </row>
    <row r="38" spans="1:25" ht="16.5" customHeight="1">
      <c r="A38" s="16" t="s">
        <v>93</v>
      </c>
      <c r="B38" s="17" t="s">
        <v>94</v>
      </c>
      <c r="C38" s="26" t="e">
        <f t="shared" si="18"/>
        <v>#REF!</v>
      </c>
      <c r="D38" s="26" t="e">
        <f t="shared" si="19"/>
        <v>#REF!</v>
      </c>
      <c r="E38" s="12" t="e">
        <f t="shared" si="20"/>
        <v>#REF!</v>
      </c>
      <c r="F38" s="26"/>
      <c r="G38" s="26" t="e">
        <f t="shared" si="21"/>
        <v>#REF!</v>
      </c>
      <c r="H38" s="26" t="e">
        <f t="shared" si="22"/>
        <v>#REF!</v>
      </c>
      <c r="I38" s="12" t="e">
        <f t="shared" si="23"/>
        <v>#REF!</v>
      </c>
      <c r="J38" s="26"/>
      <c r="K38" s="26" t="e">
        <f t="shared" si="24"/>
        <v>#REF!</v>
      </c>
      <c r="L38" s="26" t="e">
        <f t="shared" si="25"/>
        <v>#REF!</v>
      </c>
      <c r="M38" s="12" t="e">
        <f t="shared" si="26"/>
        <v>#REF!</v>
      </c>
      <c r="N38" s="12"/>
      <c r="O38" s="26" t="e">
        <f t="shared" si="27"/>
        <v>#REF!</v>
      </c>
      <c r="P38" s="26" t="e">
        <f t="shared" si="28"/>
        <v>#REF!</v>
      </c>
      <c r="Q38" s="12" t="e">
        <f t="shared" si="29"/>
        <v>#REF!</v>
      </c>
      <c r="R38" s="12"/>
      <c r="S38" s="26" t="e">
        <f t="shared" si="30"/>
        <v>#REF!</v>
      </c>
      <c r="T38" s="26" t="e">
        <f t="shared" si="31"/>
        <v>#REF!</v>
      </c>
      <c r="U38" s="12" t="e">
        <f t="shared" si="32"/>
        <v>#REF!</v>
      </c>
      <c r="V38" s="12"/>
      <c r="W38" s="44" t="e">
        <f t="shared" si="33"/>
        <v>#REF!</v>
      </c>
      <c r="X38" s="26" t="e">
        <f t="shared" si="34"/>
        <v>#REF!</v>
      </c>
      <c r="Y38" s="12" t="e">
        <f t="shared" si="35"/>
        <v>#REF!</v>
      </c>
    </row>
    <row r="39" spans="1:25" ht="16.5" customHeight="1">
      <c r="A39" s="16" t="s">
        <v>95</v>
      </c>
      <c r="B39" s="17" t="s">
        <v>96</v>
      </c>
      <c r="C39" s="26" t="e">
        <f t="shared" si="18"/>
        <v>#REF!</v>
      </c>
      <c r="D39" s="26" t="e">
        <f t="shared" si="19"/>
        <v>#REF!</v>
      </c>
      <c r="E39" s="12" t="e">
        <f t="shared" si="20"/>
        <v>#REF!</v>
      </c>
      <c r="F39" s="26"/>
      <c r="G39" s="26" t="e">
        <f t="shared" si="21"/>
        <v>#REF!</v>
      </c>
      <c r="H39" s="26" t="e">
        <f t="shared" si="22"/>
        <v>#REF!</v>
      </c>
      <c r="I39" s="12" t="e">
        <f t="shared" si="23"/>
        <v>#REF!</v>
      </c>
      <c r="J39" s="26"/>
      <c r="K39" s="26" t="e">
        <f t="shared" si="24"/>
        <v>#REF!</v>
      </c>
      <c r="L39" s="26" t="e">
        <f t="shared" si="25"/>
        <v>#REF!</v>
      </c>
      <c r="M39" s="12" t="e">
        <f t="shared" si="26"/>
        <v>#REF!</v>
      </c>
      <c r="N39" s="12"/>
      <c r="O39" s="26" t="e">
        <f t="shared" si="27"/>
        <v>#REF!</v>
      </c>
      <c r="P39" s="26" t="e">
        <f t="shared" si="28"/>
        <v>#REF!</v>
      </c>
      <c r="Q39" s="12" t="e">
        <f t="shared" si="29"/>
        <v>#REF!</v>
      </c>
      <c r="R39" s="12"/>
      <c r="S39" s="26" t="e">
        <f t="shared" si="30"/>
        <v>#REF!</v>
      </c>
      <c r="T39" s="26" t="e">
        <f t="shared" si="31"/>
        <v>#REF!</v>
      </c>
      <c r="U39" s="12" t="e">
        <f t="shared" si="32"/>
        <v>#REF!</v>
      </c>
      <c r="V39" s="12"/>
      <c r="W39" s="44" t="e">
        <f t="shared" si="33"/>
        <v>#REF!</v>
      </c>
      <c r="X39" s="26" t="e">
        <f t="shared" si="34"/>
        <v>#REF!</v>
      </c>
      <c r="Y39" s="12" t="e">
        <f t="shared" si="35"/>
        <v>#REF!</v>
      </c>
    </row>
    <row r="40" spans="1:25" ht="16.5" customHeight="1">
      <c r="A40" s="16" t="s">
        <v>97</v>
      </c>
      <c r="B40" s="17" t="s">
        <v>98</v>
      </c>
      <c r="C40" s="26" t="e">
        <f t="shared" si="18"/>
        <v>#REF!</v>
      </c>
      <c r="D40" s="26" t="e">
        <f t="shared" si="19"/>
        <v>#REF!</v>
      </c>
      <c r="E40" s="12" t="e">
        <f t="shared" si="20"/>
        <v>#REF!</v>
      </c>
      <c r="F40" s="26"/>
      <c r="G40" s="26" t="e">
        <f t="shared" si="21"/>
        <v>#REF!</v>
      </c>
      <c r="H40" s="26" t="e">
        <f t="shared" si="22"/>
        <v>#REF!</v>
      </c>
      <c r="I40" s="12" t="e">
        <f t="shared" si="23"/>
        <v>#REF!</v>
      </c>
      <c r="J40" s="26"/>
      <c r="K40" s="26" t="e">
        <f t="shared" si="24"/>
        <v>#REF!</v>
      </c>
      <c r="L40" s="26" t="e">
        <f t="shared" si="25"/>
        <v>#REF!</v>
      </c>
      <c r="M40" s="12" t="e">
        <f t="shared" si="26"/>
        <v>#REF!</v>
      </c>
      <c r="N40" s="12"/>
      <c r="O40" s="26" t="e">
        <f t="shared" si="27"/>
        <v>#REF!</v>
      </c>
      <c r="P40" s="26" t="e">
        <f t="shared" si="28"/>
        <v>#REF!</v>
      </c>
      <c r="Q40" s="12" t="e">
        <f t="shared" si="29"/>
        <v>#REF!</v>
      </c>
      <c r="R40" s="12"/>
      <c r="S40" s="26" t="e">
        <f t="shared" si="30"/>
        <v>#REF!</v>
      </c>
      <c r="T40" s="26" t="e">
        <f t="shared" si="31"/>
        <v>#REF!</v>
      </c>
      <c r="U40" s="12" t="e">
        <f t="shared" si="32"/>
        <v>#REF!</v>
      </c>
      <c r="V40" s="12"/>
      <c r="W40" s="44" t="e">
        <f t="shared" si="33"/>
        <v>#REF!</v>
      </c>
      <c r="X40" s="26" t="e">
        <f t="shared" si="34"/>
        <v>#REF!</v>
      </c>
      <c r="Y40" s="12" t="e">
        <f t="shared" si="35"/>
        <v>#REF!</v>
      </c>
    </row>
    <row r="41" spans="1:25" ht="16.5" customHeight="1">
      <c r="A41" s="16" t="s">
        <v>99</v>
      </c>
      <c r="B41" s="32" t="s">
        <v>100</v>
      </c>
      <c r="C41" s="26" t="e">
        <f t="shared" si="18"/>
        <v>#REF!</v>
      </c>
      <c r="D41" s="26" t="e">
        <f t="shared" si="19"/>
        <v>#REF!</v>
      </c>
      <c r="E41" s="12" t="e">
        <f t="shared" si="20"/>
        <v>#REF!</v>
      </c>
      <c r="F41" s="26"/>
      <c r="G41" s="26" t="e">
        <f t="shared" si="21"/>
        <v>#REF!</v>
      </c>
      <c r="H41" s="26" t="e">
        <f t="shared" si="22"/>
        <v>#REF!</v>
      </c>
      <c r="I41" s="12" t="e">
        <f t="shared" si="23"/>
        <v>#REF!</v>
      </c>
      <c r="J41" s="26"/>
      <c r="K41" s="26" t="e">
        <f t="shared" si="24"/>
        <v>#REF!</v>
      </c>
      <c r="L41" s="26" t="e">
        <f t="shared" si="25"/>
        <v>#REF!</v>
      </c>
      <c r="M41" s="12" t="e">
        <f t="shared" si="26"/>
        <v>#REF!</v>
      </c>
      <c r="N41" s="12"/>
      <c r="O41" s="26" t="e">
        <f t="shared" si="27"/>
        <v>#REF!</v>
      </c>
      <c r="P41" s="26" t="e">
        <f t="shared" si="28"/>
        <v>#REF!</v>
      </c>
      <c r="Q41" s="12" t="e">
        <f t="shared" si="29"/>
        <v>#REF!</v>
      </c>
      <c r="R41" s="12"/>
      <c r="S41" s="26" t="e">
        <f t="shared" si="30"/>
        <v>#REF!</v>
      </c>
      <c r="T41" s="26" t="e">
        <f t="shared" si="31"/>
        <v>#REF!</v>
      </c>
      <c r="U41" s="12" t="e">
        <f t="shared" si="32"/>
        <v>#REF!</v>
      </c>
      <c r="V41" s="12"/>
      <c r="W41" s="44" t="e">
        <f t="shared" si="33"/>
        <v>#REF!</v>
      </c>
      <c r="X41" s="26" t="e">
        <f t="shared" si="34"/>
        <v>#REF!</v>
      </c>
      <c r="Y41" s="12" t="e">
        <f t="shared" si="35"/>
        <v>#REF!</v>
      </c>
    </row>
    <row r="42" spans="1:25" ht="16.5" customHeight="1">
      <c r="A42" s="16" t="s">
        <v>101</v>
      </c>
      <c r="B42" s="32" t="s">
        <v>102</v>
      </c>
      <c r="C42" s="26" t="e">
        <f t="shared" si="18"/>
        <v>#REF!</v>
      </c>
      <c r="D42" s="26" t="e">
        <f t="shared" si="19"/>
        <v>#REF!</v>
      </c>
      <c r="E42" s="12" t="e">
        <f t="shared" si="20"/>
        <v>#REF!</v>
      </c>
      <c r="F42" s="26"/>
      <c r="G42" s="26" t="e">
        <f t="shared" si="21"/>
        <v>#REF!</v>
      </c>
      <c r="H42" s="26" t="e">
        <f t="shared" si="22"/>
        <v>#REF!</v>
      </c>
      <c r="I42" s="12" t="e">
        <f t="shared" si="23"/>
        <v>#REF!</v>
      </c>
      <c r="J42" s="26"/>
      <c r="K42" s="26" t="e">
        <f t="shared" si="24"/>
        <v>#REF!</v>
      </c>
      <c r="L42" s="26" t="e">
        <f t="shared" si="25"/>
        <v>#REF!</v>
      </c>
      <c r="M42" s="12" t="e">
        <f t="shared" si="26"/>
        <v>#REF!</v>
      </c>
      <c r="N42" s="12"/>
      <c r="O42" s="26" t="e">
        <f t="shared" si="27"/>
        <v>#REF!</v>
      </c>
      <c r="P42" s="26" t="e">
        <f t="shared" si="28"/>
        <v>#REF!</v>
      </c>
      <c r="Q42" s="12" t="e">
        <f t="shared" si="29"/>
        <v>#REF!</v>
      </c>
      <c r="R42" s="12"/>
      <c r="S42" s="26" t="e">
        <f t="shared" si="30"/>
        <v>#REF!</v>
      </c>
      <c r="T42" s="26" t="e">
        <f t="shared" si="31"/>
        <v>#REF!</v>
      </c>
      <c r="U42" s="12" t="e">
        <f t="shared" si="32"/>
        <v>#REF!</v>
      </c>
      <c r="V42" s="12"/>
      <c r="W42" s="44" t="e">
        <f t="shared" si="33"/>
        <v>#REF!</v>
      </c>
      <c r="X42" s="26" t="e">
        <f t="shared" si="34"/>
        <v>#REF!</v>
      </c>
      <c r="Y42" s="12" t="e">
        <f t="shared" si="35"/>
        <v>#REF!</v>
      </c>
    </row>
    <row r="43" spans="1:25" ht="16.5" customHeight="1">
      <c r="A43" s="16" t="s">
        <v>103</v>
      </c>
      <c r="B43" s="32" t="s">
        <v>104</v>
      </c>
      <c r="C43" s="26" t="e">
        <f t="shared" si="18"/>
        <v>#REF!</v>
      </c>
      <c r="D43" s="26" t="e">
        <f t="shared" si="19"/>
        <v>#REF!</v>
      </c>
      <c r="E43" s="12" t="e">
        <f t="shared" si="20"/>
        <v>#REF!</v>
      </c>
      <c r="F43" s="26"/>
      <c r="G43" s="26" t="e">
        <f t="shared" si="21"/>
        <v>#REF!</v>
      </c>
      <c r="H43" s="26" t="e">
        <f t="shared" si="22"/>
        <v>#REF!</v>
      </c>
      <c r="I43" s="12" t="e">
        <f t="shared" si="23"/>
        <v>#REF!</v>
      </c>
      <c r="J43" s="26"/>
      <c r="K43" s="26" t="e">
        <f t="shared" si="24"/>
        <v>#REF!</v>
      </c>
      <c r="L43" s="26" t="e">
        <f t="shared" si="25"/>
        <v>#REF!</v>
      </c>
      <c r="M43" s="12" t="e">
        <f t="shared" si="26"/>
        <v>#REF!</v>
      </c>
      <c r="N43" s="12"/>
      <c r="O43" s="26" t="e">
        <f t="shared" si="27"/>
        <v>#REF!</v>
      </c>
      <c r="P43" s="26" t="e">
        <f t="shared" si="28"/>
        <v>#REF!</v>
      </c>
      <c r="Q43" s="12" t="e">
        <f t="shared" si="29"/>
        <v>#REF!</v>
      </c>
      <c r="R43" s="12"/>
      <c r="S43" s="26" t="e">
        <f t="shared" si="30"/>
        <v>#REF!</v>
      </c>
      <c r="T43" s="26" t="e">
        <f t="shared" si="31"/>
        <v>#REF!</v>
      </c>
      <c r="U43" s="12" t="e">
        <f t="shared" si="32"/>
        <v>#REF!</v>
      </c>
      <c r="V43" s="12"/>
      <c r="W43" s="44" t="e">
        <f t="shared" si="33"/>
        <v>#REF!</v>
      </c>
      <c r="X43" s="26" t="e">
        <f t="shared" si="34"/>
        <v>#REF!</v>
      </c>
      <c r="Y43" s="12" t="e">
        <f t="shared" si="35"/>
        <v>#REF!</v>
      </c>
    </row>
    <row r="44" spans="1:25" ht="16.5" customHeight="1">
      <c r="A44" s="16" t="s">
        <v>105</v>
      </c>
      <c r="B44" s="17" t="s">
        <v>331</v>
      </c>
      <c r="C44" s="26" t="e">
        <f t="shared" si="18"/>
        <v>#REF!</v>
      </c>
      <c r="D44" s="26" t="e">
        <f t="shared" si="19"/>
        <v>#REF!</v>
      </c>
      <c r="E44" s="12" t="e">
        <f t="shared" si="20"/>
        <v>#REF!</v>
      </c>
      <c r="F44" s="26"/>
      <c r="G44" s="26" t="e">
        <f t="shared" si="21"/>
        <v>#REF!</v>
      </c>
      <c r="H44" s="26" t="e">
        <f t="shared" si="22"/>
        <v>#REF!</v>
      </c>
      <c r="I44" s="12" t="e">
        <f t="shared" si="23"/>
        <v>#REF!</v>
      </c>
      <c r="J44" s="26"/>
      <c r="K44" s="26" t="e">
        <f t="shared" si="24"/>
        <v>#REF!</v>
      </c>
      <c r="L44" s="26" t="e">
        <f t="shared" si="25"/>
        <v>#REF!</v>
      </c>
      <c r="M44" s="12" t="e">
        <f t="shared" si="26"/>
        <v>#REF!</v>
      </c>
      <c r="N44" s="12"/>
      <c r="O44" s="26" t="e">
        <f t="shared" si="27"/>
        <v>#REF!</v>
      </c>
      <c r="P44" s="26" t="e">
        <f t="shared" si="28"/>
        <v>#REF!</v>
      </c>
      <c r="Q44" s="12" t="e">
        <f t="shared" si="29"/>
        <v>#REF!</v>
      </c>
      <c r="R44" s="12"/>
      <c r="S44" s="26" t="e">
        <f t="shared" si="30"/>
        <v>#REF!</v>
      </c>
      <c r="T44" s="26" t="e">
        <f t="shared" si="31"/>
        <v>#REF!</v>
      </c>
      <c r="U44" s="12" t="e">
        <f t="shared" si="32"/>
        <v>#REF!</v>
      </c>
      <c r="V44" s="12"/>
      <c r="W44" s="44" t="e">
        <f t="shared" si="33"/>
        <v>#REF!</v>
      </c>
      <c r="X44" s="26" t="e">
        <f t="shared" si="34"/>
        <v>#REF!</v>
      </c>
      <c r="Y44" s="12" t="e">
        <f t="shared" si="35"/>
        <v>#REF!</v>
      </c>
    </row>
    <row r="45" spans="1:25" ht="16.5" customHeight="1">
      <c r="A45" s="16" t="s">
        <v>109</v>
      </c>
      <c r="B45" s="17" t="s">
        <v>110</v>
      </c>
      <c r="C45" s="26" t="e">
        <f t="shared" si="18"/>
        <v>#REF!</v>
      </c>
      <c r="D45" s="26" t="e">
        <f t="shared" si="19"/>
        <v>#REF!</v>
      </c>
      <c r="E45" s="12" t="e">
        <f t="shared" si="20"/>
        <v>#REF!</v>
      </c>
      <c r="F45" s="26"/>
      <c r="G45" s="26" t="e">
        <f t="shared" si="21"/>
        <v>#REF!</v>
      </c>
      <c r="H45" s="26" t="e">
        <f t="shared" si="22"/>
        <v>#REF!</v>
      </c>
      <c r="I45" s="12" t="e">
        <f t="shared" si="23"/>
        <v>#REF!</v>
      </c>
      <c r="J45" s="26"/>
      <c r="K45" s="26" t="e">
        <f t="shared" si="24"/>
        <v>#REF!</v>
      </c>
      <c r="L45" s="26" t="e">
        <f t="shared" si="25"/>
        <v>#REF!</v>
      </c>
      <c r="M45" s="12" t="e">
        <f t="shared" si="26"/>
        <v>#REF!</v>
      </c>
      <c r="N45" s="12"/>
      <c r="O45" s="26" t="e">
        <f t="shared" si="27"/>
        <v>#REF!</v>
      </c>
      <c r="P45" s="26" t="e">
        <f t="shared" si="28"/>
        <v>#REF!</v>
      </c>
      <c r="Q45" s="12" t="e">
        <f t="shared" si="29"/>
        <v>#REF!</v>
      </c>
      <c r="R45" s="12"/>
      <c r="S45" s="26" t="e">
        <f t="shared" si="30"/>
        <v>#REF!</v>
      </c>
      <c r="T45" s="26" t="e">
        <f t="shared" si="31"/>
        <v>#REF!</v>
      </c>
      <c r="U45" s="12" t="e">
        <f t="shared" si="32"/>
        <v>#REF!</v>
      </c>
      <c r="V45" s="12"/>
      <c r="W45" s="44" t="e">
        <f t="shared" si="33"/>
        <v>#REF!</v>
      </c>
      <c r="X45" s="26" t="e">
        <f t="shared" si="34"/>
        <v>#REF!</v>
      </c>
      <c r="Y45" s="12" t="e">
        <f t="shared" si="35"/>
        <v>#REF!</v>
      </c>
    </row>
    <row r="46" spans="1:25" ht="16.5" customHeight="1">
      <c r="A46" s="16" t="s">
        <v>111</v>
      </c>
      <c r="B46" s="17" t="s">
        <v>112</v>
      </c>
      <c r="C46" s="26" t="e">
        <f t="shared" si="18"/>
        <v>#REF!</v>
      </c>
      <c r="D46" s="26" t="e">
        <f t="shared" si="19"/>
        <v>#REF!</v>
      </c>
      <c r="E46" s="12" t="e">
        <f t="shared" si="20"/>
        <v>#REF!</v>
      </c>
      <c r="F46" s="26"/>
      <c r="G46" s="26" t="e">
        <f t="shared" si="21"/>
        <v>#REF!</v>
      </c>
      <c r="H46" s="26" t="e">
        <f t="shared" si="22"/>
        <v>#REF!</v>
      </c>
      <c r="I46" s="12" t="e">
        <f t="shared" si="23"/>
        <v>#REF!</v>
      </c>
      <c r="J46" s="26"/>
      <c r="K46" s="26" t="e">
        <f t="shared" si="24"/>
        <v>#REF!</v>
      </c>
      <c r="L46" s="26" t="e">
        <f t="shared" si="25"/>
        <v>#REF!</v>
      </c>
      <c r="M46" s="12" t="e">
        <f t="shared" si="26"/>
        <v>#REF!</v>
      </c>
      <c r="N46" s="12"/>
      <c r="O46" s="26" t="e">
        <f t="shared" si="27"/>
        <v>#REF!</v>
      </c>
      <c r="P46" s="26" t="e">
        <f t="shared" si="28"/>
        <v>#REF!</v>
      </c>
      <c r="Q46" s="12" t="e">
        <f t="shared" si="29"/>
        <v>#REF!</v>
      </c>
      <c r="R46" s="12"/>
      <c r="S46" s="26" t="e">
        <f t="shared" si="30"/>
        <v>#REF!</v>
      </c>
      <c r="T46" s="26" t="e">
        <f t="shared" si="31"/>
        <v>#REF!</v>
      </c>
      <c r="U46" s="12" t="e">
        <f t="shared" si="32"/>
        <v>#REF!</v>
      </c>
      <c r="V46" s="12"/>
      <c r="W46" s="44" t="e">
        <f t="shared" si="33"/>
        <v>#REF!</v>
      </c>
      <c r="X46" s="26" t="e">
        <f t="shared" si="34"/>
        <v>#REF!</v>
      </c>
      <c r="Y46" s="12" t="e">
        <f t="shared" si="35"/>
        <v>#REF!</v>
      </c>
    </row>
    <row r="47" spans="1:25" ht="16.5" customHeight="1">
      <c r="A47" s="16" t="s">
        <v>113</v>
      </c>
      <c r="B47" s="32" t="s">
        <v>310</v>
      </c>
      <c r="C47" s="26" t="e">
        <f t="shared" si="18"/>
        <v>#REF!</v>
      </c>
      <c r="D47" s="26" t="e">
        <f t="shared" si="19"/>
        <v>#REF!</v>
      </c>
      <c r="E47" s="12" t="e">
        <f t="shared" si="20"/>
        <v>#REF!</v>
      </c>
      <c r="F47" s="26"/>
      <c r="G47" s="26" t="e">
        <f t="shared" si="21"/>
        <v>#REF!</v>
      </c>
      <c r="H47" s="26" t="e">
        <f t="shared" si="22"/>
        <v>#REF!</v>
      </c>
      <c r="I47" s="12" t="e">
        <f t="shared" si="23"/>
        <v>#REF!</v>
      </c>
      <c r="J47" s="26"/>
      <c r="K47" s="26" t="e">
        <f t="shared" si="24"/>
        <v>#REF!</v>
      </c>
      <c r="L47" s="26" t="e">
        <f t="shared" si="25"/>
        <v>#REF!</v>
      </c>
      <c r="M47" s="12" t="e">
        <f t="shared" si="26"/>
        <v>#REF!</v>
      </c>
      <c r="N47" s="12"/>
      <c r="O47" s="26" t="e">
        <f t="shared" si="27"/>
        <v>#REF!</v>
      </c>
      <c r="P47" s="26" t="e">
        <f t="shared" si="28"/>
        <v>#REF!</v>
      </c>
      <c r="Q47" s="12" t="e">
        <f t="shared" si="29"/>
        <v>#REF!</v>
      </c>
      <c r="R47" s="12"/>
      <c r="S47" s="26" t="e">
        <f t="shared" si="30"/>
        <v>#REF!</v>
      </c>
      <c r="T47" s="26" t="e">
        <f t="shared" si="31"/>
        <v>#REF!</v>
      </c>
      <c r="U47" s="12" t="e">
        <f t="shared" si="32"/>
        <v>#REF!</v>
      </c>
      <c r="V47" s="12"/>
      <c r="W47" s="44" t="e">
        <f t="shared" si="33"/>
        <v>#REF!</v>
      </c>
      <c r="X47" s="26" t="e">
        <f t="shared" si="34"/>
        <v>#REF!</v>
      </c>
      <c r="Y47" s="12" t="e">
        <f t="shared" si="35"/>
        <v>#REF!</v>
      </c>
    </row>
    <row r="48" spans="1:25" ht="16.5" customHeight="1">
      <c r="A48" s="16" t="s">
        <v>115</v>
      </c>
      <c r="B48" s="32" t="s">
        <v>116</v>
      </c>
      <c r="C48" s="26" t="e">
        <f t="shared" si="18"/>
        <v>#REF!</v>
      </c>
      <c r="D48" s="26" t="e">
        <f t="shared" si="19"/>
        <v>#REF!</v>
      </c>
      <c r="E48" s="12" t="e">
        <f t="shared" si="20"/>
        <v>#REF!</v>
      </c>
      <c r="F48" s="26"/>
      <c r="G48" s="26" t="e">
        <f t="shared" si="21"/>
        <v>#REF!</v>
      </c>
      <c r="H48" s="26" t="e">
        <f t="shared" si="22"/>
        <v>#REF!</v>
      </c>
      <c r="I48" s="12" t="e">
        <f t="shared" si="23"/>
        <v>#REF!</v>
      </c>
      <c r="J48" s="26"/>
      <c r="K48" s="26" t="e">
        <f t="shared" si="24"/>
        <v>#REF!</v>
      </c>
      <c r="L48" s="26" t="e">
        <f t="shared" si="25"/>
        <v>#REF!</v>
      </c>
      <c r="M48" s="12" t="e">
        <f t="shared" si="26"/>
        <v>#REF!</v>
      </c>
      <c r="N48" s="12"/>
      <c r="O48" s="26" t="e">
        <f t="shared" si="27"/>
        <v>#REF!</v>
      </c>
      <c r="P48" s="26" t="e">
        <f t="shared" si="28"/>
        <v>#REF!</v>
      </c>
      <c r="Q48" s="12" t="e">
        <f t="shared" si="29"/>
        <v>#REF!</v>
      </c>
      <c r="R48" s="12"/>
      <c r="S48" s="26" t="e">
        <f t="shared" si="30"/>
        <v>#REF!</v>
      </c>
      <c r="T48" s="26" t="e">
        <f t="shared" si="31"/>
        <v>#REF!</v>
      </c>
      <c r="U48" s="12" t="e">
        <f t="shared" si="32"/>
        <v>#REF!</v>
      </c>
      <c r="V48" s="12"/>
      <c r="W48" s="44" t="e">
        <f t="shared" si="33"/>
        <v>#REF!</v>
      </c>
      <c r="X48" s="26" t="e">
        <f t="shared" si="34"/>
        <v>#REF!</v>
      </c>
      <c r="Y48" s="12" t="e">
        <f t="shared" si="35"/>
        <v>#REF!</v>
      </c>
    </row>
    <row r="49" spans="1:25" ht="16.5" customHeight="1">
      <c r="A49" s="16" t="s">
        <v>119</v>
      </c>
      <c r="B49" s="17" t="s">
        <v>120</v>
      </c>
      <c r="C49" s="26" t="e">
        <f t="shared" si="18"/>
        <v>#REF!</v>
      </c>
      <c r="D49" s="26" t="e">
        <f t="shared" si="19"/>
        <v>#REF!</v>
      </c>
      <c r="E49" s="12" t="e">
        <f t="shared" si="20"/>
        <v>#REF!</v>
      </c>
      <c r="F49" s="26"/>
      <c r="G49" s="26" t="e">
        <f t="shared" si="21"/>
        <v>#REF!</v>
      </c>
      <c r="H49" s="26" t="e">
        <f t="shared" si="22"/>
        <v>#REF!</v>
      </c>
      <c r="I49" s="12" t="e">
        <f t="shared" si="23"/>
        <v>#REF!</v>
      </c>
      <c r="J49" s="26"/>
      <c r="K49" s="26" t="e">
        <f t="shared" si="24"/>
        <v>#REF!</v>
      </c>
      <c r="L49" s="26" t="e">
        <f t="shared" si="25"/>
        <v>#REF!</v>
      </c>
      <c r="M49" s="12" t="e">
        <f t="shared" si="26"/>
        <v>#REF!</v>
      </c>
      <c r="N49" s="12"/>
      <c r="O49" s="26" t="e">
        <f t="shared" si="27"/>
        <v>#REF!</v>
      </c>
      <c r="P49" s="26" t="e">
        <f t="shared" si="28"/>
        <v>#REF!</v>
      </c>
      <c r="Q49" s="12" t="e">
        <f t="shared" si="29"/>
        <v>#REF!</v>
      </c>
      <c r="R49" s="12"/>
      <c r="S49" s="26" t="e">
        <f t="shared" si="30"/>
        <v>#REF!</v>
      </c>
      <c r="T49" s="26" t="e">
        <f t="shared" si="31"/>
        <v>#REF!</v>
      </c>
      <c r="U49" s="12" t="e">
        <f t="shared" si="32"/>
        <v>#REF!</v>
      </c>
      <c r="V49" s="12"/>
      <c r="W49" s="44" t="e">
        <f t="shared" si="33"/>
        <v>#REF!</v>
      </c>
      <c r="X49" s="26" t="e">
        <f t="shared" si="34"/>
        <v>#REF!</v>
      </c>
      <c r="Y49" s="12" t="e">
        <f t="shared" si="35"/>
        <v>#REF!</v>
      </c>
    </row>
    <row r="50" spans="1:25" ht="16.5" customHeight="1">
      <c r="A50" s="16" t="s">
        <v>121</v>
      </c>
      <c r="B50" s="17" t="s">
        <v>122</v>
      </c>
      <c r="C50" s="26" t="e">
        <f t="shared" si="18"/>
        <v>#REF!</v>
      </c>
      <c r="D50" s="26" t="e">
        <f t="shared" si="19"/>
        <v>#REF!</v>
      </c>
      <c r="E50" s="12" t="e">
        <f t="shared" si="20"/>
        <v>#REF!</v>
      </c>
      <c r="F50" s="26"/>
      <c r="G50" s="26" t="e">
        <f t="shared" si="21"/>
        <v>#REF!</v>
      </c>
      <c r="H50" s="26" t="e">
        <f t="shared" si="22"/>
        <v>#REF!</v>
      </c>
      <c r="I50" s="12" t="e">
        <f t="shared" si="23"/>
        <v>#REF!</v>
      </c>
      <c r="J50" s="26"/>
      <c r="K50" s="26" t="e">
        <f t="shared" si="24"/>
        <v>#REF!</v>
      </c>
      <c r="L50" s="26" t="e">
        <f t="shared" si="25"/>
        <v>#REF!</v>
      </c>
      <c r="M50" s="12" t="e">
        <f t="shared" si="26"/>
        <v>#REF!</v>
      </c>
      <c r="N50" s="12"/>
      <c r="O50" s="26" t="e">
        <f t="shared" si="27"/>
        <v>#REF!</v>
      </c>
      <c r="P50" s="26" t="e">
        <f t="shared" si="28"/>
        <v>#REF!</v>
      </c>
      <c r="Q50" s="12" t="e">
        <f t="shared" si="29"/>
        <v>#REF!</v>
      </c>
      <c r="R50" s="12"/>
      <c r="S50" s="26" t="e">
        <f t="shared" si="30"/>
        <v>#REF!</v>
      </c>
      <c r="T50" s="26" t="e">
        <f t="shared" si="31"/>
        <v>#REF!</v>
      </c>
      <c r="U50" s="12" t="e">
        <f t="shared" si="32"/>
        <v>#REF!</v>
      </c>
      <c r="V50" s="12"/>
      <c r="W50" s="44" t="e">
        <f t="shared" si="33"/>
        <v>#REF!</v>
      </c>
      <c r="X50" s="26" t="e">
        <f t="shared" si="34"/>
        <v>#REF!</v>
      </c>
      <c r="Y50" s="12" t="e">
        <f t="shared" si="35"/>
        <v>#REF!</v>
      </c>
    </row>
    <row r="51" spans="1:25" ht="16.5" customHeight="1">
      <c r="A51" s="16" t="s">
        <v>123</v>
      </c>
      <c r="B51" s="32" t="s">
        <v>278</v>
      </c>
      <c r="C51" s="26" t="e">
        <f t="shared" si="18"/>
        <v>#REF!</v>
      </c>
      <c r="D51" s="26" t="e">
        <f t="shared" si="19"/>
        <v>#REF!</v>
      </c>
      <c r="E51" s="12" t="e">
        <f t="shared" si="20"/>
        <v>#REF!</v>
      </c>
      <c r="F51" s="26"/>
      <c r="G51" s="26" t="e">
        <f t="shared" si="21"/>
        <v>#REF!</v>
      </c>
      <c r="H51" s="26" t="e">
        <f t="shared" si="22"/>
        <v>#REF!</v>
      </c>
      <c r="I51" s="12" t="e">
        <f t="shared" si="23"/>
        <v>#REF!</v>
      </c>
      <c r="J51" s="26"/>
      <c r="K51" s="26" t="e">
        <f t="shared" si="24"/>
        <v>#REF!</v>
      </c>
      <c r="L51" s="26" t="e">
        <f t="shared" si="25"/>
        <v>#REF!</v>
      </c>
      <c r="M51" s="12" t="e">
        <f t="shared" si="26"/>
        <v>#REF!</v>
      </c>
      <c r="N51" s="12"/>
      <c r="O51" s="26" t="e">
        <f t="shared" si="27"/>
        <v>#REF!</v>
      </c>
      <c r="P51" s="26" t="e">
        <f t="shared" si="28"/>
        <v>#REF!</v>
      </c>
      <c r="Q51" s="12" t="e">
        <f t="shared" si="29"/>
        <v>#REF!</v>
      </c>
      <c r="R51" s="12"/>
      <c r="S51" s="26" t="e">
        <f t="shared" si="30"/>
        <v>#REF!</v>
      </c>
      <c r="T51" s="26" t="e">
        <f t="shared" si="31"/>
        <v>#REF!</v>
      </c>
      <c r="U51" s="12" t="e">
        <f t="shared" si="32"/>
        <v>#REF!</v>
      </c>
      <c r="V51" s="12"/>
      <c r="W51" s="44" t="e">
        <f t="shared" si="33"/>
        <v>#REF!</v>
      </c>
      <c r="X51" s="26" t="e">
        <f t="shared" si="34"/>
        <v>#REF!</v>
      </c>
      <c r="Y51" s="12" t="e">
        <f t="shared" si="35"/>
        <v>#REF!</v>
      </c>
    </row>
    <row r="52" spans="1:25" ht="16.5" customHeight="1">
      <c r="A52" s="16" t="s">
        <v>125</v>
      </c>
      <c r="B52" s="17" t="s">
        <v>126</v>
      </c>
      <c r="C52" s="26" t="e">
        <f t="shared" si="18"/>
        <v>#REF!</v>
      </c>
      <c r="D52" s="26" t="e">
        <f t="shared" si="19"/>
        <v>#REF!</v>
      </c>
      <c r="E52" s="12" t="e">
        <f t="shared" si="20"/>
        <v>#REF!</v>
      </c>
      <c r="F52" s="26"/>
      <c r="G52" s="26" t="e">
        <f t="shared" si="21"/>
        <v>#REF!</v>
      </c>
      <c r="H52" s="26" t="e">
        <f t="shared" si="22"/>
        <v>#REF!</v>
      </c>
      <c r="I52" s="12" t="e">
        <f t="shared" si="23"/>
        <v>#REF!</v>
      </c>
      <c r="J52" s="26"/>
      <c r="K52" s="26" t="e">
        <f t="shared" si="24"/>
        <v>#REF!</v>
      </c>
      <c r="L52" s="26" t="e">
        <f t="shared" si="25"/>
        <v>#REF!</v>
      </c>
      <c r="M52" s="12" t="e">
        <f t="shared" si="26"/>
        <v>#REF!</v>
      </c>
      <c r="N52" s="12"/>
      <c r="O52" s="26" t="e">
        <f t="shared" si="27"/>
        <v>#REF!</v>
      </c>
      <c r="P52" s="26" t="e">
        <f t="shared" si="28"/>
        <v>#REF!</v>
      </c>
      <c r="Q52" s="12" t="e">
        <f t="shared" si="29"/>
        <v>#REF!</v>
      </c>
      <c r="R52" s="12"/>
      <c r="S52" s="26" t="e">
        <f t="shared" si="30"/>
        <v>#REF!</v>
      </c>
      <c r="T52" s="26" t="e">
        <f t="shared" si="31"/>
        <v>#REF!</v>
      </c>
      <c r="U52" s="12" t="e">
        <f t="shared" si="32"/>
        <v>#REF!</v>
      </c>
      <c r="V52" s="12"/>
      <c r="W52" s="44" t="e">
        <f t="shared" si="33"/>
        <v>#REF!</v>
      </c>
      <c r="X52" s="26" t="e">
        <f t="shared" si="34"/>
        <v>#REF!</v>
      </c>
      <c r="Y52" s="12" t="e">
        <f t="shared" si="35"/>
        <v>#REF!</v>
      </c>
    </row>
    <row r="53" spans="1:25" ht="16.5" customHeight="1">
      <c r="A53" s="16" t="s">
        <v>127</v>
      </c>
      <c r="B53" s="17" t="s">
        <v>128</v>
      </c>
      <c r="C53" s="26" t="e">
        <f t="shared" si="18"/>
        <v>#REF!</v>
      </c>
      <c r="D53" s="26" t="e">
        <f t="shared" si="19"/>
        <v>#REF!</v>
      </c>
      <c r="E53" s="12" t="e">
        <f t="shared" si="20"/>
        <v>#REF!</v>
      </c>
      <c r="F53" s="26"/>
      <c r="G53" s="26" t="e">
        <f t="shared" si="21"/>
        <v>#REF!</v>
      </c>
      <c r="H53" s="26" t="e">
        <f t="shared" si="22"/>
        <v>#REF!</v>
      </c>
      <c r="I53" s="12" t="e">
        <f t="shared" si="23"/>
        <v>#REF!</v>
      </c>
      <c r="J53" s="26"/>
      <c r="K53" s="26" t="e">
        <f t="shared" si="24"/>
        <v>#REF!</v>
      </c>
      <c r="L53" s="26" t="e">
        <f t="shared" si="25"/>
        <v>#REF!</v>
      </c>
      <c r="M53" s="12" t="e">
        <f t="shared" si="26"/>
        <v>#REF!</v>
      </c>
      <c r="N53" s="12"/>
      <c r="O53" s="26" t="e">
        <f t="shared" si="27"/>
        <v>#REF!</v>
      </c>
      <c r="P53" s="26" t="e">
        <f t="shared" si="28"/>
        <v>#REF!</v>
      </c>
      <c r="Q53" s="12" t="e">
        <f t="shared" si="29"/>
        <v>#REF!</v>
      </c>
      <c r="R53" s="12"/>
      <c r="S53" s="26" t="e">
        <f t="shared" si="30"/>
        <v>#REF!</v>
      </c>
      <c r="T53" s="26" t="e">
        <f t="shared" si="31"/>
        <v>#REF!</v>
      </c>
      <c r="U53" s="12" t="e">
        <f t="shared" si="32"/>
        <v>#REF!</v>
      </c>
      <c r="V53" s="12"/>
      <c r="W53" s="44" t="e">
        <f t="shared" si="33"/>
        <v>#REF!</v>
      </c>
      <c r="X53" s="26" t="e">
        <f t="shared" si="34"/>
        <v>#REF!</v>
      </c>
      <c r="Y53" s="12" t="e">
        <f t="shared" si="35"/>
        <v>#REF!</v>
      </c>
    </row>
    <row r="54" spans="1:25" ht="16.5" customHeight="1">
      <c r="A54" s="16" t="s">
        <v>129</v>
      </c>
      <c r="B54" s="32" t="s">
        <v>130</v>
      </c>
      <c r="C54" s="26" t="e">
        <f t="shared" si="18"/>
        <v>#REF!</v>
      </c>
      <c r="D54" s="26" t="e">
        <f t="shared" si="19"/>
        <v>#REF!</v>
      </c>
      <c r="E54" s="12" t="e">
        <f t="shared" si="20"/>
        <v>#REF!</v>
      </c>
      <c r="F54" s="26"/>
      <c r="G54" s="26" t="e">
        <f t="shared" si="21"/>
        <v>#REF!</v>
      </c>
      <c r="H54" s="26" t="e">
        <f t="shared" si="22"/>
        <v>#REF!</v>
      </c>
      <c r="I54" s="12" t="e">
        <f t="shared" si="23"/>
        <v>#REF!</v>
      </c>
      <c r="J54" s="26"/>
      <c r="K54" s="26" t="e">
        <f t="shared" si="24"/>
        <v>#REF!</v>
      </c>
      <c r="L54" s="26" t="e">
        <f t="shared" si="25"/>
        <v>#REF!</v>
      </c>
      <c r="M54" s="12" t="e">
        <f t="shared" si="26"/>
        <v>#REF!</v>
      </c>
      <c r="N54" s="12"/>
      <c r="O54" s="26" t="e">
        <f t="shared" si="27"/>
        <v>#REF!</v>
      </c>
      <c r="P54" s="26" t="e">
        <f t="shared" si="28"/>
        <v>#REF!</v>
      </c>
      <c r="Q54" s="12" t="e">
        <f t="shared" si="29"/>
        <v>#REF!</v>
      </c>
      <c r="R54" s="12"/>
      <c r="S54" s="26" t="e">
        <f t="shared" si="30"/>
        <v>#REF!</v>
      </c>
      <c r="T54" s="26" t="e">
        <f t="shared" si="31"/>
        <v>#REF!</v>
      </c>
      <c r="U54" s="12" t="e">
        <f t="shared" si="32"/>
        <v>#REF!</v>
      </c>
      <c r="V54" s="12"/>
      <c r="W54" s="44" t="e">
        <f t="shared" si="33"/>
        <v>#REF!</v>
      </c>
      <c r="X54" s="26" t="e">
        <f t="shared" si="34"/>
        <v>#REF!</v>
      </c>
      <c r="Y54" s="12" t="e">
        <f t="shared" si="35"/>
        <v>#REF!</v>
      </c>
    </row>
    <row r="55" spans="1:25" ht="16.5" customHeight="1">
      <c r="A55" s="16" t="s">
        <v>131</v>
      </c>
      <c r="B55" s="32" t="s">
        <v>132</v>
      </c>
      <c r="C55" s="26" t="e">
        <f t="shared" si="18"/>
        <v>#REF!</v>
      </c>
      <c r="D55" s="26" t="e">
        <f t="shared" si="19"/>
        <v>#REF!</v>
      </c>
      <c r="E55" s="12" t="e">
        <f t="shared" si="20"/>
        <v>#REF!</v>
      </c>
      <c r="F55" s="26"/>
      <c r="G55" s="26" t="e">
        <f t="shared" si="21"/>
        <v>#REF!</v>
      </c>
      <c r="H55" s="26" t="e">
        <f t="shared" si="22"/>
        <v>#REF!</v>
      </c>
      <c r="I55" s="12" t="e">
        <f t="shared" si="23"/>
        <v>#REF!</v>
      </c>
      <c r="J55" s="26"/>
      <c r="K55" s="26" t="e">
        <f t="shared" si="24"/>
        <v>#REF!</v>
      </c>
      <c r="L55" s="26" t="e">
        <f t="shared" si="25"/>
        <v>#REF!</v>
      </c>
      <c r="M55" s="12" t="e">
        <f t="shared" si="26"/>
        <v>#REF!</v>
      </c>
      <c r="N55" s="12"/>
      <c r="O55" s="26" t="e">
        <f t="shared" si="27"/>
        <v>#REF!</v>
      </c>
      <c r="P55" s="26" t="e">
        <f t="shared" si="28"/>
        <v>#REF!</v>
      </c>
      <c r="Q55" s="12" t="e">
        <f t="shared" si="29"/>
        <v>#REF!</v>
      </c>
      <c r="R55" s="12"/>
      <c r="S55" s="26" t="e">
        <f t="shared" si="30"/>
        <v>#REF!</v>
      </c>
      <c r="T55" s="26" t="e">
        <f t="shared" si="31"/>
        <v>#REF!</v>
      </c>
      <c r="U55" s="12" t="e">
        <f t="shared" si="32"/>
        <v>#REF!</v>
      </c>
      <c r="V55" s="12"/>
      <c r="W55" s="44" t="e">
        <f t="shared" si="33"/>
        <v>#REF!</v>
      </c>
      <c r="X55" s="26" t="e">
        <f t="shared" si="34"/>
        <v>#REF!</v>
      </c>
      <c r="Y55" s="12" t="e">
        <f t="shared" si="35"/>
        <v>#REF!</v>
      </c>
    </row>
    <row r="56" spans="1:25" ht="16.5" customHeight="1">
      <c r="A56" s="16" t="s">
        <v>133</v>
      </c>
      <c r="B56" s="17" t="s">
        <v>134</v>
      </c>
      <c r="C56" s="26" t="e">
        <f t="shared" si="18"/>
        <v>#REF!</v>
      </c>
      <c r="D56" s="26" t="e">
        <f t="shared" si="19"/>
        <v>#REF!</v>
      </c>
      <c r="E56" s="12" t="e">
        <f t="shared" si="20"/>
        <v>#REF!</v>
      </c>
      <c r="F56" s="26"/>
      <c r="G56" s="26" t="e">
        <f t="shared" si="21"/>
        <v>#REF!</v>
      </c>
      <c r="H56" s="26" t="e">
        <f t="shared" si="22"/>
        <v>#REF!</v>
      </c>
      <c r="I56" s="12" t="e">
        <f t="shared" si="23"/>
        <v>#REF!</v>
      </c>
      <c r="J56" s="26"/>
      <c r="K56" s="26" t="e">
        <f t="shared" si="24"/>
        <v>#REF!</v>
      </c>
      <c r="L56" s="26" t="e">
        <f t="shared" si="25"/>
        <v>#REF!</v>
      </c>
      <c r="M56" s="12" t="e">
        <f t="shared" si="26"/>
        <v>#REF!</v>
      </c>
      <c r="N56" s="12"/>
      <c r="O56" s="26" t="e">
        <f t="shared" si="27"/>
        <v>#REF!</v>
      </c>
      <c r="P56" s="26" t="e">
        <f t="shared" si="28"/>
        <v>#REF!</v>
      </c>
      <c r="Q56" s="12" t="e">
        <f t="shared" si="29"/>
        <v>#REF!</v>
      </c>
      <c r="R56" s="12"/>
      <c r="S56" s="26" t="e">
        <f t="shared" si="30"/>
        <v>#REF!</v>
      </c>
      <c r="T56" s="26" t="e">
        <f t="shared" si="31"/>
        <v>#REF!</v>
      </c>
      <c r="U56" s="12" t="e">
        <f t="shared" si="32"/>
        <v>#REF!</v>
      </c>
      <c r="V56" s="12"/>
      <c r="W56" s="44" t="e">
        <f t="shared" si="33"/>
        <v>#REF!</v>
      </c>
      <c r="X56" s="26" t="e">
        <f t="shared" si="34"/>
        <v>#REF!</v>
      </c>
      <c r="Y56" s="12" t="e">
        <f t="shared" si="35"/>
        <v>#REF!</v>
      </c>
    </row>
    <row r="57" spans="1:25" ht="16.5" customHeight="1">
      <c r="A57" s="16" t="s">
        <v>135</v>
      </c>
      <c r="B57" s="32" t="s">
        <v>136</v>
      </c>
      <c r="C57" s="26" t="e">
        <f t="shared" si="18"/>
        <v>#REF!</v>
      </c>
      <c r="D57" s="26" t="e">
        <f t="shared" si="19"/>
        <v>#REF!</v>
      </c>
      <c r="E57" s="12" t="e">
        <f t="shared" si="20"/>
        <v>#REF!</v>
      </c>
      <c r="F57" s="26"/>
      <c r="G57" s="26" t="e">
        <f t="shared" si="21"/>
        <v>#REF!</v>
      </c>
      <c r="H57" s="26" t="e">
        <f t="shared" si="22"/>
        <v>#REF!</v>
      </c>
      <c r="I57" s="12" t="e">
        <f t="shared" si="23"/>
        <v>#REF!</v>
      </c>
      <c r="J57" s="26"/>
      <c r="K57" s="26" t="e">
        <f t="shared" si="24"/>
        <v>#REF!</v>
      </c>
      <c r="L57" s="26" t="e">
        <f t="shared" si="25"/>
        <v>#REF!</v>
      </c>
      <c r="M57" s="12" t="e">
        <f t="shared" si="26"/>
        <v>#REF!</v>
      </c>
      <c r="N57" s="12"/>
      <c r="O57" s="26" t="e">
        <f t="shared" si="27"/>
        <v>#REF!</v>
      </c>
      <c r="P57" s="26" t="e">
        <f t="shared" si="28"/>
        <v>#REF!</v>
      </c>
      <c r="Q57" s="12" t="e">
        <f t="shared" si="29"/>
        <v>#REF!</v>
      </c>
      <c r="R57" s="12"/>
      <c r="S57" s="26" t="e">
        <f t="shared" si="30"/>
        <v>#REF!</v>
      </c>
      <c r="T57" s="26" t="e">
        <f t="shared" si="31"/>
        <v>#REF!</v>
      </c>
      <c r="U57" s="12" t="e">
        <f t="shared" si="32"/>
        <v>#REF!</v>
      </c>
      <c r="V57" s="12"/>
      <c r="W57" s="44" t="e">
        <f t="shared" si="33"/>
        <v>#REF!</v>
      </c>
      <c r="X57" s="26" t="e">
        <f t="shared" si="34"/>
        <v>#REF!</v>
      </c>
      <c r="Y57" s="12" t="e">
        <f t="shared" si="35"/>
        <v>#REF!</v>
      </c>
    </row>
    <row r="58" spans="1:25" ht="16.5" customHeight="1">
      <c r="A58" s="16" t="s">
        <v>137</v>
      </c>
      <c r="B58" s="17" t="s">
        <v>138</v>
      </c>
      <c r="C58" s="26" t="e">
        <f t="shared" si="18"/>
        <v>#REF!</v>
      </c>
      <c r="D58" s="26" t="e">
        <f t="shared" si="19"/>
        <v>#REF!</v>
      </c>
      <c r="E58" s="12" t="e">
        <f t="shared" si="20"/>
        <v>#REF!</v>
      </c>
      <c r="F58" s="26"/>
      <c r="G58" s="26" t="e">
        <f t="shared" si="21"/>
        <v>#REF!</v>
      </c>
      <c r="H58" s="26" t="e">
        <f t="shared" si="22"/>
        <v>#REF!</v>
      </c>
      <c r="I58" s="12" t="e">
        <f t="shared" si="23"/>
        <v>#REF!</v>
      </c>
      <c r="J58" s="26"/>
      <c r="K58" s="26" t="e">
        <f t="shared" si="24"/>
        <v>#REF!</v>
      </c>
      <c r="L58" s="26" t="e">
        <f t="shared" si="25"/>
        <v>#REF!</v>
      </c>
      <c r="M58" s="12" t="e">
        <f t="shared" si="26"/>
        <v>#REF!</v>
      </c>
      <c r="N58" s="12"/>
      <c r="O58" s="26" t="e">
        <f t="shared" si="27"/>
        <v>#REF!</v>
      </c>
      <c r="P58" s="26" t="e">
        <f t="shared" si="28"/>
        <v>#REF!</v>
      </c>
      <c r="Q58" s="12" t="e">
        <f t="shared" si="29"/>
        <v>#REF!</v>
      </c>
      <c r="R58" s="12"/>
      <c r="S58" s="26" t="e">
        <f t="shared" si="30"/>
        <v>#REF!</v>
      </c>
      <c r="T58" s="26" t="e">
        <f t="shared" si="31"/>
        <v>#REF!</v>
      </c>
      <c r="U58" s="12" t="e">
        <f t="shared" si="32"/>
        <v>#REF!</v>
      </c>
      <c r="V58" s="12"/>
      <c r="W58" s="44" t="e">
        <f t="shared" si="33"/>
        <v>#REF!</v>
      </c>
      <c r="X58" s="26" t="e">
        <f t="shared" si="34"/>
        <v>#REF!</v>
      </c>
      <c r="Y58" s="12" t="e">
        <f t="shared" si="35"/>
        <v>#REF!</v>
      </c>
    </row>
    <row r="59" spans="1:25" ht="16.5" customHeight="1">
      <c r="A59" s="16" t="s">
        <v>141</v>
      </c>
      <c r="B59" s="17" t="s">
        <v>142</v>
      </c>
      <c r="C59" s="26" t="e">
        <f t="shared" si="18"/>
        <v>#REF!</v>
      </c>
      <c r="D59" s="26" t="e">
        <f t="shared" si="19"/>
        <v>#REF!</v>
      </c>
      <c r="E59" s="12" t="e">
        <f t="shared" si="20"/>
        <v>#REF!</v>
      </c>
      <c r="F59" s="26"/>
      <c r="G59" s="26" t="e">
        <f t="shared" si="21"/>
        <v>#REF!</v>
      </c>
      <c r="H59" s="26" t="e">
        <f t="shared" si="22"/>
        <v>#REF!</v>
      </c>
      <c r="I59" s="12" t="e">
        <f t="shared" si="23"/>
        <v>#REF!</v>
      </c>
      <c r="J59" s="26"/>
      <c r="K59" s="26" t="e">
        <f t="shared" si="24"/>
        <v>#REF!</v>
      </c>
      <c r="L59" s="26" t="e">
        <f t="shared" si="25"/>
        <v>#REF!</v>
      </c>
      <c r="M59" s="12" t="e">
        <f t="shared" si="26"/>
        <v>#REF!</v>
      </c>
      <c r="N59" s="12"/>
      <c r="O59" s="26" t="e">
        <f t="shared" si="27"/>
        <v>#REF!</v>
      </c>
      <c r="P59" s="26" t="e">
        <f t="shared" si="28"/>
        <v>#REF!</v>
      </c>
      <c r="Q59" s="12" t="e">
        <f t="shared" si="29"/>
        <v>#REF!</v>
      </c>
      <c r="R59" s="12"/>
      <c r="S59" s="26" t="e">
        <f t="shared" si="30"/>
        <v>#REF!</v>
      </c>
      <c r="T59" s="26" t="e">
        <f t="shared" si="31"/>
        <v>#REF!</v>
      </c>
      <c r="U59" s="12" t="e">
        <f t="shared" si="32"/>
        <v>#REF!</v>
      </c>
      <c r="V59" s="12"/>
      <c r="W59" s="44" t="e">
        <f t="shared" si="33"/>
        <v>#REF!</v>
      </c>
      <c r="X59" s="26" t="e">
        <f t="shared" si="34"/>
        <v>#REF!</v>
      </c>
      <c r="Y59" s="12" t="e">
        <f t="shared" si="35"/>
        <v>#REF!</v>
      </c>
    </row>
    <row r="60" spans="1:25" ht="16.5" customHeight="1">
      <c r="A60" s="16" t="s">
        <v>147</v>
      </c>
      <c r="B60" s="17" t="s">
        <v>148</v>
      </c>
      <c r="C60" s="26" t="e">
        <f t="shared" si="18"/>
        <v>#REF!</v>
      </c>
      <c r="D60" s="26" t="e">
        <f t="shared" si="19"/>
        <v>#REF!</v>
      </c>
      <c r="E60" s="12" t="e">
        <f t="shared" si="20"/>
        <v>#REF!</v>
      </c>
      <c r="F60" s="26"/>
      <c r="G60" s="26" t="e">
        <f t="shared" si="21"/>
        <v>#REF!</v>
      </c>
      <c r="H60" s="26" t="e">
        <f t="shared" si="22"/>
        <v>#REF!</v>
      </c>
      <c r="I60" s="12" t="e">
        <f t="shared" si="23"/>
        <v>#REF!</v>
      </c>
      <c r="J60" s="26"/>
      <c r="K60" s="26" t="e">
        <f t="shared" si="24"/>
        <v>#REF!</v>
      </c>
      <c r="L60" s="26" t="e">
        <f t="shared" si="25"/>
        <v>#REF!</v>
      </c>
      <c r="M60" s="12" t="e">
        <f t="shared" si="26"/>
        <v>#REF!</v>
      </c>
      <c r="N60" s="12"/>
      <c r="O60" s="26" t="e">
        <f t="shared" si="27"/>
        <v>#REF!</v>
      </c>
      <c r="P60" s="26" t="e">
        <f t="shared" si="28"/>
        <v>#REF!</v>
      </c>
      <c r="Q60" s="12" t="e">
        <f t="shared" si="29"/>
        <v>#REF!</v>
      </c>
      <c r="R60" s="12"/>
      <c r="S60" s="26" t="e">
        <f t="shared" si="30"/>
        <v>#REF!</v>
      </c>
      <c r="T60" s="26" t="e">
        <f t="shared" si="31"/>
        <v>#REF!</v>
      </c>
      <c r="U60" s="12" t="e">
        <f t="shared" si="32"/>
        <v>#REF!</v>
      </c>
      <c r="V60" s="12"/>
      <c r="W60" s="44" t="e">
        <f t="shared" si="33"/>
        <v>#REF!</v>
      </c>
      <c r="X60" s="26" t="e">
        <f t="shared" si="34"/>
        <v>#REF!</v>
      </c>
      <c r="Y60" s="12" t="e">
        <f t="shared" si="35"/>
        <v>#REF!</v>
      </c>
    </row>
    <row r="61" spans="1:25" ht="16.5" customHeight="1">
      <c r="A61" s="16" t="s">
        <v>149</v>
      </c>
      <c r="B61" s="32" t="s">
        <v>150</v>
      </c>
      <c r="C61" s="26" t="e">
        <f t="shared" si="18"/>
        <v>#REF!</v>
      </c>
      <c r="D61" s="26" t="e">
        <f t="shared" si="19"/>
        <v>#REF!</v>
      </c>
      <c r="E61" s="12" t="e">
        <f t="shared" si="20"/>
        <v>#REF!</v>
      </c>
      <c r="F61" s="26"/>
      <c r="G61" s="26" t="e">
        <f t="shared" si="21"/>
        <v>#REF!</v>
      </c>
      <c r="H61" s="26" t="e">
        <f t="shared" si="22"/>
        <v>#REF!</v>
      </c>
      <c r="I61" s="12" t="e">
        <f t="shared" si="23"/>
        <v>#REF!</v>
      </c>
      <c r="J61" s="26"/>
      <c r="K61" s="26" t="e">
        <f t="shared" si="24"/>
        <v>#REF!</v>
      </c>
      <c r="L61" s="26" t="e">
        <f t="shared" si="25"/>
        <v>#REF!</v>
      </c>
      <c r="M61" s="12" t="e">
        <f t="shared" si="26"/>
        <v>#REF!</v>
      </c>
      <c r="N61" s="12"/>
      <c r="O61" s="26" t="e">
        <f t="shared" si="27"/>
        <v>#REF!</v>
      </c>
      <c r="P61" s="26" t="e">
        <f t="shared" si="28"/>
        <v>#REF!</v>
      </c>
      <c r="Q61" s="12" t="e">
        <f t="shared" si="29"/>
        <v>#REF!</v>
      </c>
      <c r="R61" s="12"/>
      <c r="S61" s="26" t="e">
        <f t="shared" si="30"/>
        <v>#REF!</v>
      </c>
      <c r="T61" s="26" t="e">
        <f t="shared" si="31"/>
        <v>#REF!</v>
      </c>
      <c r="U61" s="12" t="e">
        <f t="shared" si="32"/>
        <v>#REF!</v>
      </c>
      <c r="V61" s="12"/>
      <c r="W61" s="44" t="e">
        <f t="shared" si="33"/>
        <v>#REF!</v>
      </c>
      <c r="X61" s="26" t="e">
        <f t="shared" si="34"/>
        <v>#REF!</v>
      </c>
      <c r="Y61" s="12" t="e">
        <f t="shared" si="35"/>
        <v>#REF!</v>
      </c>
    </row>
    <row r="62" spans="1:25" ht="16.5" customHeight="1">
      <c r="A62" s="16" t="s">
        <v>151</v>
      </c>
      <c r="B62" s="32" t="s">
        <v>152</v>
      </c>
      <c r="C62" s="26" t="e">
        <f t="shared" si="18"/>
        <v>#REF!</v>
      </c>
      <c r="D62" s="26" t="e">
        <f t="shared" si="19"/>
        <v>#REF!</v>
      </c>
      <c r="E62" s="12" t="e">
        <f t="shared" si="20"/>
        <v>#REF!</v>
      </c>
      <c r="F62" s="26"/>
      <c r="G62" s="26" t="e">
        <f t="shared" si="21"/>
        <v>#REF!</v>
      </c>
      <c r="H62" s="26" t="e">
        <f t="shared" si="22"/>
        <v>#REF!</v>
      </c>
      <c r="I62" s="12" t="e">
        <f t="shared" si="23"/>
        <v>#REF!</v>
      </c>
      <c r="J62" s="26"/>
      <c r="K62" s="26" t="e">
        <f t="shared" si="24"/>
        <v>#REF!</v>
      </c>
      <c r="L62" s="26" t="e">
        <f t="shared" si="25"/>
        <v>#REF!</v>
      </c>
      <c r="M62" s="12" t="e">
        <f t="shared" si="26"/>
        <v>#REF!</v>
      </c>
      <c r="N62" s="12"/>
      <c r="O62" s="26" t="e">
        <f t="shared" si="27"/>
        <v>#REF!</v>
      </c>
      <c r="P62" s="26" t="e">
        <f t="shared" si="28"/>
        <v>#REF!</v>
      </c>
      <c r="Q62" s="12" t="e">
        <f t="shared" si="29"/>
        <v>#REF!</v>
      </c>
      <c r="R62" s="12"/>
      <c r="S62" s="26" t="e">
        <f t="shared" si="30"/>
        <v>#REF!</v>
      </c>
      <c r="T62" s="26" t="e">
        <f t="shared" si="31"/>
        <v>#REF!</v>
      </c>
      <c r="U62" s="12" t="e">
        <f t="shared" si="32"/>
        <v>#REF!</v>
      </c>
      <c r="V62" s="12"/>
      <c r="W62" s="44" t="e">
        <f t="shared" si="33"/>
        <v>#REF!</v>
      </c>
      <c r="X62" s="26" t="e">
        <f t="shared" si="34"/>
        <v>#REF!</v>
      </c>
      <c r="Y62" s="12" t="e">
        <f t="shared" si="35"/>
        <v>#REF!</v>
      </c>
    </row>
    <row r="63" spans="1:25" ht="16.5" customHeight="1">
      <c r="A63" s="16" t="s">
        <v>153</v>
      </c>
      <c r="B63" s="17" t="s">
        <v>154</v>
      </c>
      <c r="C63" s="26" t="e">
        <f t="shared" si="18"/>
        <v>#REF!</v>
      </c>
      <c r="D63" s="26" t="e">
        <f t="shared" si="19"/>
        <v>#REF!</v>
      </c>
      <c r="E63" s="12" t="e">
        <f t="shared" si="20"/>
        <v>#REF!</v>
      </c>
      <c r="F63" s="26"/>
      <c r="G63" s="26" t="e">
        <f t="shared" si="21"/>
        <v>#REF!</v>
      </c>
      <c r="H63" s="26" t="e">
        <f t="shared" si="22"/>
        <v>#REF!</v>
      </c>
      <c r="I63" s="12" t="e">
        <f t="shared" si="23"/>
        <v>#REF!</v>
      </c>
      <c r="J63" s="26"/>
      <c r="K63" s="26" t="e">
        <f t="shared" si="24"/>
        <v>#REF!</v>
      </c>
      <c r="L63" s="26" t="e">
        <f t="shared" si="25"/>
        <v>#REF!</v>
      </c>
      <c r="M63" s="12" t="e">
        <f t="shared" si="26"/>
        <v>#REF!</v>
      </c>
      <c r="N63" s="12"/>
      <c r="O63" s="26" t="e">
        <f t="shared" si="27"/>
        <v>#REF!</v>
      </c>
      <c r="P63" s="26" t="e">
        <f t="shared" si="28"/>
        <v>#REF!</v>
      </c>
      <c r="Q63" s="12" t="e">
        <f t="shared" si="29"/>
        <v>#REF!</v>
      </c>
      <c r="R63" s="12"/>
      <c r="S63" s="26" t="e">
        <f t="shared" si="30"/>
        <v>#REF!</v>
      </c>
      <c r="T63" s="26" t="e">
        <f t="shared" si="31"/>
        <v>#REF!</v>
      </c>
      <c r="U63" s="12" t="e">
        <f t="shared" si="32"/>
        <v>#REF!</v>
      </c>
      <c r="V63" s="12"/>
      <c r="W63" s="44" t="e">
        <f t="shared" si="33"/>
        <v>#REF!</v>
      </c>
      <c r="X63" s="26" t="e">
        <f t="shared" si="34"/>
        <v>#REF!</v>
      </c>
      <c r="Y63" s="12" t="e">
        <f t="shared" si="35"/>
        <v>#REF!</v>
      </c>
    </row>
    <row r="64" spans="1:25" ht="16.5" customHeight="1">
      <c r="A64" s="16" t="s">
        <v>155</v>
      </c>
      <c r="B64" s="32" t="s">
        <v>156</v>
      </c>
      <c r="C64" s="26" t="e">
        <f t="shared" si="18"/>
        <v>#REF!</v>
      </c>
      <c r="D64" s="26" t="e">
        <f t="shared" si="19"/>
        <v>#REF!</v>
      </c>
      <c r="E64" s="12" t="e">
        <f t="shared" si="20"/>
        <v>#REF!</v>
      </c>
      <c r="F64" s="26"/>
      <c r="G64" s="26" t="e">
        <f t="shared" si="21"/>
        <v>#REF!</v>
      </c>
      <c r="H64" s="26" t="e">
        <f t="shared" si="22"/>
        <v>#REF!</v>
      </c>
      <c r="I64" s="12" t="e">
        <f t="shared" si="23"/>
        <v>#REF!</v>
      </c>
      <c r="J64" s="26"/>
      <c r="K64" s="26" t="e">
        <f t="shared" si="24"/>
        <v>#REF!</v>
      </c>
      <c r="L64" s="26" t="e">
        <f t="shared" si="25"/>
        <v>#REF!</v>
      </c>
      <c r="M64" s="12" t="e">
        <f t="shared" si="26"/>
        <v>#REF!</v>
      </c>
      <c r="N64" s="12"/>
      <c r="O64" s="26" t="e">
        <f t="shared" si="27"/>
        <v>#REF!</v>
      </c>
      <c r="P64" s="26" t="e">
        <f t="shared" si="28"/>
        <v>#REF!</v>
      </c>
      <c r="Q64" s="12" t="e">
        <f t="shared" si="29"/>
        <v>#REF!</v>
      </c>
      <c r="R64" s="12"/>
      <c r="S64" s="26" t="e">
        <f t="shared" si="30"/>
        <v>#REF!</v>
      </c>
      <c r="T64" s="26" t="e">
        <f t="shared" si="31"/>
        <v>#REF!</v>
      </c>
      <c r="U64" s="12" t="e">
        <f t="shared" si="32"/>
        <v>#REF!</v>
      </c>
      <c r="V64" s="12"/>
      <c r="W64" s="44" t="e">
        <f t="shared" si="33"/>
        <v>#REF!</v>
      </c>
      <c r="X64" s="26" t="e">
        <f t="shared" si="34"/>
        <v>#REF!</v>
      </c>
      <c r="Y64" s="12" t="e">
        <f t="shared" si="35"/>
        <v>#REF!</v>
      </c>
    </row>
    <row r="65" spans="1:25" ht="16.5" customHeight="1">
      <c r="A65" s="16" t="s">
        <v>157</v>
      </c>
      <c r="B65" s="17" t="s">
        <v>158</v>
      </c>
      <c r="C65" s="26" t="e">
        <f t="shared" si="18"/>
        <v>#REF!</v>
      </c>
      <c r="D65" s="26" t="e">
        <f t="shared" si="19"/>
        <v>#REF!</v>
      </c>
      <c r="E65" s="12" t="e">
        <f t="shared" si="20"/>
        <v>#REF!</v>
      </c>
      <c r="F65" s="26"/>
      <c r="G65" s="26" t="e">
        <f t="shared" si="21"/>
        <v>#REF!</v>
      </c>
      <c r="H65" s="26" t="e">
        <f t="shared" si="22"/>
        <v>#REF!</v>
      </c>
      <c r="I65" s="12" t="e">
        <f t="shared" si="23"/>
        <v>#REF!</v>
      </c>
      <c r="J65" s="26"/>
      <c r="K65" s="26" t="e">
        <f t="shared" si="24"/>
        <v>#REF!</v>
      </c>
      <c r="L65" s="26" t="e">
        <f t="shared" si="25"/>
        <v>#REF!</v>
      </c>
      <c r="M65" s="12" t="e">
        <f t="shared" si="26"/>
        <v>#REF!</v>
      </c>
      <c r="N65" s="12"/>
      <c r="O65" s="26" t="e">
        <f t="shared" si="27"/>
        <v>#REF!</v>
      </c>
      <c r="P65" s="26" t="e">
        <f t="shared" si="28"/>
        <v>#REF!</v>
      </c>
      <c r="Q65" s="12" t="e">
        <f t="shared" si="29"/>
        <v>#REF!</v>
      </c>
      <c r="R65" s="12"/>
      <c r="S65" s="26" t="e">
        <f t="shared" si="30"/>
        <v>#REF!</v>
      </c>
      <c r="T65" s="26" t="e">
        <f t="shared" si="31"/>
        <v>#REF!</v>
      </c>
      <c r="U65" s="12" t="e">
        <f t="shared" si="32"/>
        <v>#REF!</v>
      </c>
      <c r="V65" s="12"/>
      <c r="W65" s="44" t="e">
        <f t="shared" si="33"/>
        <v>#REF!</v>
      </c>
      <c r="X65" s="26" t="e">
        <f t="shared" si="34"/>
        <v>#REF!</v>
      </c>
      <c r="Y65" s="12" t="e">
        <f t="shared" si="35"/>
        <v>#REF!</v>
      </c>
    </row>
    <row r="66" spans="1:25" ht="16.5" customHeight="1">
      <c r="A66" s="16" t="s">
        <v>163</v>
      </c>
      <c r="B66" s="32" t="s">
        <v>164</v>
      </c>
      <c r="C66" s="26" t="e">
        <f t="shared" si="18"/>
        <v>#REF!</v>
      </c>
      <c r="D66" s="26" t="e">
        <f t="shared" si="19"/>
        <v>#REF!</v>
      </c>
      <c r="E66" s="12" t="e">
        <f t="shared" si="20"/>
        <v>#REF!</v>
      </c>
      <c r="F66" s="26"/>
      <c r="G66" s="26" t="e">
        <f t="shared" si="21"/>
        <v>#REF!</v>
      </c>
      <c r="H66" s="26" t="e">
        <f t="shared" si="22"/>
        <v>#REF!</v>
      </c>
      <c r="I66" s="12" t="e">
        <f t="shared" si="23"/>
        <v>#REF!</v>
      </c>
      <c r="J66" s="26"/>
      <c r="K66" s="26" t="e">
        <f t="shared" si="24"/>
        <v>#REF!</v>
      </c>
      <c r="L66" s="26" t="e">
        <f t="shared" si="25"/>
        <v>#REF!</v>
      </c>
      <c r="M66" s="12" t="e">
        <f t="shared" si="26"/>
        <v>#REF!</v>
      </c>
      <c r="N66" s="12"/>
      <c r="O66" s="26" t="e">
        <f t="shared" si="27"/>
        <v>#REF!</v>
      </c>
      <c r="P66" s="26" t="e">
        <f t="shared" si="28"/>
        <v>#REF!</v>
      </c>
      <c r="Q66" s="12" t="e">
        <f t="shared" si="29"/>
        <v>#REF!</v>
      </c>
      <c r="R66" s="12"/>
      <c r="S66" s="26" t="e">
        <f t="shared" si="30"/>
        <v>#REF!</v>
      </c>
      <c r="T66" s="26" t="e">
        <f t="shared" si="31"/>
        <v>#REF!</v>
      </c>
      <c r="U66" s="12" t="e">
        <f t="shared" si="32"/>
        <v>#REF!</v>
      </c>
      <c r="V66" s="12"/>
      <c r="W66" s="44" t="e">
        <f t="shared" si="33"/>
        <v>#REF!</v>
      </c>
      <c r="X66" s="26" t="e">
        <f t="shared" si="34"/>
        <v>#REF!</v>
      </c>
      <c r="Y66" s="12" t="e">
        <f t="shared" si="35"/>
        <v>#REF!</v>
      </c>
    </row>
    <row r="67" spans="1:25" ht="16.5" customHeight="1">
      <c r="A67" s="16" t="s">
        <v>165</v>
      </c>
      <c r="B67" s="32" t="s">
        <v>166</v>
      </c>
      <c r="C67" s="26" t="e">
        <f t="shared" si="18"/>
        <v>#REF!</v>
      </c>
      <c r="D67" s="26" t="e">
        <f t="shared" si="19"/>
        <v>#REF!</v>
      </c>
      <c r="E67" s="12" t="e">
        <f t="shared" si="20"/>
        <v>#REF!</v>
      </c>
      <c r="F67" s="26"/>
      <c r="G67" s="26" t="e">
        <f t="shared" si="21"/>
        <v>#REF!</v>
      </c>
      <c r="H67" s="26" t="e">
        <f t="shared" si="22"/>
        <v>#REF!</v>
      </c>
      <c r="I67" s="12" t="e">
        <f t="shared" si="23"/>
        <v>#REF!</v>
      </c>
      <c r="J67" s="26"/>
      <c r="K67" s="26" t="e">
        <f t="shared" si="24"/>
        <v>#REF!</v>
      </c>
      <c r="L67" s="26" t="e">
        <f t="shared" si="25"/>
        <v>#REF!</v>
      </c>
      <c r="M67" s="12" t="e">
        <f t="shared" si="26"/>
        <v>#REF!</v>
      </c>
      <c r="N67" s="12"/>
      <c r="O67" s="26" t="e">
        <f t="shared" si="27"/>
        <v>#REF!</v>
      </c>
      <c r="P67" s="26" t="e">
        <f t="shared" si="28"/>
        <v>#REF!</v>
      </c>
      <c r="Q67" s="12" t="e">
        <f t="shared" si="29"/>
        <v>#REF!</v>
      </c>
      <c r="R67" s="12"/>
      <c r="S67" s="26" t="e">
        <f t="shared" si="30"/>
        <v>#REF!</v>
      </c>
      <c r="T67" s="26" t="e">
        <f t="shared" si="31"/>
        <v>#REF!</v>
      </c>
      <c r="U67" s="12" t="e">
        <f t="shared" si="32"/>
        <v>#REF!</v>
      </c>
      <c r="V67" s="12"/>
      <c r="W67" s="44" t="e">
        <f t="shared" si="33"/>
        <v>#REF!</v>
      </c>
      <c r="X67" s="26" t="e">
        <f t="shared" si="34"/>
        <v>#REF!</v>
      </c>
      <c r="Y67" s="12" t="e">
        <f t="shared" si="35"/>
        <v>#REF!</v>
      </c>
    </row>
    <row r="68" spans="1:25" ht="16.5" customHeight="1">
      <c r="A68" s="16" t="s">
        <v>169</v>
      </c>
      <c r="B68" s="32" t="s">
        <v>170</v>
      </c>
      <c r="C68" s="26" t="e">
        <f t="shared" ref="C68:C99" si="36">VLOOKUP(A68,MedicaidR,7,FALSE)</f>
        <v>#REF!</v>
      </c>
      <c r="D68" s="26" t="e">
        <f t="shared" ref="D68:D99" si="37">VLOOKUP(A68,Pop,14,FALSE)</f>
        <v>#REF!</v>
      </c>
      <c r="E68" s="12" t="e">
        <f t="shared" ref="E68:E99" si="38">+C68/D68</f>
        <v>#REF!</v>
      </c>
      <c r="F68" s="26"/>
      <c r="G68" s="26" t="e">
        <f t="shared" ref="G68:G99" si="39">VLOOKUP(A68,MedicaidR,8,FALSE)</f>
        <v>#REF!</v>
      </c>
      <c r="H68" s="26" t="e">
        <f t="shared" ref="H68:H99" si="40">VLOOKUP(A68,Pop,15,FALSE)</f>
        <v>#REF!</v>
      </c>
      <c r="I68" s="12" t="e">
        <f t="shared" ref="I68:I99" si="41">+G68/H68</f>
        <v>#REF!</v>
      </c>
      <c r="J68" s="26"/>
      <c r="K68" s="26" t="e">
        <f t="shared" ref="K68:K99" si="42">VLOOKUP(A68,MedicaidR,9,FALSE)</f>
        <v>#REF!</v>
      </c>
      <c r="L68" s="26" t="e">
        <f t="shared" ref="L68:L99" si="43">VLOOKUP(A68,Pop,16,FALSE)</f>
        <v>#REF!</v>
      </c>
      <c r="M68" s="12" t="e">
        <f t="shared" ref="M68:M99" si="44">+K68/L68</f>
        <v>#REF!</v>
      </c>
      <c r="N68" s="12"/>
      <c r="O68" s="26" t="e">
        <f t="shared" ref="O68:O99" si="45">VLOOKUP(A68,MedicaidR,3,FALSE)</f>
        <v>#REF!</v>
      </c>
      <c r="P68" s="26" t="e">
        <f t="shared" ref="P68:P99" si="46">VLOOKUP(A68,Pop,8,FALSE)</f>
        <v>#REF!</v>
      </c>
      <c r="Q68" s="12" t="e">
        <f t="shared" ref="Q68:Q99" si="47">+O68/P68</f>
        <v>#REF!</v>
      </c>
      <c r="R68" s="12"/>
      <c r="S68" s="26" t="e">
        <f t="shared" ref="S68:S99" si="48">VLOOKUP(A68,MedicaidR,4,FALSE)</f>
        <v>#REF!</v>
      </c>
      <c r="T68" s="26" t="e">
        <f t="shared" ref="T68:T99" si="49">VLOOKUP(A68,Pop,9,FALSE)</f>
        <v>#REF!</v>
      </c>
      <c r="U68" s="12" t="e">
        <f t="shared" ref="U68:U99" si="50">+S68/T68</f>
        <v>#REF!</v>
      </c>
      <c r="V68" s="12"/>
      <c r="W68" s="44" t="e">
        <f t="shared" ref="W68:W99" si="51">VLOOKUP(A68,MedicaidR,5,FALSE)</f>
        <v>#REF!</v>
      </c>
      <c r="X68" s="26" t="e">
        <f t="shared" ref="X68:X99" si="52">VLOOKUP(A68,Pop,10,FALSE)</f>
        <v>#REF!</v>
      </c>
      <c r="Y68" s="12" t="e">
        <f t="shared" ref="Y68:Y99" si="53">+W68/X68</f>
        <v>#REF!</v>
      </c>
    </row>
    <row r="69" spans="1:25" ht="16.5" customHeight="1">
      <c r="A69" s="16" t="s">
        <v>171</v>
      </c>
      <c r="B69" s="32" t="s">
        <v>172</v>
      </c>
      <c r="C69" s="26" t="e">
        <f t="shared" si="36"/>
        <v>#REF!</v>
      </c>
      <c r="D69" s="26" t="e">
        <f t="shared" si="37"/>
        <v>#REF!</v>
      </c>
      <c r="E69" s="12" t="e">
        <f t="shared" si="38"/>
        <v>#REF!</v>
      </c>
      <c r="F69" s="26"/>
      <c r="G69" s="26" t="e">
        <f t="shared" si="39"/>
        <v>#REF!</v>
      </c>
      <c r="H69" s="26" t="e">
        <f t="shared" si="40"/>
        <v>#REF!</v>
      </c>
      <c r="I69" s="12" t="e">
        <f t="shared" si="41"/>
        <v>#REF!</v>
      </c>
      <c r="J69" s="26"/>
      <c r="K69" s="26" t="e">
        <f t="shared" si="42"/>
        <v>#REF!</v>
      </c>
      <c r="L69" s="26" t="e">
        <f t="shared" si="43"/>
        <v>#REF!</v>
      </c>
      <c r="M69" s="12" t="e">
        <f t="shared" si="44"/>
        <v>#REF!</v>
      </c>
      <c r="N69" s="12"/>
      <c r="O69" s="26" t="e">
        <f t="shared" si="45"/>
        <v>#REF!</v>
      </c>
      <c r="P69" s="26" t="e">
        <f t="shared" si="46"/>
        <v>#REF!</v>
      </c>
      <c r="Q69" s="12" t="e">
        <f t="shared" si="47"/>
        <v>#REF!</v>
      </c>
      <c r="R69" s="12"/>
      <c r="S69" s="26" t="e">
        <f t="shared" si="48"/>
        <v>#REF!</v>
      </c>
      <c r="T69" s="26" t="e">
        <f t="shared" si="49"/>
        <v>#REF!</v>
      </c>
      <c r="U69" s="12" t="e">
        <f t="shared" si="50"/>
        <v>#REF!</v>
      </c>
      <c r="V69" s="12"/>
      <c r="W69" s="44" t="e">
        <f t="shared" si="51"/>
        <v>#REF!</v>
      </c>
      <c r="X69" s="26" t="e">
        <f t="shared" si="52"/>
        <v>#REF!</v>
      </c>
      <c r="Y69" s="12" t="e">
        <f t="shared" si="53"/>
        <v>#REF!</v>
      </c>
    </row>
    <row r="70" spans="1:25" ht="16.5" customHeight="1">
      <c r="A70" s="16" t="s">
        <v>173</v>
      </c>
      <c r="B70" s="32" t="s">
        <v>174</v>
      </c>
      <c r="C70" s="26" t="e">
        <f t="shared" si="36"/>
        <v>#REF!</v>
      </c>
      <c r="D70" s="26" t="e">
        <f t="shared" si="37"/>
        <v>#REF!</v>
      </c>
      <c r="E70" s="12" t="e">
        <f t="shared" si="38"/>
        <v>#REF!</v>
      </c>
      <c r="F70" s="26"/>
      <c r="G70" s="26" t="e">
        <f t="shared" si="39"/>
        <v>#REF!</v>
      </c>
      <c r="H70" s="26" t="e">
        <f t="shared" si="40"/>
        <v>#REF!</v>
      </c>
      <c r="I70" s="12" t="e">
        <f t="shared" si="41"/>
        <v>#REF!</v>
      </c>
      <c r="J70" s="26"/>
      <c r="K70" s="26" t="e">
        <f t="shared" si="42"/>
        <v>#REF!</v>
      </c>
      <c r="L70" s="26" t="e">
        <f t="shared" si="43"/>
        <v>#REF!</v>
      </c>
      <c r="M70" s="12" t="e">
        <f t="shared" si="44"/>
        <v>#REF!</v>
      </c>
      <c r="N70" s="12"/>
      <c r="O70" s="26" t="e">
        <f t="shared" si="45"/>
        <v>#REF!</v>
      </c>
      <c r="P70" s="26" t="e">
        <f t="shared" si="46"/>
        <v>#REF!</v>
      </c>
      <c r="Q70" s="12" t="e">
        <f t="shared" si="47"/>
        <v>#REF!</v>
      </c>
      <c r="R70" s="12"/>
      <c r="S70" s="26" t="e">
        <f t="shared" si="48"/>
        <v>#REF!</v>
      </c>
      <c r="T70" s="26" t="e">
        <f t="shared" si="49"/>
        <v>#REF!</v>
      </c>
      <c r="U70" s="12" t="e">
        <f t="shared" si="50"/>
        <v>#REF!</v>
      </c>
      <c r="V70" s="12"/>
      <c r="W70" s="44" t="e">
        <f t="shared" si="51"/>
        <v>#REF!</v>
      </c>
      <c r="X70" s="26" t="e">
        <f t="shared" si="52"/>
        <v>#REF!</v>
      </c>
      <c r="Y70" s="12" t="e">
        <f t="shared" si="53"/>
        <v>#REF!</v>
      </c>
    </row>
    <row r="71" spans="1:25" ht="16.5" customHeight="1">
      <c r="A71" s="16" t="s">
        <v>175</v>
      </c>
      <c r="B71" s="17" t="s">
        <v>176</v>
      </c>
      <c r="C71" s="26" t="e">
        <f t="shared" si="36"/>
        <v>#REF!</v>
      </c>
      <c r="D71" s="26" t="e">
        <f t="shared" si="37"/>
        <v>#REF!</v>
      </c>
      <c r="E71" s="12" t="e">
        <f t="shared" si="38"/>
        <v>#REF!</v>
      </c>
      <c r="F71" s="26"/>
      <c r="G71" s="26" t="e">
        <f t="shared" si="39"/>
        <v>#REF!</v>
      </c>
      <c r="H71" s="26" t="e">
        <f t="shared" si="40"/>
        <v>#REF!</v>
      </c>
      <c r="I71" s="12" t="e">
        <f t="shared" si="41"/>
        <v>#REF!</v>
      </c>
      <c r="J71" s="26"/>
      <c r="K71" s="26" t="e">
        <f t="shared" si="42"/>
        <v>#REF!</v>
      </c>
      <c r="L71" s="26" t="e">
        <f t="shared" si="43"/>
        <v>#REF!</v>
      </c>
      <c r="M71" s="12" t="e">
        <f t="shared" si="44"/>
        <v>#REF!</v>
      </c>
      <c r="N71" s="12"/>
      <c r="O71" s="26" t="e">
        <f t="shared" si="45"/>
        <v>#REF!</v>
      </c>
      <c r="P71" s="26" t="e">
        <f t="shared" si="46"/>
        <v>#REF!</v>
      </c>
      <c r="Q71" s="12" t="e">
        <f t="shared" si="47"/>
        <v>#REF!</v>
      </c>
      <c r="R71" s="12"/>
      <c r="S71" s="26" t="e">
        <f t="shared" si="48"/>
        <v>#REF!</v>
      </c>
      <c r="T71" s="26" t="e">
        <f t="shared" si="49"/>
        <v>#REF!</v>
      </c>
      <c r="U71" s="12" t="e">
        <f t="shared" si="50"/>
        <v>#REF!</v>
      </c>
      <c r="V71" s="12"/>
      <c r="W71" s="44" t="e">
        <f t="shared" si="51"/>
        <v>#REF!</v>
      </c>
      <c r="X71" s="26" t="e">
        <f t="shared" si="52"/>
        <v>#REF!</v>
      </c>
      <c r="Y71" s="12" t="e">
        <f t="shared" si="53"/>
        <v>#REF!</v>
      </c>
    </row>
    <row r="72" spans="1:25" ht="16.5" customHeight="1">
      <c r="A72" s="16" t="s">
        <v>179</v>
      </c>
      <c r="B72" s="32" t="s">
        <v>180</v>
      </c>
      <c r="C72" s="26" t="e">
        <f t="shared" si="36"/>
        <v>#REF!</v>
      </c>
      <c r="D72" s="26" t="e">
        <f t="shared" si="37"/>
        <v>#REF!</v>
      </c>
      <c r="E72" s="12" t="e">
        <f t="shared" si="38"/>
        <v>#REF!</v>
      </c>
      <c r="F72" s="26"/>
      <c r="G72" s="26" t="e">
        <f t="shared" si="39"/>
        <v>#REF!</v>
      </c>
      <c r="H72" s="26" t="e">
        <f t="shared" si="40"/>
        <v>#REF!</v>
      </c>
      <c r="I72" s="12" t="e">
        <f t="shared" si="41"/>
        <v>#REF!</v>
      </c>
      <c r="J72" s="26"/>
      <c r="K72" s="26" t="e">
        <f t="shared" si="42"/>
        <v>#REF!</v>
      </c>
      <c r="L72" s="26" t="e">
        <f t="shared" si="43"/>
        <v>#REF!</v>
      </c>
      <c r="M72" s="12" t="e">
        <f t="shared" si="44"/>
        <v>#REF!</v>
      </c>
      <c r="N72" s="12"/>
      <c r="O72" s="26" t="e">
        <f t="shared" si="45"/>
        <v>#REF!</v>
      </c>
      <c r="P72" s="26" t="e">
        <f t="shared" si="46"/>
        <v>#REF!</v>
      </c>
      <c r="Q72" s="12" t="e">
        <f t="shared" si="47"/>
        <v>#REF!</v>
      </c>
      <c r="R72" s="12"/>
      <c r="S72" s="26" t="e">
        <f t="shared" si="48"/>
        <v>#REF!</v>
      </c>
      <c r="T72" s="26" t="e">
        <f t="shared" si="49"/>
        <v>#REF!</v>
      </c>
      <c r="U72" s="12" t="e">
        <f t="shared" si="50"/>
        <v>#REF!</v>
      </c>
      <c r="V72" s="12"/>
      <c r="W72" s="44" t="e">
        <f t="shared" si="51"/>
        <v>#REF!</v>
      </c>
      <c r="X72" s="26" t="e">
        <f t="shared" si="52"/>
        <v>#REF!</v>
      </c>
      <c r="Y72" s="12" t="e">
        <f t="shared" si="53"/>
        <v>#REF!</v>
      </c>
    </row>
    <row r="73" spans="1:25" ht="16.5" customHeight="1">
      <c r="A73" s="16" t="s">
        <v>183</v>
      </c>
      <c r="B73" s="32" t="s">
        <v>184</v>
      </c>
      <c r="C73" s="26" t="e">
        <f t="shared" si="36"/>
        <v>#REF!</v>
      </c>
      <c r="D73" s="26" t="e">
        <f t="shared" si="37"/>
        <v>#REF!</v>
      </c>
      <c r="E73" s="12" t="e">
        <f t="shared" si="38"/>
        <v>#REF!</v>
      </c>
      <c r="F73" s="26"/>
      <c r="G73" s="26" t="e">
        <f t="shared" si="39"/>
        <v>#REF!</v>
      </c>
      <c r="H73" s="26" t="e">
        <f t="shared" si="40"/>
        <v>#REF!</v>
      </c>
      <c r="I73" s="12" t="e">
        <f t="shared" si="41"/>
        <v>#REF!</v>
      </c>
      <c r="J73" s="26"/>
      <c r="K73" s="26" t="e">
        <f t="shared" si="42"/>
        <v>#REF!</v>
      </c>
      <c r="L73" s="26" t="e">
        <f t="shared" si="43"/>
        <v>#REF!</v>
      </c>
      <c r="M73" s="12" t="e">
        <f t="shared" si="44"/>
        <v>#REF!</v>
      </c>
      <c r="N73" s="12"/>
      <c r="O73" s="26" t="e">
        <f t="shared" si="45"/>
        <v>#REF!</v>
      </c>
      <c r="P73" s="26" t="e">
        <f t="shared" si="46"/>
        <v>#REF!</v>
      </c>
      <c r="Q73" s="12" t="e">
        <f t="shared" si="47"/>
        <v>#REF!</v>
      </c>
      <c r="R73" s="12"/>
      <c r="S73" s="26" t="e">
        <f t="shared" si="48"/>
        <v>#REF!</v>
      </c>
      <c r="T73" s="26" t="e">
        <f t="shared" si="49"/>
        <v>#REF!</v>
      </c>
      <c r="U73" s="12" t="e">
        <f t="shared" si="50"/>
        <v>#REF!</v>
      </c>
      <c r="V73" s="12"/>
      <c r="W73" s="44" t="e">
        <f t="shared" si="51"/>
        <v>#REF!</v>
      </c>
      <c r="X73" s="26" t="e">
        <f t="shared" si="52"/>
        <v>#REF!</v>
      </c>
      <c r="Y73" s="12" t="e">
        <f t="shared" si="53"/>
        <v>#REF!</v>
      </c>
    </row>
    <row r="74" spans="1:25" ht="16.5" customHeight="1">
      <c r="A74" s="16" t="s">
        <v>185</v>
      </c>
      <c r="B74" s="32" t="s">
        <v>186</v>
      </c>
      <c r="C74" s="26" t="e">
        <f t="shared" si="36"/>
        <v>#REF!</v>
      </c>
      <c r="D74" s="26" t="e">
        <f t="shared" si="37"/>
        <v>#REF!</v>
      </c>
      <c r="E74" s="12" t="e">
        <f t="shared" si="38"/>
        <v>#REF!</v>
      </c>
      <c r="F74" s="26"/>
      <c r="G74" s="26" t="e">
        <f t="shared" si="39"/>
        <v>#REF!</v>
      </c>
      <c r="H74" s="26" t="e">
        <f t="shared" si="40"/>
        <v>#REF!</v>
      </c>
      <c r="I74" s="12" t="e">
        <f t="shared" si="41"/>
        <v>#REF!</v>
      </c>
      <c r="J74" s="26"/>
      <c r="K74" s="26" t="e">
        <f t="shared" si="42"/>
        <v>#REF!</v>
      </c>
      <c r="L74" s="26" t="e">
        <f t="shared" si="43"/>
        <v>#REF!</v>
      </c>
      <c r="M74" s="12" t="e">
        <f t="shared" si="44"/>
        <v>#REF!</v>
      </c>
      <c r="N74" s="12"/>
      <c r="O74" s="26" t="e">
        <f t="shared" si="45"/>
        <v>#REF!</v>
      </c>
      <c r="P74" s="26" t="e">
        <f t="shared" si="46"/>
        <v>#REF!</v>
      </c>
      <c r="Q74" s="12" t="e">
        <f t="shared" si="47"/>
        <v>#REF!</v>
      </c>
      <c r="R74" s="12"/>
      <c r="S74" s="26" t="e">
        <f t="shared" si="48"/>
        <v>#REF!</v>
      </c>
      <c r="T74" s="26" t="e">
        <f t="shared" si="49"/>
        <v>#REF!</v>
      </c>
      <c r="U74" s="12" t="e">
        <f t="shared" si="50"/>
        <v>#REF!</v>
      </c>
      <c r="V74" s="12"/>
      <c r="W74" s="44" t="e">
        <f t="shared" si="51"/>
        <v>#REF!</v>
      </c>
      <c r="X74" s="26" t="e">
        <f t="shared" si="52"/>
        <v>#REF!</v>
      </c>
      <c r="Y74" s="12" t="e">
        <f t="shared" si="53"/>
        <v>#REF!</v>
      </c>
    </row>
    <row r="75" spans="1:25" ht="16.5" customHeight="1">
      <c r="A75" s="16" t="s">
        <v>187</v>
      </c>
      <c r="B75" s="17" t="s">
        <v>188</v>
      </c>
      <c r="C75" s="26" t="e">
        <f t="shared" si="36"/>
        <v>#REF!</v>
      </c>
      <c r="D75" s="26" t="e">
        <f t="shared" si="37"/>
        <v>#REF!</v>
      </c>
      <c r="E75" s="12" t="e">
        <f t="shared" si="38"/>
        <v>#REF!</v>
      </c>
      <c r="F75" s="26"/>
      <c r="G75" s="26" t="e">
        <f t="shared" si="39"/>
        <v>#REF!</v>
      </c>
      <c r="H75" s="26" t="e">
        <f t="shared" si="40"/>
        <v>#REF!</v>
      </c>
      <c r="I75" s="12" t="e">
        <f t="shared" si="41"/>
        <v>#REF!</v>
      </c>
      <c r="J75" s="26"/>
      <c r="K75" s="26" t="e">
        <f t="shared" si="42"/>
        <v>#REF!</v>
      </c>
      <c r="L75" s="26" t="e">
        <f t="shared" si="43"/>
        <v>#REF!</v>
      </c>
      <c r="M75" s="12" t="e">
        <f t="shared" si="44"/>
        <v>#REF!</v>
      </c>
      <c r="N75" s="12"/>
      <c r="O75" s="26" t="e">
        <f t="shared" si="45"/>
        <v>#REF!</v>
      </c>
      <c r="P75" s="26" t="e">
        <f t="shared" si="46"/>
        <v>#REF!</v>
      </c>
      <c r="Q75" s="12" t="e">
        <f t="shared" si="47"/>
        <v>#REF!</v>
      </c>
      <c r="R75" s="12"/>
      <c r="S75" s="26" t="e">
        <f t="shared" si="48"/>
        <v>#REF!</v>
      </c>
      <c r="T75" s="26" t="e">
        <f t="shared" si="49"/>
        <v>#REF!</v>
      </c>
      <c r="U75" s="12" t="e">
        <f t="shared" si="50"/>
        <v>#REF!</v>
      </c>
      <c r="V75" s="12"/>
      <c r="W75" s="44" t="e">
        <f t="shared" si="51"/>
        <v>#REF!</v>
      </c>
      <c r="X75" s="26" t="e">
        <f t="shared" si="52"/>
        <v>#REF!</v>
      </c>
      <c r="Y75" s="12" t="e">
        <f t="shared" si="53"/>
        <v>#REF!</v>
      </c>
    </row>
    <row r="76" spans="1:25" ht="16.5" customHeight="1">
      <c r="A76" s="16" t="s">
        <v>189</v>
      </c>
      <c r="B76" s="17" t="s">
        <v>190</v>
      </c>
      <c r="C76" s="26" t="e">
        <f t="shared" si="36"/>
        <v>#REF!</v>
      </c>
      <c r="D76" s="26" t="e">
        <f t="shared" si="37"/>
        <v>#REF!</v>
      </c>
      <c r="E76" s="12" t="e">
        <f t="shared" si="38"/>
        <v>#REF!</v>
      </c>
      <c r="F76" s="26"/>
      <c r="G76" s="26" t="e">
        <f t="shared" si="39"/>
        <v>#REF!</v>
      </c>
      <c r="H76" s="26" t="e">
        <f t="shared" si="40"/>
        <v>#REF!</v>
      </c>
      <c r="I76" s="12" t="e">
        <f t="shared" si="41"/>
        <v>#REF!</v>
      </c>
      <c r="J76" s="26"/>
      <c r="K76" s="26" t="e">
        <f t="shared" si="42"/>
        <v>#REF!</v>
      </c>
      <c r="L76" s="26" t="e">
        <f t="shared" si="43"/>
        <v>#REF!</v>
      </c>
      <c r="M76" s="12" t="e">
        <f t="shared" si="44"/>
        <v>#REF!</v>
      </c>
      <c r="N76" s="12"/>
      <c r="O76" s="26" t="e">
        <f t="shared" si="45"/>
        <v>#REF!</v>
      </c>
      <c r="P76" s="26" t="e">
        <f t="shared" si="46"/>
        <v>#REF!</v>
      </c>
      <c r="Q76" s="12" t="e">
        <f t="shared" si="47"/>
        <v>#REF!</v>
      </c>
      <c r="R76" s="12"/>
      <c r="S76" s="26" t="e">
        <f t="shared" si="48"/>
        <v>#REF!</v>
      </c>
      <c r="T76" s="26" t="e">
        <f t="shared" si="49"/>
        <v>#REF!</v>
      </c>
      <c r="U76" s="12" t="e">
        <f t="shared" si="50"/>
        <v>#REF!</v>
      </c>
      <c r="V76" s="12"/>
      <c r="W76" s="44" t="e">
        <f t="shared" si="51"/>
        <v>#REF!</v>
      </c>
      <c r="X76" s="26" t="e">
        <f t="shared" si="52"/>
        <v>#REF!</v>
      </c>
      <c r="Y76" s="12" t="e">
        <f t="shared" si="53"/>
        <v>#REF!</v>
      </c>
    </row>
    <row r="77" spans="1:25" ht="16.5" customHeight="1">
      <c r="A77" s="16" t="s">
        <v>191</v>
      </c>
      <c r="B77" s="32" t="s">
        <v>192</v>
      </c>
      <c r="C77" s="26" t="e">
        <f t="shared" si="36"/>
        <v>#REF!</v>
      </c>
      <c r="D77" s="26" t="e">
        <f t="shared" si="37"/>
        <v>#REF!</v>
      </c>
      <c r="E77" s="12" t="e">
        <f t="shared" si="38"/>
        <v>#REF!</v>
      </c>
      <c r="F77" s="26"/>
      <c r="G77" s="26" t="e">
        <f t="shared" si="39"/>
        <v>#REF!</v>
      </c>
      <c r="H77" s="26" t="e">
        <f t="shared" si="40"/>
        <v>#REF!</v>
      </c>
      <c r="I77" s="12" t="e">
        <f t="shared" si="41"/>
        <v>#REF!</v>
      </c>
      <c r="J77" s="26"/>
      <c r="K77" s="26" t="e">
        <f t="shared" si="42"/>
        <v>#REF!</v>
      </c>
      <c r="L77" s="26" t="e">
        <f t="shared" si="43"/>
        <v>#REF!</v>
      </c>
      <c r="M77" s="12" t="e">
        <f t="shared" si="44"/>
        <v>#REF!</v>
      </c>
      <c r="N77" s="12"/>
      <c r="O77" s="26" t="e">
        <f t="shared" si="45"/>
        <v>#REF!</v>
      </c>
      <c r="P77" s="26" t="e">
        <f t="shared" si="46"/>
        <v>#REF!</v>
      </c>
      <c r="Q77" s="12" t="e">
        <f t="shared" si="47"/>
        <v>#REF!</v>
      </c>
      <c r="R77" s="12"/>
      <c r="S77" s="26" t="e">
        <f t="shared" si="48"/>
        <v>#REF!</v>
      </c>
      <c r="T77" s="26" t="e">
        <f t="shared" si="49"/>
        <v>#REF!</v>
      </c>
      <c r="U77" s="12" t="e">
        <f t="shared" si="50"/>
        <v>#REF!</v>
      </c>
      <c r="V77" s="12"/>
      <c r="W77" s="44" t="e">
        <f t="shared" si="51"/>
        <v>#REF!</v>
      </c>
      <c r="X77" s="26" t="e">
        <f t="shared" si="52"/>
        <v>#REF!</v>
      </c>
      <c r="Y77" s="12" t="e">
        <f t="shared" si="53"/>
        <v>#REF!</v>
      </c>
    </row>
    <row r="78" spans="1:25" ht="16.5" customHeight="1">
      <c r="A78" s="16" t="s">
        <v>195</v>
      </c>
      <c r="B78" s="17" t="s">
        <v>196</v>
      </c>
      <c r="C78" s="26" t="e">
        <f t="shared" si="36"/>
        <v>#REF!</v>
      </c>
      <c r="D78" s="26" t="e">
        <f t="shared" si="37"/>
        <v>#REF!</v>
      </c>
      <c r="E78" s="12" t="e">
        <f t="shared" si="38"/>
        <v>#REF!</v>
      </c>
      <c r="F78" s="26"/>
      <c r="G78" s="26" t="e">
        <f t="shared" si="39"/>
        <v>#REF!</v>
      </c>
      <c r="H78" s="26" t="e">
        <f t="shared" si="40"/>
        <v>#REF!</v>
      </c>
      <c r="I78" s="12" t="e">
        <f t="shared" si="41"/>
        <v>#REF!</v>
      </c>
      <c r="J78" s="26"/>
      <c r="K78" s="26" t="e">
        <f t="shared" si="42"/>
        <v>#REF!</v>
      </c>
      <c r="L78" s="26" t="e">
        <f t="shared" si="43"/>
        <v>#REF!</v>
      </c>
      <c r="M78" s="12" t="e">
        <f t="shared" si="44"/>
        <v>#REF!</v>
      </c>
      <c r="N78" s="12"/>
      <c r="O78" s="26" t="e">
        <f t="shared" si="45"/>
        <v>#REF!</v>
      </c>
      <c r="P78" s="26" t="e">
        <f t="shared" si="46"/>
        <v>#REF!</v>
      </c>
      <c r="Q78" s="12" t="e">
        <f t="shared" si="47"/>
        <v>#REF!</v>
      </c>
      <c r="R78" s="12"/>
      <c r="S78" s="26" t="e">
        <f t="shared" si="48"/>
        <v>#REF!</v>
      </c>
      <c r="T78" s="26" t="e">
        <f t="shared" si="49"/>
        <v>#REF!</v>
      </c>
      <c r="U78" s="12" t="e">
        <f t="shared" si="50"/>
        <v>#REF!</v>
      </c>
      <c r="V78" s="12"/>
      <c r="W78" s="44" t="e">
        <f t="shared" si="51"/>
        <v>#REF!</v>
      </c>
      <c r="X78" s="26" t="e">
        <f t="shared" si="52"/>
        <v>#REF!</v>
      </c>
      <c r="Y78" s="12" t="e">
        <f t="shared" si="53"/>
        <v>#REF!</v>
      </c>
    </row>
    <row r="79" spans="1:25" ht="16.5" customHeight="1">
      <c r="A79" s="16" t="s">
        <v>199</v>
      </c>
      <c r="B79" s="32" t="s">
        <v>200</v>
      </c>
      <c r="C79" s="26" t="e">
        <f t="shared" si="36"/>
        <v>#REF!</v>
      </c>
      <c r="D79" s="26" t="e">
        <f t="shared" si="37"/>
        <v>#REF!</v>
      </c>
      <c r="E79" s="12" t="e">
        <f t="shared" si="38"/>
        <v>#REF!</v>
      </c>
      <c r="F79" s="26"/>
      <c r="G79" s="26" t="e">
        <f t="shared" si="39"/>
        <v>#REF!</v>
      </c>
      <c r="H79" s="26" t="e">
        <f t="shared" si="40"/>
        <v>#REF!</v>
      </c>
      <c r="I79" s="12" t="e">
        <f t="shared" si="41"/>
        <v>#REF!</v>
      </c>
      <c r="J79" s="26"/>
      <c r="K79" s="26" t="e">
        <f t="shared" si="42"/>
        <v>#REF!</v>
      </c>
      <c r="L79" s="26" t="e">
        <f t="shared" si="43"/>
        <v>#REF!</v>
      </c>
      <c r="M79" s="12" t="e">
        <f t="shared" si="44"/>
        <v>#REF!</v>
      </c>
      <c r="N79" s="12"/>
      <c r="O79" s="26" t="e">
        <f t="shared" si="45"/>
        <v>#REF!</v>
      </c>
      <c r="P79" s="26" t="e">
        <f t="shared" si="46"/>
        <v>#REF!</v>
      </c>
      <c r="Q79" s="12" t="e">
        <f t="shared" si="47"/>
        <v>#REF!</v>
      </c>
      <c r="R79" s="12"/>
      <c r="S79" s="26" t="e">
        <f t="shared" si="48"/>
        <v>#REF!</v>
      </c>
      <c r="T79" s="26" t="e">
        <f t="shared" si="49"/>
        <v>#REF!</v>
      </c>
      <c r="U79" s="12" t="e">
        <f t="shared" si="50"/>
        <v>#REF!</v>
      </c>
      <c r="V79" s="12"/>
      <c r="W79" s="44" t="e">
        <f t="shared" si="51"/>
        <v>#REF!</v>
      </c>
      <c r="X79" s="26" t="e">
        <f t="shared" si="52"/>
        <v>#REF!</v>
      </c>
      <c r="Y79" s="12" t="e">
        <f t="shared" si="53"/>
        <v>#REF!</v>
      </c>
    </row>
    <row r="80" spans="1:25" ht="16.5" customHeight="1">
      <c r="A80" s="16" t="s">
        <v>203</v>
      </c>
      <c r="B80" s="17" t="s">
        <v>204</v>
      </c>
      <c r="C80" s="26" t="e">
        <f t="shared" si="36"/>
        <v>#REF!</v>
      </c>
      <c r="D80" s="26" t="e">
        <f t="shared" si="37"/>
        <v>#REF!</v>
      </c>
      <c r="E80" s="12" t="e">
        <f t="shared" si="38"/>
        <v>#REF!</v>
      </c>
      <c r="F80" s="26"/>
      <c r="G80" s="26" t="e">
        <f t="shared" si="39"/>
        <v>#REF!</v>
      </c>
      <c r="H80" s="26" t="e">
        <f t="shared" si="40"/>
        <v>#REF!</v>
      </c>
      <c r="I80" s="12" t="e">
        <f t="shared" si="41"/>
        <v>#REF!</v>
      </c>
      <c r="J80" s="26"/>
      <c r="K80" s="26" t="e">
        <f t="shared" si="42"/>
        <v>#REF!</v>
      </c>
      <c r="L80" s="26" t="e">
        <f t="shared" si="43"/>
        <v>#REF!</v>
      </c>
      <c r="M80" s="12" t="e">
        <f t="shared" si="44"/>
        <v>#REF!</v>
      </c>
      <c r="N80" s="12"/>
      <c r="O80" s="26" t="e">
        <f t="shared" si="45"/>
        <v>#REF!</v>
      </c>
      <c r="P80" s="26" t="e">
        <f t="shared" si="46"/>
        <v>#REF!</v>
      </c>
      <c r="Q80" s="12" t="e">
        <f t="shared" si="47"/>
        <v>#REF!</v>
      </c>
      <c r="R80" s="12"/>
      <c r="S80" s="26" t="e">
        <f t="shared" si="48"/>
        <v>#REF!</v>
      </c>
      <c r="T80" s="26" t="e">
        <f t="shared" si="49"/>
        <v>#REF!</v>
      </c>
      <c r="U80" s="12" t="e">
        <f t="shared" si="50"/>
        <v>#REF!</v>
      </c>
      <c r="V80" s="12"/>
      <c r="W80" s="44" t="e">
        <f t="shared" si="51"/>
        <v>#REF!</v>
      </c>
      <c r="X80" s="26" t="e">
        <f t="shared" si="52"/>
        <v>#REF!</v>
      </c>
      <c r="Y80" s="12" t="e">
        <f t="shared" si="53"/>
        <v>#REF!</v>
      </c>
    </row>
    <row r="81" spans="1:25" ht="16.5" customHeight="1">
      <c r="A81" s="16" t="s">
        <v>205</v>
      </c>
      <c r="B81" s="17" t="s">
        <v>206</v>
      </c>
      <c r="C81" s="26" t="e">
        <f t="shared" si="36"/>
        <v>#REF!</v>
      </c>
      <c r="D81" s="26" t="e">
        <f t="shared" si="37"/>
        <v>#REF!</v>
      </c>
      <c r="E81" s="12" t="e">
        <f t="shared" si="38"/>
        <v>#REF!</v>
      </c>
      <c r="F81" s="26"/>
      <c r="G81" s="26" t="e">
        <f t="shared" si="39"/>
        <v>#REF!</v>
      </c>
      <c r="H81" s="26" t="e">
        <f t="shared" si="40"/>
        <v>#REF!</v>
      </c>
      <c r="I81" s="12" t="e">
        <f t="shared" si="41"/>
        <v>#REF!</v>
      </c>
      <c r="J81" s="26"/>
      <c r="K81" s="26" t="e">
        <f t="shared" si="42"/>
        <v>#REF!</v>
      </c>
      <c r="L81" s="26" t="e">
        <f t="shared" si="43"/>
        <v>#REF!</v>
      </c>
      <c r="M81" s="12" t="e">
        <f t="shared" si="44"/>
        <v>#REF!</v>
      </c>
      <c r="N81" s="12"/>
      <c r="O81" s="26" t="e">
        <f t="shared" si="45"/>
        <v>#REF!</v>
      </c>
      <c r="P81" s="26" t="e">
        <f t="shared" si="46"/>
        <v>#REF!</v>
      </c>
      <c r="Q81" s="12" t="e">
        <f t="shared" si="47"/>
        <v>#REF!</v>
      </c>
      <c r="R81" s="12"/>
      <c r="S81" s="26" t="e">
        <f t="shared" si="48"/>
        <v>#REF!</v>
      </c>
      <c r="T81" s="26" t="e">
        <f t="shared" si="49"/>
        <v>#REF!</v>
      </c>
      <c r="U81" s="12" t="e">
        <f t="shared" si="50"/>
        <v>#REF!</v>
      </c>
      <c r="V81" s="12"/>
      <c r="W81" s="44" t="e">
        <f t="shared" si="51"/>
        <v>#REF!</v>
      </c>
      <c r="X81" s="26" t="e">
        <f t="shared" si="52"/>
        <v>#REF!</v>
      </c>
      <c r="Y81" s="12" t="e">
        <f t="shared" si="53"/>
        <v>#REF!</v>
      </c>
    </row>
    <row r="82" spans="1:25" ht="16.5" customHeight="1">
      <c r="A82" s="16" t="s">
        <v>207</v>
      </c>
      <c r="B82" s="17" t="s">
        <v>208</v>
      </c>
      <c r="C82" s="26" t="e">
        <f t="shared" si="36"/>
        <v>#REF!</v>
      </c>
      <c r="D82" s="26" t="e">
        <f t="shared" si="37"/>
        <v>#REF!</v>
      </c>
      <c r="E82" s="12" t="e">
        <f t="shared" si="38"/>
        <v>#REF!</v>
      </c>
      <c r="F82" s="26"/>
      <c r="G82" s="26" t="e">
        <f t="shared" si="39"/>
        <v>#REF!</v>
      </c>
      <c r="H82" s="26" t="e">
        <f t="shared" si="40"/>
        <v>#REF!</v>
      </c>
      <c r="I82" s="12" t="e">
        <f t="shared" si="41"/>
        <v>#REF!</v>
      </c>
      <c r="J82" s="26"/>
      <c r="K82" s="26" t="e">
        <f t="shared" si="42"/>
        <v>#REF!</v>
      </c>
      <c r="L82" s="26" t="e">
        <f t="shared" si="43"/>
        <v>#REF!</v>
      </c>
      <c r="M82" s="12" t="e">
        <f t="shared" si="44"/>
        <v>#REF!</v>
      </c>
      <c r="N82" s="12"/>
      <c r="O82" s="26" t="e">
        <f t="shared" si="45"/>
        <v>#REF!</v>
      </c>
      <c r="P82" s="26" t="e">
        <f t="shared" si="46"/>
        <v>#REF!</v>
      </c>
      <c r="Q82" s="12" t="e">
        <f t="shared" si="47"/>
        <v>#REF!</v>
      </c>
      <c r="R82" s="12"/>
      <c r="S82" s="26" t="e">
        <f t="shared" si="48"/>
        <v>#REF!</v>
      </c>
      <c r="T82" s="26" t="e">
        <f t="shared" si="49"/>
        <v>#REF!</v>
      </c>
      <c r="U82" s="12" t="e">
        <f t="shared" si="50"/>
        <v>#REF!</v>
      </c>
      <c r="V82" s="12"/>
      <c r="W82" s="44" t="e">
        <f t="shared" si="51"/>
        <v>#REF!</v>
      </c>
      <c r="X82" s="26" t="e">
        <f t="shared" si="52"/>
        <v>#REF!</v>
      </c>
      <c r="Y82" s="12" t="e">
        <f t="shared" si="53"/>
        <v>#REF!</v>
      </c>
    </row>
    <row r="83" spans="1:25" ht="16.5" customHeight="1">
      <c r="A83" s="16" t="s">
        <v>209</v>
      </c>
      <c r="B83" s="32" t="s">
        <v>210</v>
      </c>
      <c r="C83" s="26" t="e">
        <f t="shared" si="36"/>
        <v>#REF!</v>
      </c>
      <c r="D83" s="26" t="e">
        <f t="shared" si="37"/>
        <v>#REF!</v>
      </c>
      <c r="E83" s="12" t="e">
        <f t="shared" si="38"/>
        <v>#REF!</v>
      </c>
      <c r="F83" s="26"/>
      <c r="G83" s="26" t="e">
        <f t="shared" si="39"/>
        <v>#REF!</v>
      </c>
      <c r="H83" s="26" t="e">
        <f t="shared" si="40"/>
        <v>#REF!</v>
      </c>
      <c r="I83" s="12" t="e">
        <f t="shared" si="41"/>
        <v>#REF!</v>
      </c>
      <c r="J83" s="26"/>
      <c r="K83" s="26" t="e">
        <f t="shared" si="42"/>
        <v>#REF!</v>
      </c>
      <c r="L83" s="26" t="e">
        <f t="shared" si="43"/>
        <v>#REF!</v>
      </c>
      <c r="M83" s="12" t="e">
        <f t="shared" si="44"/>
        <v>#REF!</v>
      </c>
      <c r="N83" s="12"/>
      <c r="O83" s="26" t="e">
        <f t="shared" si="45"/>
        <v>#REF!</v>
      </c>
      <c r="P83" s="26" t="e">
        <f t="shared" si="46"/>
        <v>#REF!</v>
      </c>
      <c r="Q83" s="12" t="e">
        <f t="shared" si="47"/>
        <v>#REF!</v>
      </c>
      <c r="R83" s="12"/>
      <c r="S83" s="26" t="e">
        <f t="shared" si="48"/>
        <v>#REF!</v>
      </c>
      <c r="T83" s="26" t="e">
        <f t="shared" si="49"/>
        <v>#REF!</v>
      </c>
      <c r="U83" s="12" t="e">
        <f t="shared" si="50"/>
        <v>#REF!</v>
      </c>
      <c r="V83" s="12"/>
      <c r="W83" s="44" t="e">
        <f t="shared" si="51"/>
        <v>#REF!</v>
      </c>
      <c r="X83" s="26" t="e">
        <f t="shared" si="52"/>
        <v>#REF!</v>
      </c>
      <c r="Y83" s="12" t="e">
        <f t="shared" si="53"/>
        <v>#REF!</v>
      </c>
    </row>
    <row r="84" spans="1:25" ht="16.5" customHeight="1">
      <c r="A84" s="16" t="s">
        <v>211</v>
      </c>
      <c r="B84" s="32" t="s">
        <v>212</v>
      </c>
      <c r="C84" s="26" t="e">
        <f t="shared" si="36"/>
        <v>#REF!</v>
      </c>
      <c r="D84" s="26" t="e">
        <f t="shared" si="37"/>
        <v>#REF!</v>
      </c>
      <c r="E84" s="12" t="e">
        <f t="shared" si="38"/>
        <v>#REF!</v>
      </c>
      <c r="F84" s="26"/>
      <c r="G84" s="26" t="e">
        <f t="shared" si="39"/>
        <v>#REF!</v>
      </c>
      <c r="H84" s="26" t="e">
        <f t="shared" si="40"/>
        <v>#REF!</v>
      </c>
      <c r="I84" s="12" t="e">
        <f t="shared" si="41"/>
        <v>#REF!</v>
      </c>
      <c r="J84" s="26"/>
      <c r="K84" s="26" t="e">
        <f t="shared" si="42"/>
        <v>#REF!</v>
      </c>
      <c r="L84" s="26" t="e">
        <f t="shared" si="43"/>
        <v>#REF!</v>
      </c>
      <c r="M84" s="12" t="e">
        <f t="shared" si="44"/>
        <v>#REF!</v>
      </c>
      <c r="N84" s="12"/>
      <c r="O84" s="26" t="e">
        <f t="shared" si="45"/>
        <v>#REF!</v>
      </c>
      <c r="P84" s="26" t="e">
        <f t="shared" si="46"/>
        <v>#REF!</v>
      </c>
      <c r="Q84" s="12" t="e">
        <f t="shared" si="47"/>
        <v>#REF!</v>
      </c>
      <c r="R84" s="12"/>
      <c r="S84" s="26" t="e">
        <f t="shared" si="48"/>
        <v>#REF!</v>
      </c>
      <c r="T84" s="26" t="e">
        <f t="shared" si="49"/>
        <v>#REF!</v>
      </c>
      <c r="U84" s="12" t="e">
        <f t="shared" si="50"/>
        <v>#REF!</v>
      </c>
      <c r="V84" s="12"/>
      <c r="W84" s="44" t="e">
        <f t="shared" si="51"/>
        <v>#REF!</v>
      </c>
      <c r="X84" s="26" t="e">
        <f t="shared" si="52"/>
        <v>#REF!</v>
      </c>
      <c r="Y84" s="12" t="e">
        <f t="shared" si="53"/>
        <v>#REF!</v>
      </c>
    </row>
    <row r="85" spans="1:25" ht="16.5" customHeight="1">
      <c r="A85" s="16" t="s">
        <v>213</v>
      </c>
      <c r="B85" s="17" t="s">
        <v>214</v>
      </c>
      <c r="C85" s="26" t="e">
        <f t="shared" si="36"/>
        <v>#REF!</v>
      </c>
      <c r="D85" s="26" t="e">
        <f t="shared" si="37"/>
        <v>#REF!</v>
      </c>
      <c r="E85" s="12" t="e">
        <f t="shared" si="38"/>
        <v>#REF!</v>
      </c>
      <c r="F85" s="26"/>
      <c r="G85" s="26" t="e">
        <f t="shared" si="39"/>
        <v>#REF!</v>
      </c>
      <c r="H85" s="26" t="e">
        <f t="shared" si="40"/>
        <v>#REF!</v>
      </c>
      <c r="I85" s="12" t="e">
        <f t="shared" si="41"/>
        <v>#REF!</v>
      </c>
      <c r="J85" s="26"/>
      <c r="K85" s="26" t="e">
        <f t="shared" si="42"/>
        <v>#REF!</v>
      </c>
      <c r="L85" s="26" t="e">
        <f t="shared" si="43"/>
        <v>#REF!</v>
      </c>
      <c r="M85" s="12" t="e">
        <f t="shared" si="44"/>
        <v>#REF!</v>
      </c>
      <c r="N85" s="12"/>
      <c r="O85" s="26" t="e">
        <f t="shared" si="45"/>
        <v>#REF!</v>
      </c>
      <c r="P85" s="26" t="e">
        <f t="shared" si="46"/>
        <v>#REF!</v>
      </c>
      <c r="Q85" s="12" t="e">
        <f t="shared" si="47"/>
        <v>#REF!</v>
      </c>
      <c r="R85" s="12"/>
      <c r="S85" s="26" t="e">
        <f t="shared" si="48"/>
        <v>#REF!</v>
      </c>
      <c r="T85" s="26" t="e">
        <f t="shared" si="49"/>
        <v>#REF!</v>
      </c>
      <c r="U85" s="12" t="e">
        <f t="shared" si="50"/>
        <v>#REF!</v>
      </c>
      <c r="V85" s="12"/>
      <c r="W85" s="44" t="e">
        <f t="shared" si="51"/>
        <v>#REF!</v>
      </c>
      <c r="X85" s="26" t="e">
        <f t="shared" si="52"/>
        <v>#REF!</v>
      </c>
      <c r="Y85" s="12" t="e">
        <f t="shared" si="53"/>
        <v>#REF!</v>
      </c>
    </row>
    <row r="86" spans="1:25" ht="16.5" customHeight="1">
      <c r="A86" s="16" t="s">
        <v>215</v>
      </c>
      <c r="B86" s="32" t="s">
        <v>216</v>
      </c>
      <c r="C86" s="26" t="e">
        <f t="shared" si="36"/>
        <v>#REF!</v>
      </c>
      <c r="D86" s="26" t="e">
        <f t="shared" si="37"/>
        <v>#REF!</v>
      </c>
      <c r="E86" s="12" t="e">
        <f t="shared" si="38"/>
        <v>#REF!</v>
      </c>
      <c r="F86" s="26"/>
      <c r="G86" s="26" t="e">
        <f t="shared" si="39"/>
        <v>#REF!</v>
      </c>
      <c r="H86" s="26" t="e">
        <f t="shared" si="40"/>
        <v>#REF!</v>
      </c>
      <c r="I86" s="12" t="e">
        <f t="shared" si="41"/>
        <v>#REF!</v>
      </c>
      <c r="J86" s="26"/>
      <c r="K86" s="26" t="e">
        <f t="shared" si="42"/>
        <v>#REF!</v>
      </c>
      <c r="L86" s="26" t="e">
        <f t="shared" si="43"/>
        <v>#REF!</v>
      </c>
      <c r="M86" s="12" t="e">
        <f t="shared" si="44"/>
        <v>#REF!</v>
      </c>
      <c r="N86" s="12"/>
      <c r="O86" s="26" t="e">
        <f t="shared" si="45"/>
        <v>#REF!</v>
      </c>
      <c r="P86" s="26" t="e">
        <f t="shared" si="46"/>
        <v>#REF!</v>
      </c>
      <c r="Q86" s="12" t="e">
        <f t="shared" si="47"/>
        <v>#REF!</v>
      </c>
      <c r="R86" s="12"/>
      <c r="S86" s="26" t="e">
        <f t="shared" si="48"/>
        <v>#REF!</v>
      </c>
      <c r="T86" s="26" t="e">
        <f t="shared" si="49"/>
        <v>#REF!</v>
      </c>
      <c r="U86" s="12" t="e">
        <f t="shared" si="50"/>
        <v>#REF!</v>
      </c>
      <c r="V86" s="12"/>
      <c r="W86" s="44" t="e">
        <f t="shared" si="51"/>
        <v>#REF!</v>
      </c>
      <c r="X86" s="26" t="e">
        <f t="shared" si="52"/>
        <v>#REF!</v>
      </c>
      <c r="Y86" s="12" t="e">
        <f t="shared" si="53"/>
        <v>#REF!</v>
      </c>
    </row>
    <row r="87" spans="1:25" ht="16.5" customHeight="1">
      <c r="A87" s="16" t="s">
        <v>217</v>
      </c>
      <c r="B87" s="32" t="s">
        <v>218</v>
      </c>
      <c r="C87" s="26" t="e">
        <f t="shared" si="36"/>
        <v>#REF!</v>
      </c>
      <c r="D87" s="26" t="e">
        <f t="shared" si="37"/>
        <v>#REF!</v>
      </c>
      <c r="E87" s="12" t="e">
        <f t="shared" si="38"/>
        <v>#REF!</v>
      </c>
      <c r="F87" s="26"/>
      <c r="G87" s="26" t="e">
        <f t="shared" si="39"/>
        <v>#REF!</v>
      </c>
      <c r="H87" s="26" t="e">
        <f t="shared" si="40"/>
        <v>#REF!</v>
      </c>
      <c r="I87" s="12" t="e">
        <f t="shared" si="41"/>
        <v>#REF!</v>
      </c>
      <c r="J87" s="26"/>
      <c r="K87" s="26" t="e">
        <f t="shared" si="42"/>
        <v>#REF!</v>
      </c>
      <c r="L87" s="26" t="e">
        <f t="shared" si="43"/>
        <v>#REF!</v>
      </c>
      <c r="M87" s="12" t="e">
        <f t="shared" si="44"/>
        <v>#REF!</v>
      </c>
      <c r="N87" s="12"/>
      <c r="O87" s="26" t="e">
        <f t="shared" si="45"/>
        <v>#REF!</v>
      </c>
      <c r="P87" s="26" t="e">
        <f t="shared" si="46"/>
        <v>#REF!</v>
      </c>
      <c r="Q87" s="12" t="e">
        <f t="shared" si="47"/>
        <v>#REF!</v>
      </c>
      <c r="R87" s="12"/>
      <c r="S87" s="26" t="e">
        <f t="shared" si="48"/>
        <v>#REF!</v>
      </c>
      <c r="T87" s="26" t="e">
        <f t="shared" si="49"/>
        <v>#REF!</v>
      </c>
      <c r="U87" s="12" t="e">
        <f t="shared" si="50"/>
        <v>#REF!</v>
      </c>
      <c r="V87" s="12"/>
      <c r="W87" s="44" t="e">
        <f t="shared" si="51"/>
        <v>#REF!</v>
      </c>
      <c r="X87" s="26" t="e">
        <f t="shared" si="52"/>
        <v>#REF!</v>
      </c>
      <c r="Y87" s="12" t="e">
        <f t="shared" si="53"/>
        <v>#REF!</v>
      </c>
    </row>
    <row r="88" spans="1:25" ht="16.5" customHeight="1">
      <c r="A88" s="16" t="s">
        <v>219</v>
      </c>
      <c r="B88" s="17" t="s">
        <v>220</v>
      </c>
      <c r="C88" s="26" t="e">
        <f t="shared" si="36"/>
        <v>#REF!</v>
      </c>
      <c r="D88" s="26" t="e">
        <f t="shared" si="37"/>
        <v>#REF!</v>
      </c>
      <c r="E88" s="12" t="e">
        <f t="shared" si="38"/>
        <v>#REF!</v>
      </c>
      <c r="F88" s="26"/>
      <c r="G88" s="26" t="e">
        <f t="shared" si="39"/>
        <v>#REF!</v>
      </c>
      <c r="H88" s="26" t="e">
        <f t="shared" si="40"/>
        <v>#REF!</v>
      </c>
      <c r="I88" s="12" t="e">
        <f t="shared" si="41"/>
        <v>#REF!</v>
      </c>
      <c r="J88" s="26"/>
      <c r="K88" s="26" t="e">
        <f t="shared" si="42"/>
        <v>#REF!</v>
      </c>
      <c r="L88" s="26" t="e">
        <f t="shared" si="43"/>
        <v>#REF!</v>
      </c>
      <c r="M88" s="12" t="e">
        <f t="shared" si="44"/>
        <v>#REF!</v>
      </c>
      <c r="N88" s="12"/>
      <c r="O88" s="26" t="e">
        <f t="shared" si="45"/>
        <v>#REF!</v>
      </c>
      <c r="P88" s="26" t="e">
        <f t="shared" si="46"/>
        <v>#REF!</v>
      </c>
      <c r="Q88" s="12" t="e">
        <f t="shared" si="47"/>
        <v>#REF!</v>
      </c>
      <c r="R88" s="12"/>
      <c r="S88" s="26" t="e">
        <f t="shared" si="48"/>
        <v>#REF!</v>
      </c>
      <c r="T88" s="26" t="e">
        <f t="shared" si="49"/>
        <v>#REF!</v>
      </c>
      <c r="U88" s="12" t="e">
        <f t="shared" si="50"/>
        <v>#REF!</v>
      </c>
      <c r="V88" s="12"/>
      <c r="W88" s="44" t="e">
        <f t="shared" si="51"/>
        <v>#REF!</v>
      </c>
      <c r="X88" s="26" t="e">
        <f t="shared" si="52"/>
        <v>#REF!</v>
      </c>
      <c r="Y88" s="12" t="e">
        <f t="shared" si="53"/>
        <v>#REF!</v>
      </c>
    </row>
    <row r="89" spans="1:25" ht="16.5" customHeight="1">
      <c r="A89" s="16" t="s">
        <v>221</v>
      </c>
      <c r="B89" s="17" t="s">
        <v>222</v>
      </c>
      <c r="C89" s="26" t="e">
        <f t="shared" si="36"/>
        <v>#REF!</v>
      </c>
      <c r="D89" s="26" t="e">
        <f t="shared" si="37"/>
        <v>#REF!</v>
      </c>
      <c r="E89" s="12" t="e">
        <f t="shared" si="38"/>
        <v>#REF!</v>
      </c>
      <c r="F89" s="26"/>
      <c r="G89" s="26" t="e">
        <f t="shared" si="39"/>
        <v>#REF!</v>
      </c>
      <c r="H89" s="26" t="e">
        <f t="shared" si="40"/>
        <v>#REF!</v>
      </c>
      <c r="I89" s="12" t="e">
        <f t="shared" si="41"/>
        <v>#REF!</v>
      </c>
      <c r="J89" s="26"/>
      <c r="K89" s="26" t="e">
        <f t="shared" si="42"/>
        <v>#REF!</v>
      </c>
      <c r="L89" s="26" t="e">
        <f t="shared" si="43"/>
        <v>#REF!</v>
      </c>
      <c r="M89" s="12" t="e">
        <f t="shared" si="44"/>
        <v>#REF!</v>
      </c>
      <c r="N89" s="12"/>
      <c r="O89" s="26" t="e">
        <f t="shared" si="45"/>
        <v>#REF!</v>
      </c>
      <c r="P89" s="26" t="e">
        <f t="shared" si="46"/>
        <v>#REF!</v>
      </c>
      <c r="Q89" s="12" t="e">
        <f t="shared" si="47"/>
        <v>#REF!</v>
      </c>
      <c r="R89" s="12"/>
      <c r="S89" s="26" t="e">
        <f t="shared" si="48"/>
        <v>#REF!</v>
      </c>
      <c r="T89" s="26" t="e">
        <f t="shared" si="49"/>
        <v>#REF!</v>
      </c>
      <c r="U89" s="12" t="e">
        <f t="shared" si="50"/>
        <v>#REF!</v>
      </c>
      <c r="V89" s="12"/>
      <c r="W89" s="44" t="e">
        <f t="shared" si="51"/>
        <v>#REF!</v>
      </c>
      <c r="X89" s="26" t="e">
        <f t="shared" si="52"/>
        <v>#REF!</v>
      </c>
      <c r="Y89" s="12" t="e">
        <f t="shared" si="53"/>
        <v>#REF!</v>
      </c>
    </row>
    <row r="90" spans="1:25" ht="16.5" customHeight="1">
      <c r="A90" s="16" t="s">
        <v>225</v>
      </c>
      <c r="B90" s="17" t="s">
        <v>226</v>
      </c>
      <c r="C90" s="26" t="e">
        <f t="shared" si="36"/>
        <v>#REF!</v>
      </c>
      <c r="D90" s="26" t="e">
        <f t="shared" si="37"/>
        <v>#REF!</v>
      </c>
      <c r="E90" s="12" t="e">
        <f t="shared" si="38"/>
        <v>#REF!</v>
      </c>
      <c r="F90" s="26"/>
      <c r="G90" s="26" t="e">
        <f t="shared" si="39"/>
        <v>#REF!</v>
      </c>
      <c r="H90" s="26" t="e">
        <f t="shared" si="40"/>
        <v>#REF!</v>
      </c>
      <c r="I90" s="12" t="e">
        <f t="shared" si="41"/>
        <v>#REF!</v>
      </c>
      <c r="J90" s="26"/>
      <c r="K90" s="26" t="e">
        <f t="shared" si="42"/>
        <v>#REF!</v>
      </c>
      <c r="L90" s="26" t="e">
        <f t="shared" si="43"/>
        <v>#REF!</v>
      </c>
      <c r="M90" s="12" t="e">
        <f t="shared" si="44"/>
        <v>#REF!</v>
      </c>
      <c r="N90" s="12"/>
      <c r="O90" s="26" t="e">
        <f t="shared" si="45"/>
        <v>#REF!</v>
      </c>
      <c r="P90" s="26" t="e">
        <f t="shared" si="46"/>
        <v>#REF!</v>
      </c>
      <c r="Q90" s="12" t="e">
        <f t="shared" si="47"/>
        <v>#REF!</v>
      </c>
      <c r="R90" s="12"/>
      <c r="S90" s="26" t="e">
        <f t="shared" si="48"/>
        <v>#REF!</v>
      </c>
      <c r="T90" s="26" t="e">
        <f t="shared" si="49"/>
        <v>#REF!</v>
      </c>
      <c r="U90" s="12" t="e">
        <f t="shared" si="50"/>
        <v>#REF!</v>
      </c>
      <c r="V90" s="12"/>
      <c r="W90" s="44" t="e">
        <f t="shared" si="51"/>
        <v>#REF!</v>
      </c>
      <c r="X90" s="26" t="e">
        <f t="shared" si="52"/>
        <v>#REF!</v>
      </c>
      <c r="Y90" s="12" t="e">
        <f t="shared" si="53"/>
        <v>#REF!</v>
      </c>
    </row>
    <row r="91" spans="1:25" ht="16.5" customHeight="1">
      <c r="A91" s="16" t="s">
        <v>227</v>
      </c>
      <c r="B91" s="32" t="s">
        <v>228</v>
      </c>
      <c r="C91" s="26" t="e">
        <f t="shared" si="36"/>
        <v>#REF!</v>
      </c>
      <c r="D91" s="26" t="e">
        <f t="shared" si="37"/>
        <v>#REF!</v>
      </c>
      <c r="E91" s="12" t="e">
        <f t="shared" si="38"/>
        <v>#REF!</v>
      </c>
      <c r="F91" s="26"/>
      <c r="G91" s="26" t="e">
        <f t="shared" si="39"/>
        <v>#REF!</v>
      </c>
      <c r="H91" s="26" t="e">
        <f t="shared" si="40"/>
        <v>#REF!</v>
      </c>
      <c r="I91" s="12" t="e">
        <f t="shared" si="41"/>
        <v>#REF!</v>
      </c>
      <c r="J91" s="26"/>
      <c r="K91" s="26" t="e">
        <f t="shared" si="42"/>
        <v>#REF!</v>
      </c>
      <c r="L91" s="26" t="e">
        <f t="shared" si="43"/>
        <v>#REF!</v>
      </c>
      <c r="M91" s="12" t="e">
        <f t="shared" si="44"/>
        <v>#REF!</v>
      </c>
      <c r="N91" s="12"/>
      <c r="O91" s="26" t="e">
        <f t="shared" si="45"/>
        <v>#REF!</v>
      </c>
      <c r="P91" s="26" t="e">
        <f t="shared" si="46"/>
        <v>#REF!</v>
      </c>
      <c r="Q91" s="12" t="e">
        <f t="shared" si="47"/>
        <v>#REF!</v>
      </c>
      <c r="R91" s="12"/>
      <c r="S91" s="26" t="e">
        <f t="shared" si="48"/>
        <v>#REF!</v>
      </c>
      <c r="T91" s="26" t="e">
        <f t="shared" si="49"/>
        <v>#REF!</v>
      </c>
      <c r="U91" s="12" t="e">
        <f t="shared" si="50"/>
        <v>#REF!</v>
      </c>
      <c r="V91" s="12"/>
      <c r="W91" s="44" t="e">
        <f t="shared" si="51"/>
        <v>#REF!</v>
      </c>
      <c r="X91" s="26" t="e">
        <f t="shared" si="52"/>
        <v>#REF!</v>
      </c>
      <c r="Y91" s="12" t="e">
        <f t="shared" si="53"/>
        <v>#REF!</v>
      </c>
    </row>
    <row r="92" spans="1:25" ht="16.5" customHeight="1">
      <c r="A92" s="16" t="s">
        <v>229</v>
      </c>
      <c r="B92" s="32" t="s">
        <v>230</v>
      </c>
      <c r="C92" s="26" t="e">
        <f t="shared" si="36"/>
        <v>#REF!</v>
      </c>
      <c r="D92" s="26" t="e">
        <f t="shared" si="37"/>
        <v>#REF!</v>
      </c>
      <c r="E92" s="12" t="e">
        <f t="shared" si="38"/>
        <v>#REF!</v>
      </c>
      <c r="F92" s="26"/>
      <c r="G92" s="26" t="e">
        <f t="shared" si="39"/>
        <v>#REF!</v>
      </c>
      <c r="H92" s="26" t="e">
        <f t="shared" si="40"/>
        <v>#REF!</v>
      </c>
      <c r="I92" s="12" t="e">
        <f t="shared" si="41"/>
        <v>#REF!</v>
      </c>
      <c r="J92" s="26"/>
      <c r="K92" s="26" t="e">
        <f t="shared" si="42"/>
        <v>#REF!</v>
      </c>
      <c r="L92" s="26" t="e">
        <f t="shared" si="43"/>
        <v>#REF!</v>
      </c>
      <c r="M92" s="12" t="e">
        <f t="shared" si="44"/>
        <v>#REF!</v>
      </c>
      <c r="N92" s="12"/>
      <c r="O92" s="26" t="e">
        <f t="shared" si="45"/>
        <v>#REF!</v>
      </c>
      <c r="P92" s="26" t="e">
        <f t="shared" si="46"/>
        <v>#REF!</v>
      </c>
      <c r="Q92" s="12" t="e">
        <f t="shared" si="47"/>
        <v>#REF!</v>
      </c>
      <c r="R92" s="12"/>
      <c r="S92" s="26" t="e">
        <f t="shared" si="48"/>
        <v>#REF!</v>
      </c>
      <c r="T92" s="26" t="e">
        <f t="shared" si="49"/>
        <v>#REF!</v>
      </c>
      <c r="U92" s="12" t="e">
        <f t="shared" si="50"/>
        <v>#REF!</v>
      </c>
      <c r="V92" s="12"/>
      <c r="W92" s="44" t="e">
        <f t="shared" si="51"/>
        <v>#REF!</v>
      </c>
      <c r="X92" s="26" t="e">
        <f t="shared" si="52"/>
        <v>#REF!</v>
      </c>
      <c r="Y92" s="12" t="e">
        <f t="shared" si="53"/>
        <v>#REF!</v>
      </c>
    </row>
    <row r="93" spans="1:25" ht="16.5" customHeight="1">
      <c r="A93" s="16" t="s">
        <v>233</v>
      </c>
      <c r="B93" s="32" t="s">
        <v>234</v>
      </c>
      <c r="C93" s="26" t="e">
        <f t="shared" si="36"/>
        <v>#REF!</v>
      </c>
      <c r="D93" s="26" t="e">
        <f t="shared" si="37"/>
        <v>#REF!</v>
      </c>
      <c r="E93" s="12" t="e">
        <f t="shared" si="38"/>
        <v>#REF!</v>
      </c>
      <c r="F93" s="26"/>
      <c r="G93" s="26" t="e">
        <f t="shared" si="39"/>
        <v>#REF!</v>
      </c>
      <c r="H93" s="26" t="e">
        <f t="shared" si="40"/>
        <v>#REF!</v>
      </c>
      <c r="I93" s="12" t="e">
        <f t="shared" si="41"/>
        <v>#REF!</v>
      </c>
      <c r="J93" s="26"/>
      <c r="K93" s="26" t="e">
        <f t="shared" si="42"/>
        <v>#REF!</v>
      </c>
      <c r="L93" s="26" t="e">
        <f t="shared" si="43"/>
        <v>#REF!</v>
      </c>
      <c r="M93" s="12" t="e">
        <f t="shared" si="44"/>
        <v>#REF!</v>
      </c>
      <c r="N93" s="12"/>
      <c r="O93" s="26" t="e">
        <f t="shared" si="45"/>
        <v>#REF!</v>
      </c>
      <c r="P93" s="26" t="e">
        <f t="shared" si="46"/>
        <v>#REF!</v>
      </c>
      <c r="Q93" s="12" t="e">
        <f t="shared" si="47"/>
        <v>#REF!</v>
      </c>
      <c r="R93" s="12"/>
      <c r="S93" s="26" t="e">
        <f t="shared" si="48"/>
        <v>#REF!</v>
      </c>
      <c r="T93" s="26" t="e">
        <f t="shared" si="49"/>
        <v>#REF!</v>
      </c>
      <c r="U93" s="12" t="e">
        <f t="shared" si="50"/>
        <v>#REF!</v>
      </c>
      <c r="V93" s="12"/>
      <c r="W93" s="44" t="e">
        <f t="shared" si="51"/>
        <v>#REF!</v>
      </c>
      <c r="X93" s="26" t="e">
        <f t="shared" si="52"/>
        <v>#REF!</v>
      </c>
      <c r="Y93" s="12" t="e">
        <f t="shared" si="53"/>
        <v>#REF!</v>
      </c>
    </row>
    <row r="94" spans="1:25" ht="16.5" customHeight="1">
      <c r="A94" s="16" t="s">
        <v>235</v>
      </c>
      <c r="B94" s="32" t="s">
        <v>236</v>
      </c>
      <c r="C94" s="26" t="e">
        <f t="shared" si="36"/>
        <v>#REF!</v>
      </c>
      <c r="D94" s="26" t="e">
        <f t="shared" si="37"/>
        <v>#REF!</v>
      </c>
      <c r="E94" s="12" t="e">
        <f t="shared" si="38"/>
        <v>#REF!</v>
      </c>
      <c r="F94" s="26"/>
      <c r="G94" s="26" t="e">
        <f t="shared" si="39"/>
        <v>#REF!</v>
      </c>
      <c r="H94" s="26" t="e">
        <f t="shared" si="40"/>
        <v>#REF!</v>
      </c>
      <c r="I94" s="12" t="e">
        <f t="shared" si="41"/>
        <v>#REF!</v>
      </c>
      <c r="J94" s="26"/>
      <c r="K94" s="26" t="e">
        <f t="shared" si="42"/>
        <v>#REF!</v>
      </c>
      <c r="L94" s="26" t="e">
        <f t="shared" si="43"/>
        <v>#REF!</v>
      </c>
      <c r="M94" s="12" t="e">
        <f t="shared" si="44"/>
        <v>#REF!</v>
      </c>
      <c r="N94" s="12"/>
      <c r="O94" s="26" t="e">
        <f t="shared" si="45"/>
        <v>#REF!</v>
      </c>
      <c r="P94" s="26" t="e">
        <f t="shared" si="46"/>
        <v>#REF!</v>
      </c>
      <c r="Q94" s="12" t="e">
        <f t="shared" si="47"/>
        <v>#REF!</v>
      </c>
      <c r="R94" s="12"/>
      <c r="S94" s="26" t="e">
        <f t="shared" si="48"/>
        <v>#REF!</v>
      </c>
      <c r="T94" s="26" t="e">
        <f t="shared" si="49"/>
        <v>#REF!</v>
      </c>
      <c r="U94" s="12" t="e">
        <f t="shared" si="50"/>
        <v>#REF!</v>
      </c>
      <c r="V94" s="12"/>
      <c r="W94" s="44" t="e">
        <f t="shared" si="51"/>
        <v>#REF!</v>
      </c>
      <c r="X94" s="26" t="e">
        <f t="shared" si="52"/>
        <v>#REF!</v>
      </c>
      <c r="Y94" s="12" t="e">
        <f t="shared" si="53"/>
        <v>#REF!</v>
      </c>
    </row>
    <row r="95" spans="1:25" ht="16.5" customHeight="1">
      <c r="A95" s="16" t="s">
        <v>237</v>
      </c>
      <c r="B95" s="32" t="s">
        <v>238</v>
      </c>
      <c r="C95" s="26" t="e">
        <f t="shared" si="36"/>
        <v>#REF!</v>
      </c>
      <c r="D95" s="26" t="e">
        <f t="shared" si="37"/>
        <v>#REF!</v>
      </c>
      <c r="E95" s="12" t="e">
        <f t="shared" si="38"/>
        <v>#REF!</v>
      </c>
      <c r="F95" s="26"/>
      <c r="G95" s="26" t="e">
        <f t="shared" si="39"/>
        <v>#REF!</v>
      </c>
      <c r="H95" s="26" t="e">
        <f t="shared" si="40"/>
        <v>#REF!</v>
      </c>
      <c r="I95" s="12" t="e">
        <f t="shared" si="41"/>
        <v>#REF!</v>
      </c>
      <c r="J95" s="26"/>
      <c r="K95" s="26" t="e">
        <f t="shared" si="42"/>
        <v>#REF!</v>
      </c>
      <c r="L95" s="26" t="e">
        <f t="shared" si="43"/>
        <v>#REF!</v>
      </c>
      <c r="M95" s="12" t="e">
        <f t="shared" si="44"/>
        <v>#REF!</v>
      </c>
      <c r="N95" s="12"/>
      <c r="O95" s="26" t="e">
        <f t="shared" si="45"/>
        <v>#REF!</v>
      </c>
      <c r="P95" s="26" t="e">
        <f t="shared" si="46"/>
        <v>#REF!</v>
      </c>
      <c r="Q95" s="12" t="e">
        <f t="shared" si="47"/>
        <v>#REF!</v>
      </c>
      <c r="R95" s="12"/>
      <c r="S95" s="26" t="e">
        <f t="shared" si="48"/>
        <v>#REF!</v>
      </c>
      <c r="T95" s="26" t="e">
        <f t="shared" si="49"/>
        <v>#REF!</v>
      </c>
      <c r="U95" s="12" t="e">
        <f t="shared" si="50"/>
        <v>#REF!</v>
      </c>
      <c r="V95" s="12"/>
      <c r="W95" s="44" t="e">
        <f t="shared" si="51"/>
        <v>#REF!</v>
      </c>
      <c r="X95" s="26" t="e">
        <f t="shared" si="52"/>
        <v>#REF!</v>
      </c>
      <c r="Y95" s="12" t="e">
        <f t="shared" si="53"/>
        <v>#REF!</v>
      </c>
    </row>
    <row r="96" spans="1:25" ht="16.5" customHeight="1">
      <c r="A96" s="16" t="s">
        <v>243</v>
      </c>
      <c r="B96" s="32" t="s">
        <v>244</v>
      </c>
      <c r="C96" s="26" t="e">
        <f t="shared" si="36"/>
        <v>#REF!</v>
      </c>
      <c r="D96" s="26" t="e">
        <f t="shared" si="37"/>
        <v>#REF!</v>
      </c>
      <c r="E96" s="12" t="e">
        <f t="shared" si="38"/>
        <v>#REF!</v>
      </c>
      <c r="F96" s="26"/>
      <c r="G96" s="26" t="e">
        <f t="shared" si="39"/>
        <v>#REF!</v>
      </c>
      <c r="H96" s="26" t="e">
        <f t="shared" si="40"/>
        <v>#REF!</v>
      </c>
      <c r="I96" s="12" t="e">
        <f t="shared" si="41"/>
        <v>#REF!</v>
      </c>
      <c r="J96" s="26"/>
      <c r="K96" s="26" t="e">
        <f t="shared" si="42"/>
        <v>#REF!</v>
      </c>
      <c r="L96" s="26" t="e">
        <f t="shared" si="43"/>
        <v>#REF!</v>
      </c>
      <c r="M96" s="12" t="e">
        <f t="shared" si="44"/>
        <v>#REF!</v>
      </c>
      <c r="N96" s="12"/>
      <c r="O96" s="26" t="e">
        <f t="shared" si="45"/>
        <v>#REF!</v>
      </c>
      <c r="P96" s="26" t="e">
        <f t="shared" si="46"/>
        <v>#REF!</v>
      </c>
      <c r="Q96" s="12" t="e">
        <f t="shared" si="47"/>
        <v>#REF!</v>
      </c>
      <c r="R96" s="12"/>
      <c r="S96" s="26" t="e">
        <f t="shared" si="48"/>
        <v>#REF!</v>
      </c>
      <c r="T96" s="26" t="e">
        <f t="shared" si="49"/>
        <v>#REF!</v>
      </c>
      <c r="U96" s="12" t="e">
        <f t="shared" si="50"/>
        <v>#REF!</v>
      </c>
      <c r="V96" s="12"/>
      <c r="W96" s="44" t="e">
        <f t="shared" si="51"/>
        <v>#REF!</v>
      </c>
      <c r="X96" s="26" t="e">
        <f t="shared" si="52"/>
        <v>#REF!</v>
      </c>
      <c r="Y96" s="12" t="e">
        <f t="shared" si="53"/>
        <v>#REF!</v>
      </c>
    </row>
    <row r="97" spans="1:25" ht="16.5" customHeight="1">
      <c r="A97" s="16" t="s">
        <v>245</v>
      </c>
      <c r="B97" s="32" t="s">
        <v>246</v>
      </c>
      <c r="C97" s="26" t="e">
        <f t="shared" si="36"/>
        <v>#REF!</v>
      </c>
      <c r="D97" s="26" t="e">
        <f t="shared" si="37"/>
        <v>#REF!</v>
      </c>
      <c r="E97" s="12" t="e">
        <f t="shared" si="38"/>
        <v>#REF!</v>
      </c>
      <c r="F97" s="26"/>
      <c r="G97" s="26" t="e">
        <f t="shared" si="39"/>
        <v>#REF!</v>
      </c>
      <c r="H97" s="26" t="e">
        <f t="shared" si="40"/>
        <v>#REF!</v>
      </c>
      <c r="I97" s="12" t="e">
        <f t="shared" si="41"/>
        <v>#REF!</v>
      </c>
      <c r="J97" s="26"/>
      <c r="K97" s="26" t="e">
        <f t="shared" si="42"/>
        <v>#REF!</v>
      </c>
      <c r="L97" s="26" t="e">
        <f t="shared" si="43"/>
        <v>#REF!</v>
      </c>
      <c r="M97" s="12" t="e">
        <f t="shared" si="44"/>
        <v>#REF!</v>
      </c>
      <c r="N97" s="12"/>
      <c r="O97" s="26" t="e">
        <f t="shared" si="45"/>
        <v>#REF!</v>
      </c>
      <c r="P97" s="26" t="e">
        <f t="shared" si="46"/>
        <v>#REF!</v>
      </c>
      <c r="Q97" s="12" t="e">
        <f t="shared" si="47"/>
        <v>#REF!</v>
      </c>
      <c r="R97" s="12"/>
      <c r="S97" s="26" t="e">
        <f t="shared" si="48"/>
        <v>#REF!</v>
      </c>
      <c r="T97" s="26" t="e">
        <f t="shared" si="49"/>
        <v>#REF!</v>
      </c>
      <c r="U97" s="12" t="e">
        <f t="shared" si="50"/>
        <v>#REF!</v>
      </c>
      <c r="V97" s="12"/>
      <c r="W97" s="44" t="e">
        <f t="shared" si="51"/>
        <v>#REF!</v>
      </c>
      <c r="X97" s="26" t="e">
        <f t="shared" si="52"/>
        <v>#REF!</v>
      </c>
      <c r="Y97" s="12" t="e">
        <f t="shared" si="53"/>
        <v>#REF!</v>
      </c>
    </row>
    <row r="98" spans="1:25" ht="16.5" customHeight="1">
      <c r="A98" s="16" t="s">
        <v>247</v>
      </c>
      <c r="B98" s="17" t="s">
        <v>332</v>
      </c>
      <c r="C98" s="26" t="e">
        <f t="shared" si="36"/>
        <v>#REF!</v>
      </c>
      <c r="D98" s="26" t="e">
        <f t="shared" si="37"/>
        <v>#REF!</v>
      </c>
      <c r="E98" s="12" t="e">
        <f t="shared" si="38"/>
        <v>#REF!</v>
      </c>
      <c r="F98" s="26"/>
      <c r="G98" s="26" t="e">
        <f t="shared" si="39"/>
        <v>#REF!</v>
      </c>
      <c r="H98" s="26" t="e">
        <f t="shared" si="40"/>
        <v>#REF!</v>
      </c>
      <c r="I98" s="12" t="e">
        <f t="shared" si="41"/>
        <v>#REF!</v>
      </c>
      <c r="J98" s="26"/>
      <c r="K98" s="26" t="e">
        <f t="shared" si="42"/>
        <v>#REF!</v>
      </c>
      <c r="L98" s="26" t="e">
        <f t="shared" si="43"/>
        <v>#REF!</v>
      </c>
      <c r="M98" s="12" t="e">
        <f t="shared" si="44"/>
        <v>#REF!</v>
      </c>
      <c r="N98" s="12"/>
      <c r="O98" s="26" t="e">
        <f t="shared" si="45"/>
        <v>#REF!</v>
      </c>
      <c r="P98" s="26" t="e">
        <f t="shared" si="46"/>
        <v>#REF!</v>
      </c>
      <c r="Q98" s="12" t="e">
        <f t="shared" si="47"/>
        <v>#REF!</v>
      </c>
      <c r="R98" s="12"/>
      <c r="S98" s="26" t="e">
        <f t="shared" si="48"/>
        <v>#REF!</v>
      </c>
      <c r="T98" s="26" t="e">
        <f t="shared" si="49"/>
        <v>#REF!</v>
      </c>
      <c r="U98" s="12" t="e">
        <f t="shared" si="50"/>
        <v>#REF!</v>
      </c>
      <c r="V98" s="12"/>
      <c r="W98" s="44" t="e">
        <f t="shared" si="51"/>
        <v>#REF!</v>
      </c>
      <c r="X98" s="26" t="e">
        <f t="shared" si="52"/>
        <v>#REF!</v>
      </c>
      <c r="Y98" s="12" t="e">
        <f t="shared" si="53"/>
        <v>#REF!</v>
      </c>
    </row>
    <row r="99" spans="1:25" ht="16.5" customHeight="1">
      <c r="A99" s="16" t="s">
        <v>14</v>
      </c>
      <c r="B99" s="17" t="s">
        <v>15</v>
      </c>
      <c r="C99" s="26" t="e">
        <f t="shared" si="36"/>
        <v>#REF!</v>
      </c>
      <c r="D99" s="26" t="e">
        <f t="shared" si="37"/>
        <v>#REF!</v>
      </c>
      <c r="E99" s="12" t="e">
        <f t="shared" si="38"/>
        <v>#REF!</v>
      </c>
      <c r="F99" s="26"/>
      <c r="G99" s="26" t="e">
        <f t="shared" si="39"/>
        <v>#REF!</v>
      </c>
      <c r="H99" s="26" t="e">
        <f t="shared" si="40"/>
        <v>#REF!</v>
      </c>
      <c r="I99" s="12" t="e">
        <f t="shared" si="41"/>
        <v>#REF!</v>
      </c>
      <c r="J99" s="26"/>
      <c r="K99" s="26" t="e">
        <f t="shared" si="42"/>
        <v>#REF!</v>
      </c>
      <c r="L99" s="26" t="e">
        <f t="shared" si="43"/>
        <v>#REF!</v>
      </c>
      <c r="M99" s="12" t="e">
        <f t="shared" si="44"/>
        <v>#REF!</v>
      </c>
      <c r="N99" s="12"/>
      <c r="O99" s="26" t="e">
        <f t="shared" si="45"/>
        <v>#REF!</v>
      </c>
      <c r="P99" s="26" t="e">
        <f t="shared" si="46"/>
        <v>#REF!</v>
      </c>
      <c r="Q99" s="12" t="e">
        <f t="shared" si="47"/>
        <v>#REF!</v>
      </c>
      <c r="R99" s="12"/>
      <c r="S99" s="26" t="e">
        <f t="shared" si="48"/>
        <v>#REF!</v>
      </c>
      <c r="T99" s="26" t="e">
        <f t="shared" si="49"/>
        <v>#REF!</v>
      </c>
      <c r="U99" s="12" t="e">
        <f t="shared" si="50"/>
        <v>#REF!</v>
      </c>
      <c r="V99" s="12"/>
      <c r="W99" s="44" t="e">
        <f t="shared" si="51"/>
        <v>#REF!</v>
      </c>
      <c r="X99" s="26" t="e">
        <f t="shared" si="52"/>
        <v>#REF!</v>
      </c>
      <c r="Y99" s="12" t="e">
        <f t="shared" si="53"/>
        <v>#REF!</v>
      </c>
    </row>
    <row r="100" spans="1:25" ht="16.5" customHeight="1">
      <c r="A100" s="16" t="s">
        <v>35</v>
      </c>
      <c r="B100" s="32" t="s">
        <v>36</v>
      </c>
      <c r="C100" s="26" t="e">
        <f t="shared" ref="C100:C123" si="54">VLOOKUP(A100,MedicaidR,7,FALSE)</f>
        <v>#REF!</v>
      </c>
      <c r="D100" s="26" t="e">
        <f t="shared" ref="D100:D123" si="55">VLOOKUP(A100,Pop,14,FALSE)</f>
        <v>#REF!</v>
      </c>
      <c r="E100" s="12" t="e">
        <f t="shared" ref="E100:E123" si="56">+C100/D100</f>
        <v>#REF!</v>
      </c>
      <c r="F100" s="26"/>
      <c r="G100" s="26" t="e">
        <f t="shared" ref="G100:G123" si="57">VLOOKUP(A100,MedicaidR,8,FALSE)</f>
        <v>#REF!</v>
      </c>
      <c r="H100" s="26" t="e">
        <f t="shared" ref="H100:H123" si="58">VLOOKUP(A100,Pop,15,FALSE)</f>
        <v>#REF!</v>
      </c>
      <c r="I100" s="12" t="e">
        <f t="shared" ref="I100:I123" si="59">+G100/H100</f>
        <v>#REF!</v>
      </c>
      <c r="J100" s="26"/>
      <c r="K100" s="26" t="e">
        <f t="shared" ref="K100:K123" si="60">VLOOKUP(A100,MedicaidR,9,FALSE)</f>
        <v>#REF!</v>
      </c>
      <c r="L100" s="26" t="e">
        <f t="shared" ref="L100:L123" si="61">VLOOKUP(A100,Pop,16,FALSE)</f>
        <v>#REF!</v>
      </c>
      <c r="M100" s="12" t="e">
        <f t="shared" ref="M100:M123" si="62">+K100/L100</f>
        <v>#REF!</v>
      </c>
      <c r="N100" s="12"/>
      <c r="O100" s="26" t="e">
        <f t="shared" ref="O100:O123" si="63">VLOOKUP(A100,MedicaidR,3,FALSE)</f>
        <v>#REF!</v>
      </c>
      <c r="P100" s="26" t="e">
        <f t="shared" ref="P100:P123" si="64">VLOOKUP(A100,Pop,8,FALSE)</f>
        <v>#REF!</v>
      </c>
      <c r="Q100" s="12" t="e">
        <f t="shared" ref="Q100:Q123" si="65">+O100/P100</f>
        <v>#REF!</v>
      </c>
      <c r="R100" s="12"/>
      <c r="S100" s="26" t="e">
        <f t="shared" ref="S100:S123" si="66">VLOOKUP(A100,MedicaidR,4,FALSE)</f>
        <v>#REF!</v>
      </c>
      <c r="T100" s="26" t="e">
        <f t="shared" ref="T100:T123" si="67">VLOOKUP(A100,Pop,9,FALSE)</f>
        <v>#REF!</v>
      </c>
      <c r="U100" s="12" t="e">
        <f t="shared" ref="U100:U123" si="68">+S100/T100</f>
        <v>#REF!</v>
      </c>
      <c r="V100" s="12"/>
      <c r="W100" s="44" t="e">
        <f t="shared" ref="W100:W123" si="69">VLOOKUP(A100,MedicaidR,5,FALSE)</f>
        <v>#REF!</v>
      </c>
      <c r="X100" s="26" t="e">
        <f t="shared" ref="X100:X123" si="70">VLOOKUP(A100,Pop,10,FALSE)</f>
        <v>#REF!</v>
      </c>
      <c r="Y100" s="12" t="e">
        <f t="shared" ref="Y100:Y123" si="71">+W100/X100</f>
        <v>#REF!</v>
      </c>
    </row>
    <row r="101" spans="1:25" ht="16.5" customHeight="1">
      <c r="A101" s="16" t="s">
        <v>53</v>
      </c>
      <c r="B101" s="32" t="s">
        <v>54</v>
      </c>
      <c r="C101" s="26" t="e">
        <f t="shared" si="54"/>
        <v>#REF!</v>
      </c>
      <c r="D101" s="26" t="e">
        <f t="shared" si="55"/>
        <v>#REF!</v>
      </c>
      <c r="E101" s="12" t="e">
        <f t="shared" si="56"/>
        <v>#REF!</v>
      </c>
      <c r="F101" s="26"/>
      <c r="G101" s="26" t="e">
        <f t="shared" si="57"/>
        <v>#REF!</v>
      </c>
      <c r="H101" s="26" t="e">
        <f t="shared" si="58"/>
        <v>#REF!</v>
      </c>
      <c r="I101" s="12" t="e">
        <f t="shared" si="59"/>
        <v>#REF!</v>
      </c>
      <c r="J101" s="26"/>
      <c r="K101" s="26" t="e">
        <f t="shared" si="60"/>
        <v>#REF!</v>
      </c>
      <c r="L101" s="26" t="e">
        <f t="shared" si="61"/>
        <v>#REF!</v>
      </c>
      <c r="M101" s="12" t="e">
        <f t="shared" si="62"/>
        <v>#REF!</v>
      </c>
      <c r="N101" s="12"/>
      <c r="O101" s="26" t="e">
        <f t="shared" si="63"/>
        <v>#REF!</v>
      </c>
      <c r="P101" s="26" t="e">
        <f t="shared" si="64"/>
        <v>#REF!</v>
      </c>
      <c r="Q101" s="12" t="e">
        <f t="shared" si="65"/>
        <v>#REF!</v>
      </c>
      <c r="R101" s="12"/>
      <c r="S101" s="26" t="e">
        <f t="shared" si="66"/>
        <v>#REF!</v>
      </c>
      <c r="T101" s="26" t="e">
        <f t="shared" si="67"/>
        <v>#REF!</v>
      </c>
      <c r="U101" s="12" t="e">
        <f t="shared" si="68"/>
        <v>#REF!</v>
      </c>
      <c r="V101" s="12"/>
      <c r="W101" s="44" t="e">
        <f t="shared" si="69"/>
        <v>#REF!</v>
      </c>
      <c r="X101" s="26" t="e">
        <f t="shared" si="70"/>
        <v>#REF!</v>
      </c>
      <c r="Y101" s="12" t="e">
        <f t="shared" si="71"/>
        <v>#REF!</v>
      </c>
    </row>
    <row r="102" spans="1:25" ht="16.5" customHeight="1">
      <c r="A102" s="16" t="s">
        <v>55</v>
      </c>
      <c r="B102" s="17" t="s">
        <v>56</v>
      </c>
      <c r="C102" s="26" t="e">
        <f t="shared" si="54"/>
        <v>#REF!</v>
      </c>
      <c r="D102" s="26" t="e">
        <f t="shared" si="55"/>
        <v>#REF!</v>
      </c>
      <c r="E102" s="12" t="e">
        <f t="shared" si="56"/>
        <v>#REF!</v>
      </c>
      <c r="F102" s="26"/>
      <c r="G102" s="26" t="e">
        <f t="shared" si="57"/>
        <v>#REF!</v>
      </c>
      <c r="H102" s="26" t="e">
        <f t="shared" si="58"/>
        <v>#REF!</v>
      </c>
      <c r="I102" s="12" t="e">
        <f t="shared" si="59"/>
        <v>#REF!</v>
      </c>
      <c r="J102" s="26"/>
      <c r="K102" s="26" t="e">
        <f t="shared" si="60"/>
        <v>#REF!</v>
      </c>
      <c r="L102" s="26" t="e">
        <f t="shared" si="61"/>
        <v>#REF!</v>
      </c>
      <c r="M102" s="12" t="e">
        <f t="shared" si="62"/>
        <v>#REF!</v>
      </c>
      <c r="N102" s="12"/>
      <c r="O102" s="26" t="e">
        <f t="shared" si="63"/>
        <v>#REF!</v>
      </c>
      <c r="P102" s="26" t="e">
        <f t="shared" si="64"/>
        <v>#REF!</v>
      </c>
      <c r="Q102" s="12" t="e">
        <f t="shared" si="65"/>
        <v>#REF!</v>
      </c>
      <c r="R102" s="12"/>
      <c r="S102" s="26" t="e">
        <f t="shared" si="66"/>
        <v>#REF!</v>
      </c>
      <c r="T102" s="26" t="e">
        <f t="shared" si="67"/>
        <v>#REF!</v>
      </c>
      <c r="U102" s="12" t="e">
        <f t="shared" si="68"/>
        <v>#REF!</v>
      </c>
      <c r="V102" s="12"/>
      <c r="W102" s="44" t="e">
        <f t="shared" si="69"/>
        <v>#REF!</v>
      </c>
      <c r="X102" s="26" t="e">
        <f t="shared" si="70"/>
        <v>#REF!</v>
      </c>
      <c r="Y102" s="12" t="e">
        <f t="shared" si="71"/>
        <v>#REF!</v>
      </c>
    </row>
    <row r="103" spans="1:25" ht="16.5" customHeight="1">
      <c r="A103" s="16" t="s">
        <v>67</v>
      </c>
      <c r="B103" s="32" t="s">
        <v>68</v>
      </c>
      <c r="C103" s="26" t="e">
        <f t="shared" si="54"/>
        <v>#REF!</v>
      </c>
      <c r="D103" s="26" t="e">
        <f t="shared" si="55"/>
        <v>#REF!</v>
      </c>
      <c r="E103" s="12" t="e">
        <f t="shared" si="56"/>
        <v>#REF!</v>
      </c>
      <c r="F103" s="26"/>
      <c r="G103" s="26" t="e">
        <f t="shared" si="57"/>
        <v>#REF!</v>
      </c>
      <c r="H103" s="26" t="e">
        <f t="shared" si="58"/>
        <v>#REF!</v>
      </c>
      <c r="I103" s="12" t="e">
        <f t="shared" si="59"/>
        <v>#REF!</v>
      </c>
      <c r="J103" s="26"/>
      <c r="K103" s="26" t="e">
        <f t="shared" si="60"/>
        <v>#REF!</v>
      </c>
      <c r="L103" s="26" t="e">
        <f t="shared" si="61"/>
        <v>#REF!</v>
      </c>
      <c r="M103" s="12" t="e">
        <f t="shared" si="62"/>
        <v>#REF!</v>
      </c>
      <c r="N103" s="12"/>
      <c r="O103" s="26" t="e">
        <f t="shared" si="63"/>
        <v>#REF!</v>
      </c>
      <c r="P103" s="26" t="e">
        <f t="shared" si="64"/>
        <v>#REF!</v>
      </c>
      <c r="Q103" s="12" t="e">
        <f t="shared" si="65"/>
        <v>#REF!</v>
      </c>
      <c r="R103" s="12"/>
      <c r="S103" s="26" t="e">
        <f t="shared" si="66"/>
        <v>#REF!</v>
      </c>
      <c r="T103" s="26" t="e">
        <f t="shared" si="67"/>
        <v>#REF!</v>
      </c>
      <c r="U103" s="12" t="e">
        <f t="shared" si="68"/>
        <v>#REF!</v>
      </c>
      <c r="V103" s="12"/>
      <c r="W103" s="44" t="e">
        <f t="shared" si="69"/>
        <v>#REF!</v>
      </c>
      <c r="X103" s="26" t="e">
        <f t="shared" si="70"/>
        <v>#REF!</v>
      </c>
      <c r="Y103" s="12" t="e">
        <f t="shared" si="71"/>
        <v>#REF!</v>
      </c>
    </row>
    <row r="104" spans="1:25" ht="16.5" customHeight="1">
      <c r="A104" s="16" t="s">
        <v>83</v>
      </c>
      <c r="B104" s="32" t="s">
        <v>333</v>
      </c>
      <c r="C104" s="26" t="e">
        <f t="shared" si="54"/>
        <v>#REF!</v>
      </c>
      <c r="D104" s="26" t="e">
        <f t="shared" si="55"/>
        <v>#REF!</v>
      </c>
      <c r="E104" s="12" t="e">
        <f t="shared" si="56"/>
        <v>#REF!</v>
      </c>
      <c r="F104" s="26"/>
      <c r="G104" s="26" t="e">
        <f t="shared" si="57"/>
        <v>#REF!</v>
      </c>
      <c r="H104" s="26" t="e">
        <f t="shared" si="58"/>
        <v>#REF!</v>
      </c>
      <c r="I104" s="12" t="e">
        <f t="shared" si="59"/>
        <v>#REF!</v>
      </c>
      <c r="J104" s="26"/>
      <c r="K104" s="26" t="e">
        <f t="shared" si="60"/>
        <v>#REF!</v>
      </c>
      <c r="L104" s="26" t="e">
        <f t="shared" si="61"/>
        <v>#REF!</v>
      </c>
      <c r="M104" s="12" t="e">
        <f t="shared" si="62"/>
        <v>#REF!</v>
      </c>
      <c r="N104" s="12"/>
      <c r="O104" s="26" t="e">
        <f t="shared" si="63"/>
        <v>#REF!</v>
      </c>
      <c r="P104" s="26" t="e">
        <f t="shared" si="64"/>
        <v>#REF!</v>
      </c>
      <c r="Q104" s="12" t="e">
        <f t="shared" si="65"/>
        <v>#REF!</v>
      </c>
      <c r="R104" s="12"/>
      <c r="S104" s="26" t="e">
        <f t="shared" si="66"/>
        <v>#REF!</v>
      </c>
      <c r="T104" s="26" t="e">
        <f t="shared" si="67"/>
        <v>#REF!</v>
      </c>
      <c r="U104" s="12" t="e">
        <f t="shared" si="68"/>
        <v>#REF!</v>
      </c>
      <c r="V104" s="12"/>
      <c r="W104" s="44" t="e">
        <f t="shared" si="69"/>
        <v>#REF!</v>
      </c>
      <c r="X104" s="26" t="e">
        <f t="shared" si="70"/>
        <v>#REF!</v>
      </c>
      <c r="Y104" s="12" t="e">
        <f t="shared" si="71"/>
        <v>#REF!</v>
      </c>
    </row>
    <row r="105" spans="1:25" ht="16.5" customHeight="1">
      <c r="A105" s="16" t="s">
        <v>89</v>
      </c>
      <c r="B105" s="32" t="s">
        <v>90</v>
      </c>
      <c r="C105" s="26" t="e">
        <f t="shared" si="54"/>
        <v>#REF!</v>
      </c>
      <c r="D105" s="26" t="e">
        <f t="shared" si="55"/>
        <v>#REF!</v>
      </c>
      <c r="E105" s="12" t="e">
        <f t="shared" si="56"/>
        <v>#REF!</v>
      </c>
      <c r="F105" s="26"/>
      <c r="G105" s="26" t="e">
        <f t="shared" si="57"/>
        <v>#REF!</v>
      </c>
      <c r="H105" s="26" t="e">
        <f t="shared" si="58"/>
        <v>#REF!</v>
      </c>
      <c r="I105" s="12" t="e">
        <f t="shared" si="59"/>
        <v>#REF!</v>
      </c>
      <c r="J105" s="26"/>
      <c r="K105" s="26" t="e">
        <f t="shared" si="60"/>
        <v>#REF!</v>
      </c>
      <c r="L105" s="26" t="e">
        <f t="shared" si="61"/>
        <v>#REF!</v>
      </c>
      <c r="M105" s="12" t="e">
        <f t="shared" si="62"/>
        <v>#REF!</v>
      </c>
      <c r="N105" s="12"/>
      <c r="O105" s="26" t="e">
        <f t="shared" si="63"/>
        <v>#REF!</v>
      </c>
      <c r="P105" s="26" t="e">
        <f t="shared" si="64"/>
        <v>#REF!</v>
      </c>
      <c r="Q105" s="12" t="e">
        <f t="shared" si="65"/>
        <v>#REF!</v>
      </c>
      <c r="R105" s="12"/>
      <c r="S105" s="26" t="e">
        <f t="shared" si="66"/>
        <v>#REF!</v>
      </c>
      <c r="T105" s="26" t="e">
        <f t="shared" si="67"/>
        <v>#REF!</v>
      </c>
      <c r="U105" s="12" t="e">
        <f t="shared" si="68"/>
        <v>#REF!</v>
      </c>
      <c r="V105" s="12"/>
      <c r="W105" s="44" t="e">
        <f t="shared" si="69"/>
        <v>#REF!</v>
      </c>
      <c r="X105" s="26" t="e">
        <f t="shared" si="70"/>
        <v>#REF!</v>
      </c>
      <c r="Y105" s="12" t="e">
        <f t="shared" si="71"/>
        <v>#REF!</v>
      </c>
    </row>
    <row r="106" spans="1:25" ht="16.5" customHeight="1">
      <c r="A106" s="16" t="s">
        <v>91</v>
      </c>
      <c r="B106" s="32" t="s">
        <v>92</v>
      </c>
      <c r="C106" s="26" t="e">
        <f t="shared" si="54"/>
        <v>#REF!</v>
      </c>
      <c r="D106" s="26" t="e">
        <f t="shared" si="55"/>
        <v>#REF!</v>
      </c>
      <c r="E106" s="12" t="e">
        <f t="shared" si="56"/>
        <v>#REF!</v>
      </c>
      <c r="F106" s="26"/>
      <c r="G106" s="26" t="e">
        <f t="shared" si="57"/>
        <v>#REF!</v>
      </c>
      <c r="H106" s="26" t="e">
        <f t="shared" si="58"/>
        <v>#REF!</v>
      </c>
      <c r="I106" s="12" t="e">
        <f t="shared" si="59"/>
        <v>#REF!</v>
      </c>
      <c r="J106" s="26"/>
      <c r="K106" s="26" t="e">
        <f t="shared" si="60"/>
        <v>#REF!</v>
      </c>
      <c r="L106" s="26" t="e">
        <f t="shared" si="61"/>
        <v>#REF!</v>
      </c>
      <c r="M106" s="12" t="e">
        <f t="shared" si="62"/>
        <v>#REF!</v>
      </c>
      <c r="N106" s="12"/>
      <c r="O106" s="26" t="e">
        <f t="shared" si="63"/>
        <v>#REF!</v>
      </c>
      <c r="P106" s="26" t="e">
        <f t="shared" si="64"/>
        <v>#REF!</v>
      </c>
      <c r="Q106" s="12" t="e">
        <f t="shared" si="65"/>
        <v>#REF!</v>
      </c>
      <c r="R106" s="12"/>
      <c r="S106" s="26" t="e">
        <f t="shared" si="66"/>
        <v>#REF!</v>
      </c>
      <c r="T106" s="26" t="e">
        <f t="shared" si="67"/>
        <v>#REF!</v>
      </c>
      <c r="U106" s="12" t="e">
        <f t="shared" si="68"/>
        <v>#REF!</v>
      </c>
      <c r="V106" s="12"/>
      <c r="W106" s="44" t="e">
        <f t="shared" si="69"/>
        <v>#REF!</v>
      </c>
      <c r="X106" s="26" t="e">
        <f t="shared" si="70"/>
        <v>#REF!</v>
      </c>
      <c r="Y106" s="12" t="e">
        <f t="shared" si="71"/>
        <v>#REF!</v>
      </c>
    </row>
    <row r="107" spans="1:25" ht="16.5" customHeight="1">
      <c r="A107" s="16" t="s">
        <v>107</v>
      </c>
      <c r="B107" s="17" t="s">
        <v>108</v>
      </c>
      <c r="C107" s="26" t="e">
        <f t="shared" si="54"/>
        <v>#REF!</v>
      </c>
      <c r="D107" s="26" t="e">
        <f t="shared" si="55"/>
        <v>#REF!</v>
      </c>
      <c r="E107" s="12" t="e">
        <f t="shared" si="56"/>
        <v>#REF!</v>
      </c>
      <c r="F107" s="26"/>
      <c r="G107" s="26" t="e">
        <f t="shared" si="57"/>
        <v>#REF!</v>
      </c>
      <c r="H107" s="26" t="e">
        <f t="shared" si="58"/>
        <v>#REF!</v>
      </c>
      <c r="I107" s="12" t="e">
        <f t="shared" si="59"/>
        <v>#REF!</v>
      </c>
      <c r="J107" s="26"/>
      <c r="K107" s="26" t="e">
        <f t="shared" si="60"/>
        <v>#REF!</v>
      </c>
      <c r="L107" s="26" t="e">
        <f t="shared" si="61"/>
        <v>#REF!</v>
      </c>
      <c r="M107" s="12" t="e">
        <f t="shared" si="62"/>
        <v>#REF!</v>
      </c>
      <c r="N107" s="12"/>
      <c r="O107" s="26" t="e">
        <f t="shared" si="63"/>
        <v>#REF!</v>
      </c>
      <c r="P107" s="26" t="e">
        <f t="shared" si="64"/>
        <v>#REF!</v>
      </c>
      <c r="Q107" s="12" t="e">
        <f t="shared" si="65"/>
        <v>#REF!</v>
      </c>
      <c r="R107" s="12"/>
      <c r="S107" s="26" t="e">
        <f t="shared" si="66"/>
        <v>#REF!</v>
      </c>
      <c r="T107" s="26" t="e">
        <f t="shared" si="67"/>
        <v>#REF!</v>
      </c>
      <c r="U107" s="12" t="e">
        <f t="shared" si="68"/>
        <v>#REF!</v>
      </c>
      <c r="V107" s="12"/>
      <c r="W107" s="44" t="e">
        <f t="shared" si="69"/>
        <v>#REF!</v>
      </c>
      <c r="X107" s="26" t="e">
        <f t="shared" si="70"/>
        <v>#REF!</v>
      </c>
      <c r="Y107" s="12" t="e">
        <f t="shared" si="71"/>
        <v>#REF!</v>
      </c>
    </row>
    <row r="108" spans="1:25" ht="16.5" customHeight="1">
      <c r="A108" s="16" t="s">
        <v>117</v>
      </c>
      <c r="B108" s="32" t="s">
        <v>118</v>
      </c>
      <c r="C108" s="26" t="e">
        <f t="shared" si="54"/>
        <v>#REF!</v>
      </c>
      <c r="D108" s="26" t="e">
        <f t="shared" si="55"/>
        <v>#REF!</v>
      </c>
      <c r="E108" s="12" t="e">
        <f t="shared" si="56"/>
        <v>#REF!</v>
      </c>
      <c r="F108" s="26"/>
      <c r="G108" s="26" t="e">
        <f t="shared" si="57"/>
        <v>#REF!</v>
      </c>
      <c r="H108" s="26" t="e">
        <f t="shared" si="58"/>
        <v>#REF!</v>
      </c>
      <c r="I108" s="12" t="e">
        <f t="shared" si="59"/>
        <v>#REF!</v>
      </c>
      <c r="J108" s="26"/>
      <c r="K108" s="26" t="e">
        <f t="shared" si="60"/>
        <v>#REF!</v>
      </c>
      <c r="L108" s="26" t="e">
        <f t="shared" si="61"/>
        <v>#REF!</v>
      </c>
      <c r="M108" s="12" t="e">
        <f t="shared" si="62"/>
        <v>#REF!</v>
      </c>
      <c r="N108" s="12"/>
      <c r="O108" s="26" t="e">
        <f t="shared" si="63"/>
        <v>#REF!</v>
      </c>
      <c r="P108" s="26" t="e">
        <f t="shared" si="64"/>
        <v>#REF!</v>
      </c>
      <c r="Q108" s="12" t="e">
        <f t="shared" si="65"/>
        <v>#REF!</v>
      </c>
      <c r="R108" s="12"/>
      <c r="S108" s="26" t="e">
        <f t="shared" si="66"/>
        <v>#REF!</v>
      </c>
      <c r="T108" s="26" t="e">
        <f t="shared" si="67"/>
        <v>#REF!</v>
      </c>
      <c r="U108" s="12" t="e">
        <f t="shared" si="68"/>
        <v>#REF!</v>
      </c>
      <c r="V108" s="12"/>
      <c r="W108" s="44" t="e">
        <f t="shared" si="69"/>
        <v>#REF!</v>
      </c>
      <c r="X108" s="26" t="e">
        <f t="shared" si="70"/>
        <v>#REF!</v>
      </c>
      <c r="Y108" s="12" t="e">
        <f t="shared" si="71"/>
        <v>#REF!</v>
      </c>
    </row>
    <row r="109" spans="1:25" ht="16.5" customHeight="1">
      <c r="A109" s="16" t="s">
        <v>139</v>
      </c>
      <c r="B109" s="32" t="s">
        <v>140</v>
      </c>
      <c r="C109" s="26" t="e">
        <f t="shared" si="54"/>
        <v>#REF!</v>
      </c>
      <c r="D109" s="26" t="e">
        <f t="shared" si="55"/>
        <v>#REF!</v>
      </c>
      <c r="E109" s="12" t="e">
        <f t="shared" si="56"/>
        <v>#REF!</v>
      </c>
      <c r="F109" s="26"/>
      <c r="G109" s="26" t="e">
        <f t="shared" si="57"/>
        <v>#REF!</v>
      </c>
      <c r="H109" s="26" t="e">
        <f t="shared" si="58"/>
        <v>#REF!</v>
      </c>
      <c r="I109" s="12" t="e">
        <f t="shared" si="59"/>
        <v>#REF!</v>
      </c>
      <c r="J109" s="26"/>
      <c r="K109" s="26" t="e">
        <f t="shared" si="60"/>
        <v>#REF!</v>
      </c>
      <c r="L109" s="26" t="e">
        <f t="shared" si="61"/>
        <v>#REF!</v>
      </c>
      <c r="M109" s="12" t="e">
        <f t="shared" si="62"/>
        <v>#REF!</v>
      </c>
      <c r="N109" s="12"/>
      <c r="O109" s="26" t="e">
        <f t="shared" si="63"/>
        <v>#REF!</v>
      </c>
      <c r="P109" s="26" t="e">
        <f t="shared" si="64"/>
        <v>#REF!</v>
      </c>
      <c r="Q109" s="12" t="e">
        <f t="shared" si="65"/>
        <v>#REF!</v>
      </c>
      <c r="R109" s="12"/>
      <c r="S109" s="26" t="e">
        <f t="shared" si="66"/>
        <v>#REF!</v>
      </c>
      <c r="T109" s="26" t="e">
        <f t="shared" si="67"/>
        <v>#REF!</v>
      </c>
      <c r="U109" s="12" t="e">
        <f t="shared" si="68"/>
        <v>#REF!</v>
      </c>
      <c r="V109" s="12"/>
      <c r="W109" s="44" t="e">
        <f t="shared" si="69"/>
        <v>#REF!</v>
      </c>
      <c r="X109" s="26" t="e">
        <f t="shared" si="70"/>
        <v>#REF!</v>
      </c>
      <c r="Y109" s="12" t="e">
        <f t="shared" si="71"/>
        <v>#REF!</v>
      </c>
    </row>
    <row r="110" spans="1:25" ht="16.5" customHeight="1">
      <c r="A110" s="16" t="s">
        <v>143</v>
      </c>
      <c r="B110" s="17" t="s">
        <v>144</v>
      </c>
      <c r="C110" s="26" t="e">
        <f t="shared" si="54"/>
        <v>#REF!</v>
      </c>
      <c r="D110" s="26" t="e">
        <f t="shared" si="55"/>
        <v>#REF!</v>
      </c>
      <c r="E110" s="12" t="e">
        <f t="shared" si="56"/>
        <v>#REF!</v>
      </c>
      <c r="F110" s="26"/>
      <c r="G110" s="26" t="e">
        <f t="shared" si="57"/>
        <v>#REF!</v>
      </c>
      <c r="H110" s="26" t="e">
        <f t="shared" si="58"/>
        <v>#REF!</v>
      </c>
      <c r="I110" s="12" t="e">
        <f t="shared" si="59"/>
        <v>#REF!</v>
      </c>
      <c r="J110" s="26"/>
      <c r="K110" s="26" t="e">
        <f t="shared" si="60"/>
        <v>#REF!</v>
      </c>
      <c r="L110" s="26" t="e">
        <f t="shared" si="61"/>
        <v>#REF!</v>
      </c>
      <c r="M110" s="12" t="e">
        <f t="shared" si="62"/>
        <v>#REF!</v>
      </c>
      <c r="N110" s="12"/>
      <c r="O110" s="26" t="e">
        <f t="shared" si="63"/>
        <v>#REF!</v>
      </c>
      <c r="P110" s="26" t="e">
        <f t="shared" si="64"/>
        <v>#REF!</v>
      </c>
      <c r="Q110" s="12" t="e">
        <f t="shared" si="65"/>
        <v>#REF!</v>
      </c>
      <c r="R110" s="12"/>
      <c r="S110" s="26" t="e">
        <f t="shared" si="66"/>
        <v>#REF!</v>
      </c>
      <c r="T110" s="26" t="e">
        <f t="shared" si="67"/>
        <v>#REF!</v>
      </c>
      <c r="U110" s="12" t="e">
        <f t="shared" si="68"/>
        <v>#REF!</v>
      </c>
      <c r="V110" s="12"/>
      <c r="W110" s="44" t="e">
        <f t="shared" si="69"/>
        <v>#REF!</v>
      </c>
      <c r="X110" s="26" t="e">
        <f t="shared" si="70"/>
        <v>#REF!</v>
      </c>
      <c r="Y110" s="12" t="e">
        <f t="shared" si="71"/>
        <v>#REF!</v>
      </c>
    </row>
    <row r="111" spans="1:25" ht="16.5" customHeight="1">
      <c r="A111" s="16" t="s">
        <v>145</v>
      </c>
      <c r="B111" s="17" t="s">
        <v>146</v>
      </c>
      <c r="C111" s="26" t="e">
        <f t="shared" si="54"/>
        <v>#REF!</v>
      </c>
      <c r="D111" s="26" t="e">
        <f t="shared" si="55"/>
        <v>#REF!</v>
      </c>
      <c r="E111" s="12" t="e">
        <f t="shared" si="56"/>
        <v>#REF!</v>
      </c>
      <c r="F111" s="26"/>
      <c r="G111" s="26" t="e">
        <f t="shared" si="57"/>
        <v>#REF!</v>
      </c>
      <c r="H111" s="26" t="e">
        <f t="shared" si="58"/>
        <v>#REF!</v>
      </c>
      <c r="I111" s="12" t="e">
        <f t="shared" si="59"/>
        <v>#REF!</v>
      </c>
      <c r="J111" s="26"/>
      <c r="K111" s="26" t="e">
        <f t="shared" si="60"/>
        <v>#REF!</v>
      </c>
      <c r="L111" s="26" t="e">
        <f t="shared" si="61"/>
        <v>#REF!</v>
      </c>
      <c r="M111" s="12" t="e">
        <f t="shared" si="62"/>
        <v>#REF!</v>
      </c>
      <c r="N111" s="12"/>
      <c r="O111" s="26" t="e">
        <f t="shared" si="63"/>
        <v>#REF!</v>
      </c>
      <c r="P111" s="26" t="e">
        <f t="shared" si="64"/>
        <v>#REF!</v>
      </c>
      <c r="Q111" s="12" t="e">
        <f t="shared" si="65"/>
        <v>#REF!</v>
      </c>
      <c r="R111" s="12"/>
      <c r="S111" s="26" t="e">
        <f t="shared" si="66"/>
        <v>#REF!</v>
      </c>
      <c r="T111" s="26" t="e">
        <f t="shared" si="67"/>
        <v>#REF!</v>
      </c>
      <c r="U111" s="12" t="e">
        <f t="shared" si="68"/>
        <v>#REF!</v>
      </c>
      <c r="V111" s="12"/>
      <c r="W111" s="44" t="e">
        <f t="shared" si="69"/>
        <v>#REF!</v>
      </c>
      <c r="X111" s="26" t="e">
        <f t="shared" si="70"/>
        <v>#REF!</v>
      </c>
      <c r="Y111" s="12" t="e">
        <f t="shared" si="71"/>
        <v>#REF!</v>
      </c>
    </row>
    <row r="112" spans="1:25" ht="16.5" customHeight="1">
      <c r="A112" s="16" t="s">
        <v>159</v>
      </c>
      <c r="B112" s="17" t="s">
        <v>160</v>
      </c>
      <c r="C112" s="26" t="e">
        <f t="shared" si="54"/>
        <v>#REF!</v>
      </c>
      <c r="D112" s="26" t="e">
        <f t="shared" si="55"/>
        <v>#REF!</v>
      </c>
      <c r="E112" s="12" t="e">
        <f t="shared" si="56"/>
        <v>#REF!</v>
      </c>
      <c r="F112" s="26"/>
      <c r="G112" s="26" t="e">
        <f t="shared" si="57"/>
        <v>#REF!</v>
      </c>
      <c r="H112" s="26" t="e">
        <f t="shared" si="58"/>
        <v>#REF!</v>
      </c>
      <c r="I112" s="12" t="e">
        <f t="shared" si="59"/>
        <v>#REF!</v>
      </c>
      <c r="J112" s="26"/>
      <c r="K112" s="26" t="e">
        <f t="shared" si="60"/>
        <v>#REF!</v>
      </c>
      <c r="L112" s="26" t="e">
        <f t="shared" si="61"/>
        <v>#REF!</v>
      </c>
      <c r="M112" s="12" t="e">
        <f t="shared" si="62"/>
        <v>#REF!</v>
      </c>
      <c r="N112" s="12"/>
      <c r="O112" s="26" t="e">
        <f t="shared" si="63"/>
        <v>#REF!</v>
      </c>
      <c r="P112" s="26" t="e">
        <f t="shared" si="64"/>
        <v>#REF!</v>
      </c>
      <c r="Q112" s="12" t="e">
        <f t="shared" si="65"/>
        <v>#REF!</v>
      </c>
      <c r="R112" s="12"/>
      <c r="S112" s="26" t="e">
        <f t="shared" si="66"/>
        <v>#REF!</v>
      </c>
      <c r="T112" s="26" t="e">
        <f t="shared" si="67"/>
        <v>#REF!</v>
      </c>
      <c r="U112" s="12" t="e">
        <f t="shared" si="68"/>
        <v>#REF!</v>
      </c>
      <c r="V112" s="12"/>
      <c r="W112" s="44" t="e">
        <f t="shared" si="69"/>
        <v>#REF!</v>
      </c>
      <c r="X112" s="26" t="e">
        <f t="shared" si="70"/>
        <v>#REF!</v>
      </c>
      <c r="Y112" s="12" t="e">
        <f t="shared" si="71"/>
        <v>#REF!</v>
      </c>
    </row>
    <row r="113" spans="1:25" ht="16.5" customHeight="1">
      <c r="A113" s="16" t="s">
        <v>161</v>
      </c>
      <c r="B113" s="17" t="s">
        <v>162</v>
      </c>
      <c r="C113" s="26" t="e">
        <f t="shared" si="54"/>
        <v>#REF!</v>
      </c>
      <c r="D113" s="26" t="e">
        <f t="shared" si="55"/>
        <v>#REF!</v>
      </c>
      <c r="E113" s="12" t="e">
        <f t="shared" si="56"/>
        <v>#REF!</v>
      </c>
      <c r="F113" s="26"/>
      <c r="G113" s="26" t="e">
        <f t="shared" si="57"/>
        <v>#REF!</v>
      </c>
      <c r="H113" s="26" t="e">
        <f t="shared" si="58"/>
        <v>#REF!</v>
      </c>
      <c r="I113" s="12" t="e">
        <f t="shared" si="59"/>
        <v>#REF!</v>
      </c>
      <c r="J113" s="26"/>
      <c r="K113" s="26" t="e">
        <f t="shared" si="60"/>
        <v>#REF!</v>
      </c>
      <c r="L113" s="26" t="e">
        <f t="shared" si="61"/>
        <v>#REF!</v>
      </c>
      <c r="M113" s="12" t="e">
        <f t="shared" si="62"/>
        <v>#REF!</v>
      </c>
      <c r="N113" s="12"/>
      <c r="O113" s="26" t="e">
        <f t="shared" si="63"/>
        <v>#REF!</v>
      </c>
      <c r="P113" s="26" t="e">
        <f t="shared" si="64"/>
        <v>#REF!</v>
      </c>
      <c r="Q113" s="12" t="e">
        <f t="shared" si="65"/>
        <v>#REF!</v>
      </c>
      <c r="R113" s="12"/>
      <c r="S113" s="26" t="e">
        <f t="shared" si="66"/>
        <v>#REF!</v>
      </c>
      <c r="T113" s="26" t="e">
        <f t="shared" si="67"/>
        <v>#REF!</v>
      </c>
      <c r="U113" s="12" t="e">
        <f t="shared" si="68"/>
        <v>#REF!</v>
      </c>
      <c r="V113" s="12"/>
      <c r="W113" s="44" t="e">
        <f t="shared" si="69"/>
        <v>#REF!</v>
      </c>
      <c r="X113" s="26" t="e">
        <f t="shared" si="70"/>
        <v>#REF!</v>
      </c>
      <c r="Y113" s="12" t="e">
        <f t="shared" si="71"/>
        <v>#REF!</v>
      </c>
    </row>
    <row r="114" spans="1:25" ht="16.5" customHeight="1">
      <c r="A114" s="16" t="s">
        <v>167</v>
      </c>
      <c r="B114" s="32" t="s">
        <v>168</v>
      </c>
      <c r="C114" s="26" t="e">
        <f t="shared" si="54"/>
        <v>#REF!</v>
      </c>
      <c r="D114" s="26" t="e">
        <f t="shared" si="55"/>
        <v>#REF!</v>
      </c>
      <c r="E114" s="12" t="e">
        <f t="shared" si="56"/>
        <v>#REF!</v>
      </c>
      <c r="F114" s="26"/>
      <c r="G114" s="26" t="e">
        <f t="shared" si="57"/>
        <v>#REF!</v>
      </c>
      <c r="H114" s="26" t="e">
        <f t="shared" si="58"/>
        <v>#REF!</v>
      </c>
      <c r="I114" s="12" t="e">
        <f t="shared" si="59"/>
        <v>#REF!</v>
      </c>
      <c r="J114" s="26"/>
      <c r="K114" s="26" t="e">
        <f t="shared" si="60"/>
        <v>#REF!</v>
      </c>
      <c r="L114" s="26" t="e">
        <f t="shared" si="61"/>
        <v>#REF!</v>
      </c>
      <c r="M114" s="12" t="e">
        <f t="shared" si="62"/>
        <v>#REF!</v>
      </c>
      <c r="N114" s="12"/>
      <c r="O114" s="26" t="e">
        <f t="shared" si="63"/>
        <v>#REF!</v>
      </c>
      <c r="P114" s="26" t="e">
        <f t="shared" si="64"/>
        <v>#REF!</v>
      </c>
      <c r="Q114" s="12" t="e">
        <f t="shared" si="65"/>
        <v>#REF!</v>
      </c>
      <c r="R114" s="12"/>
      <c r="S114" s="26" t="e">
        <f t="shared" si="66"/>
        <v>#REF!</v>
      </c>
      <c r="T114" s="26" t="e">
        <f t="shared" si="67"/>
        <v>#REF!</v>
      </c>
      <c r="U114" s="12" t="e">
        <f t="shared" si="68"/>
        <v>#REF!</v>
      </c>
      <c r="V114" s="12"/>
      <c r="W114" s="44" t="e">
        <f t="shared" si="69"/>
        <v>#REF!</v>
      </c>
      <c r="X114" s="26" t="e">
        <f t="shared" si="70"/>
        <v>#REF!</v>
      </c>
      <c r="Y114" s="12" t="e">
        <f t="shared" si="71"/>
        <v>#REF!</v>
      </c>
    </row>
    <row r="115" spans="1:25" ht="16.5" customHeight="1">
      <c r="A115" s="16" t="s">
        <v>177</v>
      </c>
      <c r="B115" s="32" t="s">
        <v>178</v>
      </c>
      <c r="C115" s="26" t="e">
        <f t="shared" si="54"/>
        <v>#REF!</v>
      </c>
      <c r="D115" s="26" t="e">
        <f t="shared" si="55"/>
        <v>#REF!</v>
      </c>
      <c r="E115" s="12" t="e">
        <f t="shared" si="56"/>
        <v>#REF!</v>
      </c>
      <c r="F115" s="26"/>
      <c r="G115" s="26" t="e">
        <f t="shared" si="57"/>
        <v>#REF!</v>
      </c>
      <c r="H115" s="26" t="e">
        <f t="shared" si="58"/>
        <v>#REF!</v>
      </c>
      <c r="I115" s="12" t="e">
        <f t="shared" si="59"/>
        <v>#REF!</v>
      </c>
      <c r="J115" s="26"/>
      <c r="K115" s="26" t="e">
        <f t="shared" si="60"/>
        <v>#REF!</v>
      </c>
      <c r="L115" s="26" t="e">
        <f t="shared" si="61"/>
        <v>#REF!</v>
      </c>
      <c r="M115" s="12" t="e">
        <f t="shared" si="62"/>
        <v>#REF!</v>
      </c>
      <c r="N115" s="12"/>
      <c r="O115" s="26" t="e">
        <f t="shared" si="63"/>
        <v>#REF!</v>
      </c>
      <c r="P115" s="26" t="e">
        <f t="shared" si="64"/>
        <v>#REF!</v>
      </c>
      <c r="Q115" s="12" t="e">
        <f t="shared" si="65"/>
        <v>#REF!</v>
      </c>
      <c r="R115" s="12"/>
      <c r="S115" s="26" t="e">
        <f t="shared" si="66"/>
        <v>#REF!</v>
      </c>
      <c r="T115" s="26" t="e">
        <f t="shared" si="67"/>
        <v>#REF!</v>
      </c>
      <c r="U115" s="12" t="e">
        <f t="shared" si="68"/>
        <v>#REF!</v>
      </c>
      <c r="V115" s="12"/>
      <c r="W115" s="44" t="e">
        <f t="shared" si="69"/>
        <v>#REF!</v>
      </c>
      <c r="X115" s="26" t="e">
        <f t="shared" si="70"/>
        <v>#REF!</v>
      </c>
      <c r="Y115" s="12" t="e">
        <f t="shared" si="71"/>
        <v>#REF!</v>
      </c>
    </row>
    <row r="116" spans="1:25" ht="16.5" customHeight="1">
      <c r="A116" s="16" t="s">
        <v>181</v>
      </c>
      <c r="B116" s="32" t="s">
        <v>182</v>
      </c>
      <c r="C116" s="26" t="e">
        <f t="shared" si="54"/>
        <v>#REF!</v>
      </c>
      <c r="D116" s="26" t="e">
        <f t="shared" si="55"/>
        <v>#REF!</v>
      </c>
      <c r="E116" s="12" t="e">
        <f t="shared" si="56"/>
        <v>#REF!</v>
      </c>
      <c r="F116" s="26"/>
      <c r="G116" s="26" t="e">
        <f t="shared" si="57"/>
        <v>#REF!</v>
      </c>
      <c r="H116" s="26" t="e">
        <f t="shared" si="58"/>
        <v>#REF!</v>
      </c>
      <c r="I116" s="12" t="e">
        <f t="shared" si="59"/>
        <v>#REF!</v>
      </c>
      <c r="J116" s="26"/>
      <c r="K116" s="26" t="e">
        <f t="shared" si="60"/>
        <v>#REF!</v>
      </c>
      <c r="L116" s="26" t="e">
        <f t="shared" si="61"/>
        <v>#REF!</v>
      </c>
      <c r="M116" s="12" t="e">
        <f t="shared" si="62"/>
        <v>#REF!</v>
      </c>
      <c r="N116" s="12"/>
      <c r="O116" s="26" t="e">
        <f t="shared" si="63"/>
        <v>#REF!</v>
      </c>
      <c r="P116" s="26" t="e">
        <f t="shared" si="64"/>
        <v>#REF!</v>
      </c>
      <c r="Q116" s="12" t="e">
        <f t="shared" si="65"/>
        <v>#REF!</v>
      </c>
      <c r="R116" s="12"/>
      <c r="S116" s="26" t="e">
        <f t="shared" si="66"/>
        <v>#REF!</v>
      </c>
      <c r="T116" s="26" t="e">
        <f t="shared" si="67"/>
        <v>#REF!</v>
      </c>
      <c r="U116" s="12" t="e">
        <f t="shared" si="68"/>
        <v>#REF!</v>
      </c>
      <c r="V116" s="12"/>
      <c r="W116" s="44" t="e">
        <f t="shared" si="69"/>
        <v>#REF!</v>
      </c>
      <c r="X116" s="26" t="e">
        <f t="shared" si="70"/>
        <v>#REF!</v>
      </c>
      <c r="Y116" s="12" t="e">
        <f t="shared" si="71"/>
        <v>#REF!</v>
      </c>
    </row>
    <row r="117" spans="1:25" ht="16.5" customHeight="1">
      <c r="A117" s="16" t="s">
        <v>193</v>
      </c>
      <c r="B117" s="17" t="s">
        <v>194</v>
      </c>
      <c r="C117" s="26" t="e">
        <f t="shared" si="54"/>
        <v>#REF!</v>
      </c>
      <c r="D117" s="26" t="e">
        <f t="shared" si="55"/>
        <v>#REF!</v>
      </c>
      <c r="E117" s="12" t="e">
        <f t="shared" si="56"/>
        <v>#REF!</v>
      </c>
      <c r="F117" s="26"/>
      <c r="G117" s="26" t="e">
        <f t="shared" si="57"/>
        <v>#REF!</v>
      </c>
      <c r="H117" s="26" t="e">
        <f t="shared" si="58"/>
        <v>#REF!</v>
      </c>
      <c r="I117" s="12" t="e">
        <f t="shared" si="59"/>
        <v>#REF!</v>
      </c>
      <c r="J117" s="26"/>
      <c r="K117" s="26" t="e">
        <f t="shared" si="60"/>
        <v>#REF!</v>
      </c>
      <c r="L117" s="26" t="e">
        <f t="shared" si="61"/>
        <v>#REF!</v>
      </c>
      <c r="M117" s="12" t="e">
        <f t="shared" si="62"/>
        <v>#REF!</v>
      </c>
      <c r="N117" s="12"/>
      <c r="O117" s="26" t="e">
        <f t="shared" si="63"/>
        <v>#REF!</v>
      </c>
      <c r="P117" s="26" t="e">
        <f t="shared" si="64"/>
        <v>#REF!</v>
      </c>
      <c r="Q117" s="12" t="e">
        <f t="shared" si="65"/>
        <v>#REF!</v>
      </c>
      <c r="R117" s="12"/>
      <c r="S117" s="26" t="e">
        <f t="shared" si="66"/>
        <v>#REF!</v>
      </c>
      <c r="T117" s="26" t="e">
        <f t="shared" si="67"/>
        <v>#REF!</v>
      </c>
      <c r="U117" s="12" t="e">
        <f t="shared" si="68"/>
        <v>#REF!</v>
      </c>
      <c r="V117" s="12"/>
      <c r="W117" s="44" t="e">
        <f t="shared" si="69"/>
        <v>#REF!</v>
      </c>
      <c r="X117" s="26" t="e">
        <f t="shared" si="70"/>
        <v>#REF!</v>
      </c>
      <c r="Y117" s="12" t="e">
        <f t="shared" si="71"/>
        <v>#REF!</v>
      </c>
    </row>
    <row r="118" spans="1:25" ht="16.5" customHeight="1">
      <c r="A118" s="16" t="s">
        <v>197</v>
      </c>
      <c r="B118" s="32" t="s">
        <v>334</v>
      </c>
      <c r="C118" s="26" t="e">
        <f t="shared" si="54"/>
        <v>#REF!</v>
      </c>
      <c r="D118" s="26" t="e">
        <f t="shared" si="55"/>
        <v>#REF!</v>
      </c>
      <c r="E118" s="12" t="e">
        <f t="shared" si="56"/>
        <v>#REF!</v>
      </c>
      <c r="F118" s="26"/>
      <c r="G118" s="26" t="e">
        <f t="shared" si="57"/>
        <v>#REF!</v>
      </c>
      <c r="H118" s="26" t="e">
        <f t="shared" si="58"/>
        <v>#REF!</v>
      </c>
      <c r="I118" s="12" t="e">
        <f t="shared" si="59"/>
        <v>#REF!</v>
      </c>
      <c r="J118" s="26"/>
      <c r="K118" s="26" t="e">
        <f t="shared" si="60"/>
        <v>#REF!</v>
      </c>
      <c r="L118" s="26" t="e">
        <f t="shared" si="61"/>
        <v>#REF!</v>
      </c>
      <c r="M118" s="12" t="e">
        <f t="shared" si="62"/>
        <v>#REF!</v>
      </c>
      <c r="N118" s="12"/>
      <c r="O118" s="26" t="e">
        <f t="shared" si="63"/>
        <v>#REF!</v>
      </c>
      <c r="P118" s="26" t="e">
        <f t="shared" si="64"/>
        <v>#REF!</v>
      </c>
      <c r="Q118" s="12" t="e">
        <f t="shared" si="65"/>
        <v>#REF!</v>
      </c>
      <c r="R118" s="12"/>
      <c r="S118" s="26" t="e">
        <f t="shared" si="66"/>
        <v>#REF!</v>
      </c>
      <c r="T118" s="26" t="e">
        <f t="shared" si="67"/>
        <v>#REF!</v>
      </c>
      <c r="U118" s="12" t="e">
        <f t="shared" si="68"/>
        <v>#REF!</v>
      </c>
      <c r="V118" s="12"/>
      <c r="W118" s="44" t="e">
        <f t="shared" si="69"/>
        <v>#REF!</v>
      </c>
      <c r="X118" s="26" t="e">
        <f t="shared" si="70"/>
        <v>#REF!</v>
      </c>
      <c r="Y118" s="12" t="e">
        <f t="shared" si="71"/>
        <v>#REF!</v>
      </c>
    </row>
    <row r="119" spans="1:25" ht="16.5" customHeight="1">
      <c r="A119" s="16" t="s">
        <v>201</v>
      </c>
      <c r="B119" s="32" t="s">
        <v>335</v>
      </c>
      <c r="C119" s="26" t="e">
        <f t="shared" si="54"/>
        <v>#REF!</v>
      </c>
      <c r="D119" s="26" t="e">
        <f t="shared" si="55"/>
        <v>#REF!</v>
      </c>
      <c r="E119" s="12" t="e">
        <f t="shared" si="56"/>
        <v>#REF!</v>
      </c>
      <c r="F119" s="26"/>
      <c r="G119" s="26" t="e">
        <f t="shared" si="57"/>
        <v>#REF!</v>
      </c>
      <c r="H119" s="26" t="e">
        <f t="shared" si="58"/>
        <v>#REF!</v>
      </c>
      <c r="I119" s="12" t="e">
        <f t="shared" si="59"/>
        <v>#REF!</v>
      </c>
      <c r="J119" s="26"/>
      <c r="K119" s="26" t="e">
        <f t="shared" si="60"/>
        <v>#REF!</v>
      </c>
      <c r="L119" s="26" t="e">
        <f t="shared" si="61"/>
        <v>#REF!</v>
      </c>
      <c r="M119" s="12" t="e">
        <f t="shared" si="62"/>
        <v>#REF!</v>
      </c>
      <c r="N119" s="12"/>
      <c r="O119" s="26" t="e">
        <f t="shared" si="63"/>
        <v>#REF!</v>
      </c>
      <c r="P119" s="26" t="e">
        <f t="shared" si="64"/>
        <v>#REF!</v>
      </c>
      <c r="Q119" s="12" t="e">
        <f t="shared" si="65"/>
        <v>#REF!</v>
      </c>
      <c r="R119" s="12"/>
      <c r="S119" s="26" t="e">
        <f t="shared" si="66"/>
        <v>#REF!</v>
      </c>
      <c r="T119" s="26" t="e">
        <f t="shared" si="67"/>
        <v>#REF!</v>
      </c>
      <c r="U119" s="12" t="e">
        <f t="shared" si="68"/>
        <v>#REF!</v>
      </c>
      <c r="V119" s="12"/>
      <c r="W119" s="44" t="e">
        <f t="shared" si="69"/>
        <v>#REF!</v>
      </c>
      <c r="X119" s="26" t="e">
        <f t="shared" si="70"/>
        <v>#REF!</v>
      </c>
      <c r="Y119" s="12" t="e">
        <f t="shared" si="71"/>
        <v>#REF!</v>
      </c>
    </row>
    <row r="120" spans="1:25" ht="16.5" customHeight="1">
      <c r="A120" s="16" t="s">
        <v>223</v>
      </c>
      <c r="B120" s="17" t="s">
        <v>224</v>
      </c>
      <c r="C120" s="26" t="e">
        <f t="shared" si="54"/>
        <v>#REF!</v>
      </c>
      <c r="D120" s="26" t="e">
        <f t="shared" si="55"/>
        <v>#REF!</v>
      </c>
      <c r="E120" s="12" t="e">
        <f t="shared" si="56"/>
        <v>#REF!</v>
      </c>
      <c r="F120" s="26"/>
      <c r="G120" s="26" t="e">
        <f t="shared" si="57"/>
        <v>#REF!</v>
      </c>
      <c r="H120" s="26" t="e">
        <f t="shared" si="58"/>
        <v>#REF!</v>
      </c>
      <c r="I120" s="12" t="e">
        <f t="shared" si="59"/>
        <v>#REF!</v>
      </c>
      <c r="J120" s="26"/>
      <c r="K120" s="26" t="e">
        <f t="shared" si="60"/>
        <v>#REF!</v>
      </c>
      <c r="L120" s="26" t="e">
        <f t="shared" si="61"/>
        <v>#REF!</v>
      </c>
      <c r="M120" s="12" t="e">
        <f t="shared" si="62"/>
        <v>#REF!</v>
      </c>
      <c r="N120" s="12"/>
      <c r="O120" s="26" t="e">
        <f t="shared" si="63"/>
        <v>#REF!</v>
      </c>
      <c r="P120" s="26" t="e">
        <f t="shared" si="64"/>
        <v>#REF!</v>
      </c>
      <c r="Q120" s="12" t="e">
        <f t="shared" si="65"/>
        <v>#REF!</v>
      </c>
      <c r="R120" s="12"/>
      <c r="S120" s="26" t="e">
        <f t="shared" si="66"/>
        <v>#REF!</v>
      </c>
      <c r="T120" s="26" t="e">
        <f t="shared" si="67"/>
        <v>#REF!</v>
      </c>
      <c r="U120" s="12" t="e">
        <f t="shared" si="68"/>
        <v>#REF!</v>
      </c>
      <c r="V120" s="12"/>
      <c r="W120" s="44" t="e">
        <f t="shared" si="69"/>
        <v>#REF!</v>
      </c>
      <c r="X120" s="26" t="e">
        <f t="shared" si="70"/>
        <v>#REF!</v>
      </c>
      <c r="Y120" s="12" t="e">
        <f t="shared" si="71"/>
        <v>#REF!</v>
      </c>
    </row>
    <row r="121" spans="1:25" ht="16.5" customHeight="1">
      <c r="A121" s="16" t="s">
        <v>231</v>
      </c>
      <c r="B121" s="17" t="s">
        <v>232</v>
      </c>
      <c r="C121" s="26" t="e">
        <f t="shared" si="54"/>
        <v>#REF!</v>
      </c>
      <c r="D121" s="26" t="e">
        <f t="shared" si="55"/>
        <v>#REF!</v>
      </c>
      <c r="E121" s="12" t="e">
        <f t="shared" si="56"/>
        <v>#REF!</v>
      </c>
      <c r="F121" s="26"/>
      <c r="G121" s="26" t="e">
        <f t="shared" si="57"/>
        <v>#REF!</v>
      </c>
      <c r="H121" s="26" t="e">
        <f t="shared" si="58"/>
        <v>#REF!</v>
      </c>
      <c r="I121" s="12" t="e">
        <f t="shared" si="59"/>
        <v>#REF!</v>
      </c>
      <c r="J121" s="26"/>
      <c r="K121" s="26" t="e">
        <f t="shared" si="60"/>
        <v>#REF!</v>
      </c>
      <c r="L121" s="26" t="e">
        <f t="shared" si="61"/>
        <v>#REF!</v>
      </c>
      <c r="M121" s="12" t="e">
        <f t="shared" si="62"/>
        <v>#REF!</v>
      </c>
      <c r="N121" s="12"/>
      <c r="O121" s="26" t="e">
        <f t="shared" si="63"/>
        <v>#REF!</v>
      </c>
      <c r="P121" s="26" t="e">
        <f t="shared" si="64"/>
        <v>#REF!</v>
      </c>
      <c r="Q121" s="12" t="e">
        <f t="shared" si="65"/>
        <v>#REF!</v>
      </c>
      <c r="R121" s="12"/>
      <c r="S121" s="26" t="e">
        <f t="shared" si="66"/>
        <v>#REF!</v>
      </c>
      <c r="T121" s="26" t="e">
        <f t="shared" si="67"/>
        <v>#REF!</v>
      </c>
      <c r="U121" s="12" t="e">
        <f t="shared" si="68"/>
        <v>#REF!</v>
      </c>
      <c r="V121" s="12"/>
      <c r="W121" s="44" t="e">
        <f t="shared" si="69"/>
        <v>#REF!</v>
      </c>
      <c r="X121" s="26" t="e">
        <f t="shared" si="70"/>
        <v>#REF!</v>
      </c>
      <c r="Y121" s="12" t="e">
        <f t="shared" si="71"/>
        <v>#REF!</v>
      </c>
    </row>
    <row r="122" spans="1:25" ht="16.5" customHeight="1">
      <c r="A122" s="16" t="s">
        <v>239</v>
      </c>
      <c r="B122" s="17" t="s">
        <v>240</v>
      </c>
      <c r="C122" s="26" t="e">
        <f t="shared" si="54"/>
        <v>#REF!</v>
      </c>
      <c r="D122" s="26" t="e">
        <f t="shared" si="55"/>
        <v>#REF!</v>
      </c>
      <c r="E122" s="12" t="e">
        <f t="shared" si="56"/>
        <v>#REF!</v>
      </c>
      <c r="F122" s="26"/>
      <c r="G122" s="26" t="e">
        <f t="shared" si="57"/>
        <v>#REF!</v>
      </c>
      <c r="H122" s="26" t="e">
        <f t="shared" si="58"/>
        <v>#REF!</v>
      </c>
      <c r="I122" s="12" t="e">
        <f t="shared" si="59"/>
        <v>#REF!</v>
      </c>
      <c r="J122" s="26"/>
      <c r="K122" s="26" t="e">
        <f t="shared" si="60"/>
        <v>#REF!</v>
      </c>
      <c r="L122" s="26" t="e">
        <f t="shared" si="61"/>
        <v>#REF!</v>
      </c>
      <c r="M122" s="12" t="e">
        <f t="shared" si="62"/>
        <v>#REF!</v>
      </c>
      <c r="N122" s="12"/>
      <c r="O122" s="26" t="e">
        <f t="shared" si="63"/>
        <v>#REF!</v>
      </c>
      <c r="P122" s="26" t="e">
        <f t="shared" si="64"/>
        <v>#REF!</v>
      </c>
      <c r="Q122" s="12" t="e">
        <f t="shared" si="65"/>
        <v>#REF!</v>
      </c>
      <c r="R122" s="12"/>
      <c r="S122" s="26" t="e">
        <f t="shared" si="66"/>
        <v>#REF!</v>
      </c>
      <c r="T122" s="26" t="e">
        <f t="shared" si="67"/>
        <v>#REF!</v>
      </c>
      <c r="U122" s="12" t="e">
        <f t="shared" si="68"/>
        <v>#REF!</v>
      </c>
      <c r="V122" s="12"/>
      <c r="W122" s="44" t="e">
        <f t="shared" si="69"/>
        <v>#REF!</v>
      </c>
      <c r="X122" s="26" t="e">
        <f t="shared" si="70"/>
        <v>#REF!</v>
      </c>
      <c r="Y122" s="12" t="e">
        <f t="shared" si="71"/>
        <v>#REF!</v>
      </c>
    </row>
    <row r="123" spans="1:25" ht="16.5" customHeight="1">
      <c r="A123" s="16" t="s">
        <v>241</v>
      </c>
      <c r="B123" s="32" t="s">
        <v>242</v>
      </c>
      <c r="C123" s="26" t="e">
        <f t="shared" si="54"/>
        <v>#REF!</v>
      </c>
      <c r="D123" s="26" t="e">
        <f t="shared" si="55"/>
        <v>#REF!</v>
      </c>
      <c r="E123" s="12" t="e">
        <f t="shared" si="56"/>
        <v>#REF!</v>
      </c>
      <c r="F123" s="26"/>
      <c r="G123" s="26" t="e">
        <f t="shared" si="57"/>
        <v>#REF!</v>
      </c>
      <c r="H123" s="26" t="e">
        <f t="shared" si="58"/>
        <v>#REF!</v>
      </c>
      <c r="I123" s="12" t="e">
        <f t="shared" si="59"/>
        <v>#REF!</v>
      </c>
      <c r="J123" s="26"/>
      <c r="K123" s="26" t="e">
        <f t="shared" si="60"/>
        <v>#REF!</v>
      </c>
      <c r="L123" s="26" t="e">
        <f t="shared" si="61"/>
        <v>#REF!</v>
      </c>
      <c r="M123" s="12" t="e">
        <f t="shared" si="62"/>
        <v>#REF!</v>
      </c>
      <c r="N123" s="12"/>
      <c r="O123" s="26" t="e">
        <f t="shared" si="63"/>
        <v>#REF!</v>
      </c>
      <c r="P123" s="26" t="e">
        <f t="shared" si="64"/>
        <v>#REF!</v>
      </c>
      <c r="Q123" s="12" t="e">
        <f t="shared" si="65"/>
        <v>#REF!</v>
      </c>
      <c r="R123" s="12"/>
      <c r="S123" s="26" t="e">
        <f t="shared" si="66"/>
        <v>#REF!</v>
      </c>
      <c r="T123" s="26" t="e">
        <f t="shared" si="67"/>
        <v>#REF!</v>
      </c>
      <c r="U123" s="12" t="e">
        <f t="shared" si="68"/>
        <v>#REF!</v>
      </c>
      <c r="V123" s="12"/>
      <c r="W123" s="44" t="e">
        <f t="shared" si="69"/>
        <v>#REF!</v>
      </c>
      <c r="X123" s="26" t="e">
        <f t="shared" si="70"/>
        <v>#REF!</v>
      </c>
      <c r="Y123" s="12" t="e">
        <f t="shared" si="71"/>
        <v>#REF!</v>
      </c>
    </row>
    <row r="124" spans="1:25">
      <c r="C124" s="28" t="e">
        <f>SUM(C4:C123)</f>
        <v>#REF!</v>
      </c>
      <c r="D124" s="28"/>
      <c r="E124" s="28"/>
      <c r="F124" s="28"/>
      <c r="G124" s="28"/>
      <c r="H124" s="28"/>
      <c r="I124" s="28"/>
      <c r="J124" s="28"/>
      <c r="K124" s="28"/>
      <c r="L124" s="28"/>
    </row>
    <row r="125" spans="1:25">
      <c r="C125" s="28" t="e">
        <f>+C124/12</f>
        <v>#REF!</v>
      </c>
      <c r="D125" s="28"/>
      <c r="E125" s="28"/>
      <c r="F125" s="28"/>
      <c r="G125" s="28"/>
      <c r="H125" s="28"/>
      <c r="I125" s="28"/>
      <c r="J125" s="28"/>
      <c r="K125" s="28"/>
      <c r="L125" s="28"/>
    </row>
    <row r="126" spans="1:25" ht="12.75" customHeight="1">
      <c r="A126" s="1680" t="s">
        <v>747</v>
      </c>
      <c r="B126" s="1680"/>
      <c r="C126" s="1681"/>
      <c r="D126" s="19"/>
      <c r="E126" s="19"/>
      <c r="F126" s="19"/>
      <c r="G126" s="19"/>
      <c r="H126" s="19"/>
      <c r="I126" s="19"/>
      <c r="J126" s="19"/>
      <c r="K126" s="19"/>
      <c r="L126" s="19"/>
    </row>
    <row r="127" spans="1:25">
      <c r="A127" s="18" t="s">
        <v>748</v>
      </c>
    </row>
  </sheetData>
  <autoFilter ref="A3:Y127"/>
  <mergeCells count="8">
    <mergeCell ref="S2:U2"/>
    <mergeCell ref="O1:Y1"/>
    <mergeCell ref="A126:C126"/>
    <mergeCell ref="C2:E2"/>
    <mergeCell ref="G2:I2"/>
    <mergeCell ref="K2:M2"/>
    <mergeCell ref="C1:M1"/>
    <mergeCell ref="O2:Q2"/>
  </mergeCells>
  <conditionalFormatting sqref="Q4:R123 E4:E123">
    <cfRule type="cellIs" dxfId="5" priority="21" stopIfTrue="1" operator="greaterThan">
      <formula>"&gt;1"</formula>
    </cfRule>
  </conditionalFormatting>
  <conditionalFormatting sqref="Y4:Y123 M4:N123 U4:V123 Q4:R123 I4:I123 E4:E123">
    <cfRule type="cellIs" dxfId="4" priority="19" stopIfTrue="1" operator="greaterThan">
      <formula>1</formula>
    </cfRule>
  </conditionalFormatting>
  <pageMargins left="0.75" right="0.75" top="1" bottom="1" header="0.5" footer="0.5"/>
  <pageSetup orientation="portrait" r:id="rId1"/>
</worksheet>
</file>

<file path=xl/worksheets/sheet23.xml><?xml version="1.0" encoding="utf-8"?>
<worksheet xmlns="http://schemas.openxmlformats.org/spreadsheetml/2006/main" xmlns:r="http://schemas.openxmlformats.org/officeDocument/2006/relationships">
  <dimension ref="A1:Y127"/>
  <sheetViews>
    <sheetView zoomScaleNormal="106" zoomScaleSheetLayoutView="116" workbookViewId="0">
      <pane xSplit="2" ySplit="3" topLeftCell="C4" activePane="bottomRight" state="frozen"/>
      <selection pane="topRight" activeCell="C1" sqref="C1"/>
      <selection pane="bottomLeft" activeCell="A4" sqref="A4"/>
      <selection pane="bottomRight" activeCell="E3" sqref="E3"/>
    </sheetView>
  </sheetViews>
  <sheetFormatPr defaultRowHeight="12.75"/>
  <cols>
    <col min="1" max="1" width="12.25" style="18" customWidth="1"/>
    <col min="2" max="2" width="23.625" style="28" customWidth="1"/>
    <col min="3" max="4" width="9.875" style="18" customWidth="1"/>
    <col min="5" max="5" width="9.75" style="18" customWidth="1"/>
    <col min="6" max="6" width="2.25" style="18" customWidth="1"/>
    <col min="7" max="7" width="10.25" style="18" customWidth="1"/>
    <col min="8" max="8" width="9.875" style="18" customWidth="1"/>
    <col min="9" max="9" width="9.625" style="18" customWidth="1"/>
    <col min="10" max="10" width="2.625" style="18" customWidth="1"/>
    <col min="11" max="11" width="9.625" style="18" customWidth="1"/>
    <col min="12" max="12" width="9.75" style="18" customWidth="1"/>
    <col min="13" max="13" width="10" style="18" customWidth="1"/>
    <col min="14" max="14" width="2.625" style="40" customWidth="1"/>
    <col min="15" max="15" width="10" style="18" bestFit="1" customWidth="1"/>
    <col min="16" max="17" width="10" style="18" customWidth="1"/>
    <col min="18" max="18" width="3.5" style="18" customWidth="1"/>
    <col min="19" max="19" width="9.75" style="18" customWidth="1"/>
    <col min="20" max="20" width="10.25" style="18" customWidth="1"/>
    <col min="21" max="21" width="10.375" style="18" customWidth="1"/>
    <col min="22" max="22" width="2.625" style="18" customWidth="1"/>
    <col min="23" max="23" width="10.25" style="18" customWidth="1"/>
    <col min="24" max="24" width="10.5" style="18" customWidth="1"/>
    <col min="25" max="25" width="10.25" style="18" customWidth="1"/>
    <col min="26" max="16384" width="9" style="18"/>
  </cols>
  <sheetData>
    <row r="1" spans="1:25" ht="15.75">
      <c r="C1" s="1683" t="s">
        <v>752</v>
      </c>
      <c r="D1" s="1683"/>
      <c r="E1" s="1683"/>
      <c r="F1" s="1683"/>
      <c r="G1" s="1683"/>
      <c r="H1" s="1683"/>
      <c r="I1" s="1683"/>
      <c r="J1" s="1683"/>
      <c r="K1" s="1683"/>
      <c r="L1" s="1683"/>
      <c r="M1" s="1683"/>
      <c r="N1" s="37"/>
      <c r="O1" s="1679" t="s">
        <v>753</v>
      </c>
      <c r="P1" s="1679"/>
      <c r="Q1" s="1679"/>
      <c r="R1" s="1679"/>
      <c r="S1" s="1679"/>
      <c r="T1" s="1679"/>
      <c r="U1" s="1679"/>
      <c r="V1" s="1679"/>
      <c r="W1" s="1679"/>
      <c r="X1" s="1679"/>
      <c r="Y1" s="1679"/>
    </row>
    <row r="2" spans="1:25">
      <c r="C2" s="1684" t="s">
        <v>2</v>
      </c>
      <c r="D2" s="1684"/>
      <c r="E2" s="1684"/>
      <c r="F2" s="33"/>
      <c r="G2" s="1684" t="s">
        <v>608</v>
      </c>
      <c r="H2" s="1684"/>
      <c r="I2" s="1684"/>
      <c r="J2" s="24"/>
      <c r="K2" s="1684" t="s">
        <v>611</v>
      </c>
      <c r="L2" s="1684"/>
      <c r="M2" s="1684"/>
      <c r="N2" s="24"/>
      <c r="O2" s="1684" t="s">
        <v>2</v>
      </c>
      <c r="P2" s="1684"/>
      <c r="Q2" s="1684"/>
      <c r="R2" s="24"/>
      <c r="S2" s="1684" t="s">
        <v>608</v>
      </c>
      <c r="T2" s="1684"/>
      <c r="U2" s="1684"/>
      <c r="V2" s="24"/>
      <c r="W2" s="1684" t="s">
        <v>611</v>
      </c>
      <c r="X2" s="1684"/>
      <c r="Y2" s="1684"/>
    </row>
    <row r="3" spans="1:25" s="21" customFormat="1" ht="71.25" customHeight="1">
      <c r="A3" s="20" t="s">
        <v>315</v>
      </c>
      <c r="B3" s="31" t="s">
        <v>316</v>
      </c>
      <c r="C3" s="23" t="s">
        <v>756</v>
      </c>
      <c r="D3" s="23" t="s">
        <v>757</v>
      </c>
      <c r="E3" s="34" t="s">
        <v>758</v>
      </c>
      <c r="F3" s="38"/>
      <c r="G3" s="35" t="s">
        <v>756</v>
      </c>
      <c r="H3" s="23" t="s">
        <v>757</v>
      </c>
      <c r="I3" s="34" t="s">
        <v>758</v>
      </c>
      <c r="J3" s="38"/>
      <c r="K3" s="35" t="s">
        <v>756</v>
      </c>
      <c r="L3" s="23" t="s">
        <v>757</v>
      </c>
      <c r="M3" s="34" t="s">
        <v>758</v>
      </c>
      <c r="N3" s="38"/>
      <c r="O3" s="23" t="s">
        <v>756</v>
      </c>
      <c r="P3" s="23" t="s">
        <v>757</v>
      </c>
      <c r="Q3" s="34" t="s">
        <v>758</v>
      </c>
      <c r="R3" s="41"/>
      <c r="S3" s="23" t="s">
        <v>756</v>
      </c>
      <c r="T3" s="23" t="s">
        <v>757</v>
      </c>
      <c r="U3" s="34" t="s">
        <v>758</v>
      </c>
      <c r="V3" s="38"/>
      <c r="W3" s="23" t="s">
        <v>756</v>
      </c>
      <c r="X3" s="23" t="s">
        <v>757</v>
      </c>
      <c r="Y3" s="34" t="s">
        <v>758</v>
      </c>
    </row>
    <row r="4" spans="1:25" ht="16.5" customHeight="1">
      <c r="A4" s="16" t="s">
        <v>10</v>
      </c>
      <c r="B4" s="17" t="s">
        <v>11</v>
      </c>
      <c r="C4" s="25">
        <f t="shared" ref="C4:C35" si="0">VLOOKUP(A4,SNAP_Demo,10,FALSE)</f>
        <v>2424</v>
      </c>
      <c r="D4" s="25" t="e">
        <f t="shared" ref="D4:D35" si="1">VLOOKUP(A4,Pop,14,FALSE)</f>
        <v>#REF!</v>
      </c>
      <c r="E4" s="27" t="e">
        <f t="shared" ref="E4:E35" si="2">+C4/D4</f>
        <v>#REF!</v>
      </c>
      <c r="F4" s="27"/>
      <c r="G4" s="25">
        <f t="shared" ref="G4:G35" si="3">VLOOKUP(A4,SNAP_Demo,11,FALSE)</f>
        <v>190</v>
      </c>
      <c r="H4" s="25" t="e">
        <f t="shared" ref="H4:H35" si="4">VLOOKUP(A4,Pop,15,FALSE)</f>
        <v>#REF!</v>
      </c>
      <c r="I4" s="27" t="e">
        <f t="shared" ref="I4:I35" si="5">+G4/H4</f>
        <v>#REF!</v>
      </c>
      <c r="J4" s="27"/>
      <c r="K4" s="25">
        <f t="shared" ref="K4:K35" si="6">VLOOKUP(A4,SNAP_Demo,12,FALSE)</f>
        <v>488</v>
      </c>
      <c r="L4" s="25" t="e">
        <f t="shared" ref="L4:L35" si="7">VLOOKUP(A4,Pop,16,FALSE)</f>
        <v>#REF!</v>
      </c>
      <c r="M4" s="27" t="e">
        <f t="shared" ref="M4:M35" si="8">+K4/L4</f>
        <v>#REF!</v>
      </c>
      <c r="N4" s="39"/>
      <c r="O4" s="36" t="str">
        <f t="shared" ref="O4:O35" si="9">VLOOKUP(A4,SNAP_Demo,3,FALSE)</f>
        <v>Eastern</v>
      </c>
      <c r="P4" s="26" t="e">
        <f t="shared" ref="P4:P35" si="10">VLOOKUP(A4,Pop,8,FALSE)</f>
        <v>#REF!</v>
      </c>
      <c r="Q4" s="27" t="e">
        <f t="shared" ref="Q4:Q35" si="11">+O4/P4</f>
        <v>#VALUE!</v>
      </c>
      <c r="R4" s="27"/>
      <c r="S4" s="26">
        <f t="shared" ref="S4:S35" si="12">VLOOKUP(A4,SNAP_Demo,4,FALSE)</f>
        <v>4153</v>
      </c>
      <c r="T4" s="26" t="e">
        <f t="shared" ref="T4:T35" si="13">VLOOKUP(A4,Pop,9,FALSE)</f>
        <v>#REF!</v>
      </c>
      <c r="U4" s="27" t="e">
        <f t="shared" ref="U4:U35" si="14">+S4/T4</f>
        <v>#REF!</v>
      </c>
      <c r="V4" s="27"/>
      <c r="W4" s="26">
        <f t="shared" ref="W4:W35" si="15">VLOOKUP(A4,SNAP_Demo,5,FALSE)</f>
        <v>2121</v>
      </c>
      <c r="X4" s="26" t="e">
        <f t="shared" ref="X4:X35" si="16">VLOOKUP(A4,Pop,10,FALSE)</f>
        <v>#REF!</v>
      </c>
      <c r="Y4" s="27" t="e">
        <f t="shared" ref="Y4:Y35" si="17">+W4/X4</f>
        <v>#REF!</v>
      </c>
    </row>
    <row r="5" spans="1:25" ht="16.5" customHeight="1">
      <c r="A5" s="16" t="s">
        <v>12</v>
      </c>
      <c r="B5" s="17" t="s">
        <v>13</v>
      </c>
      <c r="C5" s="25">
        <f t="shared" si="0"/>
        <v>1519</v>
      </c>
      <c r="D5" s="25" t="e">
        <f t="shared" si="1"/>
        <v>#REF!</v>
      </c>
      <c r="E5" s="27" t="e">
        <f t="shared" si="2"/>
        <v>#REF!</v>
      </c>
      <c r="F5" s="27"/>
      <c r="G5" s="25">
        <f t="shared" si="3"/>
        <v>1276</v>
      </c>
      <c r="H5" s="25" t="e">
        <f t="shared" si="4"/>
        <v>#REF!</v>
      </c>
      <c r="I5" s="27" t="e">
        <f t="shared" si="5"/>
        <v>#REF!</v>
      </c>
      <c r="J5" s="27"/>
      <c r="K5" s="25">
        <f t="shared" si="6"/>
        <v>432</v>
      </c>
      <c r="L5" s="25" t="e">
        <f t="shared" si="7"/>
        <v>#REF!</v>
      </c>
      <c r="M5" s="27" t="e">
        <f t="shared" si="8"/>
        <v>#REF!</v>
      </c>
      <c r="N5" s="39"/>
      <c r="O5" s="36" t="str">
        <f t="shared" si="9"/>
        <v>Piedmont</v>
      </c>
      <c r="P5" s="26" t="e">
        <f t="shared" si="10"/>
        <v>#REF!</v>
      </c>
      <c r="Q5" s="27" t="e">
        <f t="shared" si="11"/>
        <v>#VALUE!</v>
      </c>
      <c r="R5" s="27"/>
      <c r="S5" s="26">
        <f t="shared" si="12"/>
        <v>4301</v>
      </c>
      <c r="T5" s="26" t="e">
        <f t="shared" si="13"/>
        <v>#REF!</v>
      </c>
      <c r="U5" s="27" t="e">
        <f t="shared" si="14"/>
        <v>#REF!</v>
      </c>
      <c r="V5" s="27"/>
      <c r="W5" s="26">
        <f t="shared" si="15"/>
        <v>1949</v>
      </c>
      <c r="X5" s="26" t="e">
        <f t="shared" si="16"/>
        <v>#REF!</v>
      </c>
      <c r="Y5" s="27" t="e">
        <f t="shared" si="17"/>
        <v>#REF!</v>
      </c>
    </row>
    <row r="6" spans="1:25" ht="16.5" customHeight="1">
      <c r="A6" s="16" t="s">
        <v>16</v>
      </c>
      <c r="B6" s="17" t="s">
        <v>307</v>
      </c>
      <c r="C6" s="25">
        <f t="shared" si="0"/>
        <v>314</v>
      </c>
      <c r="D6" s="25" t="e">
        <f t="shared" si="1"/>
        <v>#REF!</v>
      </c>
      <c r="E6" s="27" t="e">
        <f t="shared" si="2"/>
        <v>#REF!</v>
      </c>
      <c r="F6" s="27"/>
      <c r="G6" s="25">
        <f t="shared" si="3"/>
        <v>113</v>
      </c>
      <c r="H6" s="25" t="e">
        <f t="shared" si="4"/>
        <v>#REF!</v>
      </c>
      <c r="I6" s="27" t="e">
        <f t="shared" si="5"/>
        <v>#REF!</v>
      </c>
      <c r="J6" s="27"/>
      <c r="K6" s="25">
        <f t="shared" si="6"/>
        <v>254</v>
      </c>
      <c r="L6" s="25" t="e">
        <f t="shared" si="7"/>
        <v>#REF!</v>
      </c>
      <c r="M6" s="27" t="e">
        <f t="shared" si="8"/>
        <v>#REF!</v>
      </c>
      <c r="N6" s="39"/>
      <c r="O6" s="36" t="str">
        <f t="shared" si="9"/>
        <v>Piedmont</v>
      </c>
      <c r="P6" s="26" t="e">
        <f t="shared" si="10"/>
        <v>#REF!</v>
      </c>
      <c r="Q6" s="27" t="e">
        <f t="shared" si="11"/>
        <v>#VALUE!</v>
      </c>
      <c r="R6" s="27"/>
      <c r="S6" s="26">
        <f t="shared" si="12"/>
        <v>2096</v>
      </c>
      <c r="T6" s="26" t="e">
        <f t="shared" si="13"/>
        <v>#REF!</v>
      </c>
      <c r="U6" s="27" t="e">
        <f t="shared" si="14"/>
        <v>#REF!</v>
      </c>
      <c r="V6" s="27"/>
      <c r="W6" s="26">
        <f t="shared" si="15"/>
        <v>1615</v>
      </c>
      <c r="X6" s="26" t="e">
        <f t="shared" si="16"/>
        <v>#REF!</v>
      </c>
      <c r="Y6" s="27" t="e">
        <f t="shared" si="17"/>
        <v>#REF!</v>
      </c>
    </row>
    <row r="7" spans="1:25" ht="16.5" customHeight="1">
      <c r="A7" s="16" t="s">
        <v>18</v>
      </c>
      <c r="B7" s="17" t="s">
        <v>19</v>
      </c>
      <c r="C7" s="25">
        <f t="shared" si="0"/>
        <v>573</v>
      </c>
      <c r="D7" s="25" t="e">
        <f t="shared" si="1"/>
        <v>#REF!</v>
      </c>
      <c r="E7" s="27" t="e">
        <f t="shared" si="2"/>
        <v>#REF!</v>
      </c>
      <c r="F7" s="27"/>
      <c r="G7" s="25">
        <f t="shared" si="3"/>
        <v>68</v>
      </c>
      <c r="H7" s="25" t="e">
        <f t="shared" si="4"/>
        <v>#REF!</v>
      </c>
      <c r="I7" s="27" t="e">
        <f t="shared" si="5"/>
        <v>#REF!</v>
      </c>
      <c r="J7" s="27"/>
      <c r="K7" s="25">
        <f t="shared" si="6"/>
        <v>171</v>
      </c>
      <c r="L7" s="25" t="e">
        <f t="shared" si="7"/>
        <v>#REF!</v>
      </c>
      <c r="M7" s="27" t="e">
        <f t="shared" si="8"/>
        <v>#REF!</v>
      </c>
      <c r="N7" s="39"/>
      <c r="O7" s="36" t="str">
        <f t="shared" si="9"/>
        <v>Central</v>
      </c>
      <c r="P7" s="26" t="e">
        <f t="shared" si="10"/>
        <v>#REF!</v>
      </c>
      <c r="Q7" s="27" t="e">
        <f t="shared" si="11"/>
        <v>#VALUE!</v>
      </c>
      <c r="R7" s="27"/>
      <c r="S7" s="26">
        <f t="shared" si="12"/>
        <v>1182</v>
      </c>
      <c r="T7" s="26" t="e">
        <f t="shared" si="13"/>
        <v>#REF!</v>
      </c>
      <c r="U7" s="27" t="e">
        <f t="shared" si="14"/>
        <v>#REF!</v>
      </c>
      <c r="V7" s="27"/>
      <c r="W7" s="26">
        <f t="shared" si="15"/>
        <v>726</v>
      </c>
      <c r="X7" s="26" t="e">
        <f t="shared" si="16"/>
        <v>#REF!</v>
      </c>
      <c r="Y7" s="27" t="e">
        <f t="shared" si="17"/>
        <v>#REF!</v>
      </c>
    </row>
    <row r="8" spans="1:25" ht="16.5" customHeight="1">
      <c r="A8" s="16" t="s">
        <v>20</v>
      </c>
      <c r="B8" s="17" t="s">
        <v>21</v>
      </c>
      <c r="C8" s="25">
        <f t="shared" si="0"/>
        <v>928</v>
      </c>
      <c r="D8" s="25" t="e">
        <f t="shared" si="1"/>
        <v>#REF!</v>
      </c>
      <c r="E8" s="27" t="e">
        <f t="shared" si="2"/>
        <v>#REF!</v>
      </c>
      <c r="F8" s="27"/>
      <c r="G8" s="25">
        <f t="shared" si="3"/>
        <v>319</v>
      </c>
      <c r="H8" s="25" t="e">
        <f t="shared" si="4"/>
        <v>#REF!</v>
      </c>
      <c r="I8" s="27" t="e">
        <f t="shared" si="5"/>
        <v>#REF!</v>
      </c>
      <c r="J8" s="27"/>
      <c r="K8" s="25">
        <f t="shared" si="6"/>
        <v>314</v>
      </c>
      <c r="L8" s="25" t="e">
        <f t="shared" si="7"/>
        <v>#REF!</v>
      </c>
      <c r="M8" s="27" t="e">
        <f t="shared" si="8"/>
        <v>#REF!</v>
      </c>
      <c r="N8" s="39"/>
      <c r="O8" s="36" t="str">
        <f t="shared" si="9"/>
        <v>Piedmont</v>
      </c>
      <c r="P8" s="26" t="e">
        <f t="shared" si="10"/>
        <v>#REF!</v>
      </c>
      <c r="Q8" s="27" t="e">
        <f t="shared" si="11"/>
        <v>#VALUE!</v>
      </c>
      <c r="R8" s="27"/>
      <c r="S8" s="26">
        <f t="shared" si="12"/>
        <v>2374</v>
      </c>
      <c r="T8" s="26" t="e">
        <f t="shared" si="13"/>
        <v>#REF!</v>
      </c>
      <c r="U8" s="27" t="e">
        <f t="shared" si="14"/>
        <v>#REF!</v>
      </c>
      <c r="V8" s="27"/>
      <c r="W8" s="26">
        <f t="shared" si="15"/>
        <v>1398</v>
      </c>
      <c r="X8" s="26" t="e">
        <f t="shared" si="16"/>
        <v>#REF!</v>
      </c>
      <c r="Y8" s="27" t="e">
        <f t="shared" si="17"/>
        <v>#REF!</v>
      </c>
    </row>
    <row r="9" spans="1:25" ht="16.5" customHeight="1">
      <c r="A9" s="16" t="s">
        <v>22</v>
      </c>
      <c r="B9" s="17" t="s">
        <v>23</v>
      </c>
      <c r="C9" s="25">
        <f t="shared" si="0"/>
        <v>767</v>
      </c>
      <c r="D9" s="25" t="e">
        <f t="shared" si="1"/>
        <v>#REF!</v>
      </c>
      <c r="E9" s="27" t="e">
        <f t="shared" si="2"/>
        <v>#REF!</v>
      </c>
      <c r="F9" s="27"/>
      <c r="G9" s="25">
        <f t="shared" si="3"/>
        <v>28</v>
      </c>
      <c r="H9" s="25" t="e">
        <f t="shared" si="4"/>
        <v>#REF!</v>
      </c>
      <c r="I9" s="27" t="e">
        <f t="shared" si="5"/>
        <v>#REF!</v>
      </c>
      <c r="J9" s="27"/>
      <c r="K9" s="25">
        <f t="shared" si="6"/>
        <v>177</v>
      </c>
      <c r="L9" s="25" t="e">
        <f t="shared" si="7"/>
        <v>#REF!</v>
      </c>
      <c r="M9" s="27" t="e">
        <f t="shared" si="8"/>
        <v>#REF!</v>
      </c>
      <c r="N9" s="39"/>
      <c r="O9" s="36" t="str">
        <f t="shared" si="9"/>
        <v>Piedmont</v>
      </c>
      <c r="P9" s="26" t="e">
        <f t="shared" si="10"/>
        <v>#REF!</v>
      </c>
      <c r="Q9" s="27" t="e">
        <f t="shared" si="11"/>
        <v>#VALUE!</v>
      </c>
      <c r="R9" s="27"/>
      <c r="S9" s="26">
        <f t="shared" si="12"/>
        <v>1392</v>
      </c>
      <c r="T9" s="26" t="e">
        <f t="shared" si="13"/>
        <v>#REF!</v>
      </c>
      <c r="U9" s="27" t="e">
        <f t="shared" si="14"/>
        <v>#REF!</v>
      </c>
      <c r="V9" s="27"/>
      <c r="W9" s="26">
        <f t="shared" si="15"/>
        <v>818</v>
      </c>
      <c r="X9" s="26" t="e">
        <f t="shared" si="16"/>
        <v>#REF!</v>
      </c>
      <c r="Y9" s="27" t="e">
        <f t="shared" si="17"/>
        <v>#REF!</v>
      </c>
    </row>
    <row r="10" spans="1:25" ht="16.5" customHeight="1">
      <c r="A10" s="16" t="s">
        <v>24</v>
      </c>
      <c r="B10" s="17" t="s">
        <v>25</v>
      </c>
      <c r="C10" s="25">
        <f t="shared" si="0"/>
        <v>2017</v>
      </c>
      <c r="D10" s="25" t="e">
        <f t="shared" si="1"/>
        <v>#REF!</v>
      </c>
      <c r="E10" s="27" t="e">
        <f t="shared" si="2"/>
        <v>#REF!</v>
      </c>
      <c r="F10" s="27"/>
      <c r="G10" s="25">
        <f t="shared" si="3"/>
        <v>1680</v>
      </c>
      <c r="H10" s="25" t="e">
        <f t="shared" si="4"/>
        <v>#REF!</v>
      </c>
      <c r="I10" s="27" t="e">
        <f t="shared" si="5"/>
        <v>#REF!</v>
      </c>
      <c r="J10" s="27"/>
      <c r="K10" s="25">
        <f t="shared" si="6"/>
        <v>1385</v>
      </c>
      <c r="L10" s="25" t="e">
        <f t="shared" si="7"/>
        <v>#REF!</v>
      </c>
      <c r="M10" s="27" t="e">
        <f t="shared" si="8"/>
        <v>#REF!</v>
      </c>
      <c r="N10" s="39"/>
      <c r="O10" s="36" t="str">
        <f t="shared" si="9"/>
        <v>Northern</v>
      </c>
      <c r="P10" s="26" t="e">
        <f t="shared" si="10"/>
        <v>#REF!</v>
      </c>
      <c r="Q10" s="27" t="e">
        <f t="shared" si="11"/>
        <v>#VALUE!</v>
      </c>
      <c r="R10" s="27"/>
      <c r="S10" s="26">
        <f t="shared" si="12"/>
        <v>4776</v>
      </c>
      <c r="T10" s="26" t="e">
        <f t="shared" si="13"/>
        <v>#REF!</v>
      </c>
      <c r="U10" s="27" t="e">
        <f t="shared" si="14"/>
        <v>#REF!</v>
      </c>
      <c r="V10" s="27"/>
      <c r="W10" s="26">
        <f t="shared" si="15"/>
        <v>2409</v>
      </c>
      <c r="X10" s="26" t="e">
        <f t="shared" si="16"/>
        <v>#REF!</v>
      </c>
      <c r="Y10" s="27" t="e">
        <f t="shared" si="17"/>
        <v>#REF!</v>
      </c>
    </row>
    <row r="11" spans="1:25" ht="16.5" customHeight="1">
      <c r="A11" s="16" t="s">
        <v>26</v>
      </c>
      <c r="B11" s="17" t="s">
        <v>308</v>
      </c>
      <c r="C11" s="25">
        <f t="shared" si="0"/>
        <v>1838</v>
      </c>
      <c r="D11" s="25" t="e">
        <f t="shared" si="1"/>
        <v>#REF!</v>
      </c>
      <c r="E11" s="27" t="e">
        <f t="shared" si="2"/>
        <v>#REF!</v>
      </c>
      <c r="F11" s="27"/>
      <c r="G11" s="25">
        <f t="shared" si="3"/>
        <v>1318</v>
      </c>
      <c r="H11" s="25" t="e">
        <f t="shared" si="4"/>
        <v>#REF!</v>
      </c>
      <c r="I11" s="27" t="e">
        <f t="shared" si="5"/>
        <v>#REF!</v>
      </c>
      <c r="J11" s="27"/>
      <c r="K11" s="25">
        <f t="shared" si="6"/>
        <v>911</v>
      </c>
      <c r="L11" s="25" t="e">
        <f t="shared" si="7"/>
        <v>#REF!</v>
      </c>
      <c r="M11" s="27" t="e">
        <f t="shared" si="8"/>
        <v>#REF!</v>
      </c>
      <c r="N11" s="39"/>
      <c r="O11" s="36" t="str">
        <f t="shared" si="9"/>
        <v>Piedmont</v>
      </c>
      <c r="P11" s="26" t="e">
        <f t="shared" si="10"/>
        <v>#REF!</v>
      </c>
      <c r="Q11" s="27" t="e">
        <f t="shared" si="11"/>
        <v>#VALUE!</v>
      </c>
      <c r="R11" s="27"/>
      <c r="S11" s="26">
        <f t="shared" si="12"/>
        <v>9098</v>
      </c>
      <c r="T11" s="26" t="e">
        <f t="shared" si="13"/>
        <v>#REF!</v>
      </c>
      <c r="U11" s="27" t="e">
        <f t="shared" si="14"/>
        <v>#REF!</v>
      </c>
      <c r="V11" s="27"/>
      <c r="W11" s="26">
        <f t="shared" si="15"/>
        <v>6569</v>
      </c>
      <c r="X11" s="26" t="e">
        <f t="shared" si="16"/>
        <v>#REF!</v>
      </c>
      <c r="Y11" s="27" t="e">
        <f t="shared" si="17"/>
        <v>#REF!</v>
      </c>
    </row>
    <row r="12" spans="1:25" ht="16.5" customHeight="1">
      <c r="A12" s="16" t="s">
        <v>27</v>
      </c>
      <c r="B12" s="17" t="s">
        <v>28</v>
      </c>
      <c r="C12" s="25">
        <f t="shared" si="0"/>
        <v>22</v>
      </c>
      <c r="D12" s="25" t="e">
        <f t="shared" si="1"/>
        <v>#REF!</v>
      </c>
      <c r="E12" s="27" t="e">
        <f t="shared" si="2"/>
        <v>#REF!</v>
      </c>
      <c r="F12" s="27"/>
      <c r="G12" s="25">
        <f t="shared" si="3"/>
        <v>10</v>
      </c>
      <c r="H12" s="25" t="e">
        <f t="shared" si="4"/>
        <v>#REF!</v>
      </c>
      <c r="I12" s="27" t="e">
        <f t="shared" si="5"/>
        <v>#REF!</v>
      </c>
      <c r="J12" s="27"/>
      <c r="K12" s="25">
        <f t="shared" si="6"/>
        <v>63</v>
      </c>
      <c r="L12" s="25" t="e">
        <f t="shared" si="7"/>
        <v>#REF!</v>
      </c>
      <c r="M12" s="27" t="e">
        <f t="shared" si="8"/>
        <v>#REF!</v>
      </c>
      <c r="N12" s="39"/>
      <c r="O12" s="36" t="str">
        <f t="shared" si="9"/>
        <v>Piedmont</v>
      </c>
      <c r="P12" s="26" t="e">
        <f t="shared" si="10"/>
        <v>#REF!</v>
      </c>
      <c r="Q12" s="27" t="e">
        <f t="shared" si="11"/>
        <v>#VALUE!</v>
      </c>
      <c r="R12" s="27"/>
      <c r="S12" s="26">
        <f t="shared" si="12"/>
        <v>245</v>
      </c>
      <c r="T12" s="26" t="e">
        <f t="shared" si="13"/>
        <v>#REF!</v>
      </c>
      <c r="U12" s="27" t="e">
        <f t="shared" si="14"/>
        <v>#REF!</v>
      </c>
      <c r="V12" s="27"/>
      <c r="W12" s="26">
        <f t="shared" si="15"/>
        <v>217</v>
      </c>
      <c r="X12" s="26" t="e">
        <f t="shared" si="16"/>
        <v>#REF!</v>
      </c>
      <c r="Y12" s="27" t="e">
        <f t="shared" si="17"/>
        <v>#REF!</v>
      </c>
    </row>
    <row r="13" spans="1:25" ht="16.5" customHeight="1">
      <c r="A13" s="16" t="s">
        <v>29</v>
      </c>
      <c r="B13" s="17" t="s">
        <v>329</v>
      </c>
      <c r="C13" s="25">
        <f t="shared" si="0"/>
        <v>908</v>
      </c>
      <c r="D13" s="25" t="e">
        <f t="shared" si="1"/>
        <v>#REF!</v>
      </c>
      <c r="E13" s="27" t="e">
        <f t="shared" si="2"/>
        <v>#REF!</v>
      </c>
      <c r="F13" s="27"/>
      <c r="G13" s="25">
        <f t="shared" si="3"/>
        <v>614</v>
      </c>
      <c r="H13" s="25" t="e">
        <f t="shared" si="4"/>
        <v>#REF!</v>
      </c>
      <c r="I13" s="27" t="e">
        <f t="shared" si="5"/>
        <v>#REF!</v>
      </c>
      <c r="J13" s="27"/>
      <c r="K13" s="25">
        <f t="shared" si="6"/>
        <v>424</v>
      </c>
      <c r="L13" s="25" t="e">
        <f t="shared" si="7"/>
        <v>#REF!</v>
      </c>
      <c r="M13" s="27" t="e">
        <f t="shared" si="8"/>
        <v>#REF!</v>
      </c>
      <c r="N13" s="39"/>
      <c r="O13" s="36" t="str">
        <f t="shared" si="9"/>
        <v>Piedmont</v>
      </c>
      <c r="P13" s="26" t="e">
        <f t="shared" si="10"/>
        <v>#REF!</v>
      </c>
      <c r="Q13" s="27" t="e">
        <f t="shared" si="11"/>
        <v>#VALUE!</v>
      </c>
      <c r="R13" s="27"/>
      <c r="S13" s="26">
        <f t="shared" si="12"/>
        <v>4196</v>
      </c>
      <c r="T13" s="26" t="e">
        <f t="shared" si="13"/>
        <v>#REF!</v>
      </c>
      <c r="U13" s="27" t="e">
        <f t="shared" si="14"/>
        <v>#REF!</v>
      </c>
      <c r="V13" s="27"/>
      <c r="W13" s="26">
        <f t="shared" si="15"/>
        <v>3145</v>
      </c>
      <c r="X13" s="26" t="e">
        <f t="shared" si="16"/>
        <v>#REF!</v>
      </c>
      <c r="Y13" s="27" t="e">
        <f t="shared" si="17"/>
        <v>#REF!</v>
      </c>
    </row>
    <row r="14" spans="1:25" ht="16.5" customHeight="1">
      <c r="A14" s="16" t="s">
        <v>31</v>
      </c>
      <c r="B14" s="32" t="s">
        <v>32</v>
      </c>
      <c r="C14" s="25">
        <f t="shared" si="0"/>
        <v>6</v>
      </c>
      <c r="D14" s="25" t="e">
        <f t="shared" si="1"/>
        <v>#REF!</v>
      </c>
      <c r="E14" s="27" t="e">
        <f t="shared" si="2"/>
        <v>#REF!</v>
      </c>
      <c r="F14" s="27"/>
      <c r="G14" s="25">
        <f t="shared" si="3"/>
        <v>71</v>
      </c>
      <c r="H14" s="25" t="e">
        <f t="shared" si="4"/>
        <v>#REF!</v>
      </c>
      <c r="I14" s="27" t="e">
        <f t="shared" si="5"/>
        <v>#REF!</v>
      </c>
      <c r="J14" s="27"/>
      <c r="K14" s="25">
        <f t="shared" si="6"/>
        <v>65</v>
      </c>
      <c r="L14" s="25" t="e">
        <f t="shared" si="7"/>
        <v>#REF!</v>
      </c>
      <c r="M14" s="27" t="e">
        <f t="shared" si="8"/>
        <v>#REF!</v>
      </c>
      <c r="N14" s="39"/>
      <c r="O14" s="36" t="str">
        <f t="shared" si="9"/>
        <v>Western</v>
      </c>
      <c r="P14" s="26" t="e">
        <f t="shared" si="10"/>
        <v>#REF!</v>
      </c>
      <c r="Q14" s="27" t="e">
        <f t="shared" si="11"/>
        <v>#VALUE!</v>
      </c>
      <c r="R14" s="27"/>
      <c r="S14" s="26">
        <f t="shared" si="12"/>
        <v>330</v>
      </c>
      <c r="T14" s="26" t="e">
        <f t="shared" si="13"/>
        <v>#REF!</v>
      </c>
      <c r="U14" s="27" t="e">
        <f t="shared" si="14"/>
        <v>#REF!</v>
      </c>
      <c r="V14" s="27"/>
      <c r="W14" s="26">
        <f t="shared" si="15"/>
        <v>287</v>
      </c>
      <c r="X14" s="26" t="e">
        <f t="shared" si="16"/>
        <v>#REF!</v>
      </c>
      <c r="Y14" s="27" t="e">
        <f t="shared" si="17"/>
        <v>#REF!</v>
      </c>
    </row>
    <row r="15" spans="1:25" ht="16.5" customHeight="1">
      <c r="A15" s="16" t="s">
        <v>33</v>
      </c>
      <c r="B15" s="17" t="s">
        <v>34</v>
      </c>
      <c r="C15" s="25">
        <f t="shared" si="0"/>
        <v>63</v>
      </c>
      <c r="D15" s="25" t="e">
        <f t="shared" si="1"/>
        <v>#REF!</v>
      </c>
      <c r="E15" s="27" t="e">
        <f t="shared" si="2"/>
        <v>#REF!</v>
      </c>
      <c r="F15" s="27"/>
      <c r="G15" s="25">
        <f t="shared" si="3"/>
        <v>119</v>
      </c>
      <c r="H15" s="25" t="e">
        <f t="shared" si="4"/>
        <v>#REF!</v>
      </c>
      <c r="I15" s="27" t="e">
        <f t="shared" si="5"/>
        <v>#REF!</v>
      </c>
      <c r="J15" s="27"/>
      <c r="K15" s="25">
        <f t="shared" si="6"/>
        <v>125</v>
      </c>
      <c r="L15" s="25" t="e">
        <f t="shared" si="7"/>
        <v>#REF!</v>
      </c>
      <c r="M15" s="27" t="e">
        <f t="shared" si="8"/>
        <v>#REF!</v>
      </c>
      <c r="N15" s="39"/>
      <c r="O15" s="36" t="str">
        <f t="shared" si="9"/>
        <v>Piedmont</v>
      </c>
      <c r="P15" s="26" t="e">
        <f t="shared" si="10"/>
        <v>#REF!</v>
      </c>
      <c r="Q15" s="27" t="e">
        <f t="shared" si="11"/>
        <v>#VALUE!</v>
      </c>
      <c r="R15" s="27"/>
      <c r="S15" s="26">
        <f t="shared" si="12"/>
        <v>1086</v>
      </c>
      <c r="T15" s="26" t="e">
        <f t="shared" si="13"/>
        <v>#REF!</v>
      </c>
      <c r="U15" s="27" t="e">
        <f t="shared" si="14"/>
        <v>#REF!</v>
      </c>
      <c r="V15" s="27"/>
      <c r="W15" s="26">
        <f t="shared" si="15"/>
        <v>909</v>
      </c>
      <c r="X15" s="26" t="e">
        <f t="shared" si="16"/>
        <v>#REF!</v>
      </c>
      <c r="Y15" s="27" t="e">
        <f t="shared" si="17"/>
        <v>#REF!</v>
      </c>
    </row>
    <row r="16" spans="1:25" ht="16.5" customHeight="1">
      <c r="A16" s="16" t="s">
        <v>37</v>
      </c>
      <c r="B16" s="17" t="s">
        <v>38</v>
      </c>
      <c r="C16" s="25">
        <f t="shared" si="0"/>
        <v>2087</v>
      </c>
      <c r="D16" s="25" t="e">
        <f t="shared" si="1"/>
        <v>#REF!</v>
      </c>
      <c r="E16" s="27" t="e">
        <f t="shared" si="2"/>
        <v>#REF!</v>
      </c>
      <c r="F16" s="27"/>
      <c r="G16" s="25">
        <f t="shared" si="3"/>
        <v>87</v>
      </c>
      <c r="H16" s="25" t="e">
        <f t="shared" si="4"/>
        <v>#REF!</v>
      </c>
      <c r="I16" s="27" t="e">
        <f t="shared" si="5"/>
        <v>#REF!</v>
      </c>
      <c r="J16" s="27"/>
      <c r="K16" s="25">
        <f t="shared" si="6"/>
        <v>419</v>
      </c>
      <c r="L16" s="25" t="e">
        <f t="shared" si="7"/>
        <v>#REF!</v>
      </c>
      <c r="M16" s="27" t="e">
        <f t="shared" si="8"/>
        <v>#REF!</v>
      </c>
      <c r="N16" s="39"/>
      <c r="O16" s="36" t="str">
        <f t="shared" si="9"/>
        <v>Eastern</v>
      </c>
      <c r="P16" s="26" t="e">
        <f t="shared" si="10"/>
        <v>#REF!</v>
      </c>
      <c r="Q16" s="27" t="e">
        <f t="shared" si="11"/>
        <v>#VALUE!</v>
      </c>
      <c r="R16" s="27"/>
      <c r="S16" s="26">
        <f t="shared" si="12"/>
        <v>1913</v>
      </c>
      <c r="T16" s="26" t="e">
        <f t="shared" si="13"/>
        <v>#REF!</v>
      </c>
      <c r="U16" s="27" t="e">
        <f t="shared" si="14"/>
        <v>#REF!</v>
      </c>
      <c r="V16" s="27"/>
      <c r="W16" s="26">
        <f t="shared" si="15"/>
        <v>404</v>
      </c>
      <c r="X16" s="26" t="e">
        <f t="shared" si="16"/>
        <v>#REF!</v>
      </c>
      <c r="Y16" s="27" t="e">
        <f t="shared" si="17"/>
        <v>#REF!</v>
      </c>
    </row>
    <row r="17" spans="1:25" ht="16.5" customHeight="1">
      <c r="A17" s="16" t="s">
        <v>39</v>
      </c>
      <c r="B17" s="32" t="s">
        <v>40</v>
      </c>
      <c r="C17" s="25">
        <f t="shared" si="0"/>
        <v>13</v>
      </c>
      <c r="D17" s="25" t="e">
        <f t="shared" si="1"/>
        <v>#REF!</v>
      </c>
      <c r="E17" s="27" t="e">
        <f t="shared" si="2"/>
        <v>#REF!</v>
      </c>
      <c r="F17" s="27"/>
      <c r="G17" s="25">
        <f t="shared" si="3"/>
        <v>152</v>
      </c>
      <c r="H17" s="25" t="e">
        <f t="shared" si="4"/>
        <v>#REF!</v>
      </c>
      <c r="I17" s="27" t="e">
        <f t="shared" si="5"/>
        <v>#REF!</v>
      </c>
      <c r="J17" s="27"/>
      <c r="K17" s="25">
        <f t="shared" si="6"/>
        <v>290</v>
      </c>
      <c r="L17" s="25" t="e">
        <f t="shared" si="7"/>
        <v>#REF!</v>
      </c>
      <c r="M17" s="27" t="e">
        <f t="shared" si="8"/>
        <v>#REF!</v>
      </c>
      <c r="N17" s="39"/>
      <c r="O17" s="36" t="str">
        <f t="shared" si="9"/>
        <v>Western</v>
      </c>
      <c r="P17" s="26" t="e">
        <f t="shared" si="10"/>
        <v>#REF!</v>
      </c>
      <c r="Q17" s="27" t="e">
        <f t="shared" si="11"/>
        <v>#VALUE!</v>
      </c>
      <c r="R17" s="27"/>
      <c r="S17" s="26">
        <f t="shared" si="12"/>
        <v>2040</v>
      </c>
      <c r="T17" s="26" t="e">
        <f t="shared" si="13"/>
        <v>#REF!</v>
      </c>
      <c r="U17" s="27" t="e">
        <f t="shared" si="14"/>
        <v>#REF!</v>
      </c>
      <c r="V17" s="27"/>
      <c r="W17" s="26">
        <f t="shared" si="15"/>
        <v>1905</v>
      </c>
      <c r="X17" s="26" t="e">
        <f t="shared" si="16"/>
        <v>#REF!</v>
      </c>
      <c r="Y17" s="27" t="e">
        <f t="shared" si="17"/>
        <v>#REF!</v>
      </c>
    </row>
    <row r="18" spans="1:25" ht="16.5" customHeight="1">
      <c r="A18" s="16" t="s">
        <v>41</v>
      </c>
      <c r="B18" s="32" t="s">
        <v>42</v>
      </c>
      <c r="C18" s="25">
        <f t="shared" si="0"/>
        <v>1290</v>
      </c>
      <c r="D18" s="25" t="e">
        <f t="shared" si="1"/>
        <v>#REF!</v>
      </c>
      <c r="E18" s="27" t="e">
        <f t="shared" si="2"/>
        <v>#REF!</v>
      </c>
      <c r="F18" s="27"/>
      <c r="G18" s="25">
        <f t="shared" si="3"/>
        <v>201</v>
      </c>
      <c r="H18" s="25" t="e">
        <f t="shared" si="4"/>
        <v>#REF!</v>
      </c>
      <c r="I18" s="27" t="e">
        <f t="shared" si="5"/>
        <v>#REF!</v>
      </c>
      <c r="J18" s="27"/>
      <c r="K18" s="25">
        <f t="shared" si="6"/>
        <v>265</v>
      </c>
      <c r="L18" s="25" t="e">
        <f t="shared" si="7"/>
        <v>#REF!</v>
      </c>
      <c r="M18" s="27" t="e">
        <f t="shared" si="8"/>
        <v>#REF!</v>
      </c>
      <c r="N18" s="39"/>
      <c r="O18" s="36" t="str">
        <f t="shared" si="9"/>
        <v>Central</v>
      </c>
      <c r="P18" s="26" t="e">
        <f t="shared" si="10"/>
        <v>#REF!</v>
      </c>
      <c r="Q18" s="27" t="e">
        <f t="shared" si="11"/>
        <v>#VALUE!</v>
      </c>
      <c r="R18" s="27"/>
      <c r="S18" s="26">
        <f t="shared" si="12"/>
        <v>1641</v>
      </c>
      <c r="T18" s="26" t="e">
        <f t="shared" si="13"/>
        <v>#REF!</v>
      </c>
      <c r="U18" s="27" t="e">
        <f t="shared" si="14"/>
        <v>#REF!</v>
      </c>
      <c r="V18" s="27"/>
      <c r="W18" s="26">
        <f t="shared" si="15"/>
        <v>842</v>
      </c>
      <c r="X18" s="26" t="e">
        <f t="shared" si="16"/>
        <v>#REF!</v>
      </c>
      <c r="Y18" s="27" t="e">
        <f t="shared" si="17"/>
        <v>#REF!</v>
      </c>
    </row>
    <row r="19" spans="1:25" ht="16.5" customHeight="1">
      <c r="A19" s="16" t="s">
        <v>43</v>
      </c>
      <c r="B19" s="17" t="s">
        <v>44</v>
      </c>
      <c r="C19" s="25">
        <f t="shared" si="0"/>
        <v>1523</v>
      </c>
      <c r="D19" s="25" t="e">
        <f t="shared" si="1"/>
        <v>#REF!</v>
      </c>
      <c r="E19" s="27" t="e">
        <f t="shared" si="2"/>
        <v>#REF!</v>
      </c>
      <c r="F19" s="27"/>
      <c r="G19" s="25">
        <f t="shared" si="3"/>
        <v>551</v>
      </c>
      <c r="H19" s="25" t="e">
        <f t="shared" si="4"/>
        <v>#REF!</v>
      </c>
      <c r="I19" s="27" t="e">
        <f t="shared" si="5"/>
        <v>#REF!</v>
      </c>
      <c r="J19" s="27"/>
      <c r="K19" s="25">
        <f t="shared" si="6"/>
        <v>535</v>
      </c>
      <c r="L19" s="25" t="e">
        <f t="shared" si="7"/>
        <v>#REF!</v>
      </c>
      <c r="M19" s="27" t="e">
        <f t="shared" si="8"/>
        <v>#REF!</v>
      </c>
      <c r="N19" s="39"/>
      <c r="O19" s="36" t="str">
        <f t="shared" si="9"/>
        <v>Piedmont</v>
      </c>
      <c r="P19" s="26" t="e">
        <f t="shared" si="10"/>
        <v>#REF!</v>
      </c>
      <c r="Q19" s="27" t="e">
        <f t="shared" si="11"/>
        <v>#VALUE!</v>
      </c>
      <c r="R19" s="27"/>
      <c r="S19" s="26">
        <f t="shared" si="12"/>
        <v>4350</v>
      </c>
      <c r="T19" s="26" t="e">
        <f t="shared" si="13"/>
        <v>#REF!</v>
      </c>
      <c r="U19" s="27" t="e">
        <f t="shared" si="14"/>
        <v>#REF!</v>
      </c>
      <c r="V19" s="27"/>
      <c r="W19" s="26">
        <f t="shared" si="15"/>
        <v>2824</v>
      </c>
      <c r="X19" s="26" t="e">
        <f t="shared" si="16"/>
        <v>#REF!</v>
      </c>
      <c r="Y19" s="27" t="e">
        <f t="shared" si="17"/>
        <v>#REF!</v>
      </c>
    </row>
    <row r="20" spans="1:25" ht="16.5" customHeight="1">
      <c r="A20" s="16" t="s">
        <v>45</v>
      </c>
      <c r="B20" s="17" t="s">
        <v>46</v>
      </c>
      <c r="C20" s="25">
        <f t="shared" si="0"/>
        <v>1556</v>
      </c>
      <c r="D20" s="25" t="e">
        <f t="shared" si="1"/>
        <v>#REF!</v>
      </c>
      <c r="E20" s="27" t="e">
        <f t="shared" si="2"/>
        <v>#REF!</v>
      </c>
      <c r="F20" s="27"/>
      <c r="G20" s="25">
        <f t="shared" si="3"/>
        <v>417</v>
      </c>
      <c r="H20" s="25" t="e">
        <f t="shared" si="4"/>
        <v>#REF!</v>
      </c>
      <c r="I20" s="27" t="e">
        <f t="shared" si="5"/>
        <v>#REF!</v>
      </c>
      <c r="J20" s="27"/>
      <c r="K20" s="25">
        <f t="shared" si="6"/>
        <v>287</v>
      </c>
      <c r="L20" s="25" t="e">
        <f t="shared" si="7"/>
        <v>#REF!</v>
      </c>
      <c r="M20" s="27" t="e">
        <f t="shared" si="8"/>
        <v>#REF!</v>
      </c>
      <c r="N20" s="39"/>
      <c r="O20" s="36" t="str">
        <f t="shared" si="9"/>
        <v>Central</v>
      </c>
      <c r="P20" s="26" t="e">
        <f t="shared" si="10"/>
        <v>#REF!</v>
      </c>
      <c r="Q20" s="27" t="e">
        <f t="shared" si="11"/>
        <v>#VALUE!</v>
      </c>
      <c r="R20" s="27"/>
      <c r="S20" s="26">
        <f t="shared" si="12"/>
        <v>2944</v>
      </c>
      <c r="T20" s="26" t="e">
        <f t="shared" si="13"/>
        <v>#REF!</v>
      </c>
      <c r="U20" s="27" t="e">
        <f t="shared" si="14"/>
        <v>#REF!</v>
      </c>
      <c r="V20" s="27"/>
      <c r="W20" s="26">
        <f t="shared" si="15"/>
        <v>1468</v>
      </c>
      <c r="X20" s="26" t="e">
        <f t="shared" si="16"/>
        <v>#REF!</v>
      </c>
      <c r="Y20" s="27" t="e">
        <f t="shared" si="17"/>
        <v>#REF!</v>
      </c>
    </row>
    <row r="21" spans="1:25" ht="16.5" customHeight="1">
      <c r="A21" s="16" t="s">
        <v>47</v>
      </c>
      <c r="B21" s="32" t="s">
        <v>48</v>
      </c>
      <c r="C21" s="25">
        <f t="shared" si="0"/>
        <v>50</v>
      </c>
      <c r="D21" s="25" t="e">
        <f t="shared" si="1"/>
        <v>#REF!</v>
      </c>
      <c r="E21" s="27" t="e">
        <f t="shared" si="2"/>
        <v>#REF!</v>
      </c>
      <c r="F21" s="27"/>
      <c r="G21" s="25">
        <f t="shared" si="3"/>
        <v>489</v>
      </c>
      <c r="H21" s="25" t="e">
        <f t="shared" si="4"/>
        <v>#REF!</v>
      </c>
      <c r="I21" s="27" t="e">
        <f t="shared" si="5"/>
        <v>#REF!</v>
      </c>
      <c r="J21" s="27"/>
      <c r="K21" s="25">
        <f t="shared" si="6"/>
        <v>532</v>
      </c>
      <c r="L21" s="25" t="e">
        <f t="shared" si="7"/>
        <v>#REF!</v>
      </c>
      <c r="M21" s="27" t="e">
        <f t="shared" si="8"/>
        <v>#REF!</v>
      </c>
      <c r="N21" s="39"/>
      <c r="O21" s="36" t="str">
        <f t="shared" si="9"/>
        <v>Western</v>
      </c>
      <c r="P21" s="26" t="e">
        <f t="shared" si="10"/>
        <v>#REF!</v>
      </c>
      <c r="Q21" s="27" t="e">
        <f t="shared" si="11"/>
        <v>#VALUE!</v>
      </c>
      <c r="R21" s="27"/>
      <c r="S21" s="26">
        <f t="shared" si="12"/>
        <v>2764</v>
      </c>
      <c r="T21" s="26" t="e">
        <f t="shared" si="13"/>
        <v>#REF!</v>
      </c>
      <c r="U21" s="27" t="e">
        <f t="shared" si="14"/>
        <v>#REF!</v>
      </c>
      <c r="V21" s="27"/>
      <c r="W21" s="26">
        <f t="shared" si="15"/>
        <v>2374</v>
      </c>
      <c r="X21" s="26" t="e">
        <f t="shared" si="16"/>
        <v>#REF!</v>
      </c>
      <c r="Y21" s="27" t="e">
        <f t="shared" si="17"/>
        <v>#REF!</v>
      </c>
    </row>
    <row r="22" spans="1:25" ht="16.5" customHeight="1">
      <c r="A22" s="16" t="s">
        <v>49</v>
      </c>
      <c r="B22" s="17" t="s">
        <v>276</v>
      </c>
      <c r="C22" s="25">
        <f t="shared" si="0"/>
        <v>467</v>
      </c>
      <c r="D22" s="25" t="e">
        <f t="shared" si="1"/>
        <v>#REF!</v>
      </c>
      <c r="E22" s="27" t="e">
        <f t="shared" si="2"/>
        <v>#REF!</v>
      </c>
      <c r="F22" s="27"/>
      <c r="G22" s="25">
        <f t="shared" si="3"/>
        <v>189</v>
      </c>
      <c r="H22" s="25" t="e">
        <f t="shared" si="4"/>
        <v>#REF!</v>
      </c>
      <c r="I22" s="27" t="e">
        <f t="shared" si="5"/>
        <v>#REF!</v>
      </c>
      <c r="J22" s="27"/>
      <c r="K22" s="25">
        <f t="shared" si="6"/>
        <v>70</v>
      </c>
      <c r="L22" s="25" t="e">
        <f t="shared" si="7"/>
        <v>#REF!</v>
      </c>
      <c r="M22" s="27" t="e">
        <f t="shared" si="8"/>
        <v>#REF!</v>
      </c>
      <c r="N22" s="39"/>
      <c r="O22" s="36" t="str">
        <f t="shared" si="9"/>
        <v>Central</v>
      </c>
      <c r="P22" s="26" t="e">
        <f t="shared" si="10"/>
        <v>#REF!</v>
      </c>
      <c r="Q22" s="27" t="e">
        <f t="shared" si="11"/>
        <v>#VALUE!</v>
      </c>
      <c r="R22" s="27"/>
      <c r="S22" s="26">
        <f t="shared" si="12"/>
        <v>484</v>
      </c>
      <c r="T22" s="26" t="e">
        <f t="shared" si="13"/>
        <v>#REF!</v>
      </c>
      <c r="U22" s="27" t="e">
        <f t="shared" si="14"/>
        <v>#REF!</v>
      </c>
      <c r="V22" s="27"/>
      <c r="W22" s="26">
        <f t="shared" si="15"/>
        <v>132</v>
      </c>
      <c r="X22" s="26" t="e">
        <f t="shared" si="16"/>
        <v>#REF!</v>
      </c>
      <c r="Y22" s="27" t="e">
        <f t="shared" si="17"/>
        <v>#REF!</v>
      </c>
    </row>
    <row r="23" spans="1:25" ht="16.5" customHeight="1">
      <c r="A23" s="16" t="s">
        <v>51</v>
      </c>
      <c r="B23" s="32" t="s">
        <v>52</v>
      </c>
      <c r="C23" s="25">
        <f t="shared" si="0"/>
        <v>941</v>
      </c>
      <c r="D23" s="25" t="e">
        <f t="shared" si="1"/>
        <v>#REF!</v>
      </c>
      <c r="E23" s="27" t="e">
        <f t="shared" si="2"/>
        <v>#REF!</v>
      </c>
      <c r="F23" s="27"/>
      <c r="G23" s="25">
        <f t="shared" si="3"/>
        <v>82</v>
      </c>
      <c r="H23" s="25" t="e">
        <f t="shared" si="4"/>
        <v>#REF!</v>
      </c>
      <c r="I23" s="27" t="e">
        <f t="shared" si="5"/>
        <v>#REF!</v>
      </c>
      <c r="J23" s="27"/>
      <c r="K23" s="25">
        <f t="shared" si="6"/>
        <v>267</v>
      </c>
      <c r="L23" s="25" t="e">
        <f t="shared" si="7"/>
        <v>#REF!</v>
      </c>
      <c r="M23" s="27" t="e">
        <f t="shared" si="8"/>
        <v>#REF!</v>
      </c>
      <c r="N23" s="39"/>
      <c r="O23" s="36" t="str">
        <f t="shared" si="9"/>
        <v>Piedmont</v>
      </c>
      <c r="P23" s="26" t="e">
        <f t="shared" si="10"/>
        <v>#REF!</v>
      </c>
      <c r="Q23" s="27" t="e">
        <f t="shared" si="11"/>
        <v>#VALUE!</v>
      </c>
      <c r="R23" s="27"/>
      <c r="S23" s="26">
        <f t="shared" si="12"/>
        <v>1330</v>
      </c>
      <c r="T23" s="26" t="e">
        <f t="shared" si="13"/>
        <v>#REF!</v>
      </c>
      <c r="U23" s="27" t="e">
        <f t="shared" si="14"/>
        <v>#REF!</v>
      </c>
      <c r="V23" s="27"/>
      <c r="W23" s="26">
        <f t="shared" si="15"/>
        <v>579</v>
      </c>
      <c r="X23" s="26" t="e">
        <f t="shared" si="16"/>
        <v>#REF!</v>
      </c>
      <c r="Y23" s="27" t="e">
        <f t="shared" si="17"/>
        <v>#REF!</v>
      </c>
    </row>
    <row r="24" spans="1:25" ht="16.5" customHeight="1">
      <c r="A24" s="16" t="s">
        <v>57</v>
      </c>
      <c r="B24" s="17" t="s">
        <v>305</v>
      </c>
      <c r="C24" s="25">
        <f t="shared" si="0"/>
        <v>9154</v>
      </c>
      <c r="D24" s="25" t="e">
        <f t="shared" si="1"/>
        <v>#REF!</v>
      </c>
      <c r="E24" s="27" t="e">
        <f t="shared" si="2"/>
        <v>#REF!</v>
      </c>
      <c r="F24" s="27"/>
      <c r="G24" s="25">
        <f t="shared" si="3"/>
        <v>4331</v>
      </c>
      <c r="H24" s="25" t="e">
        <f t="shared" si="4"/>
        <v>#REF!</v>
      </c>
      <c r="I24" s="27" t="e">
        <f t="shared" si="5"/>
        <v>#REF!</v>
      </c>
      <c r="J24" s="27"/>
      <c r="K24" s="25">
        <f t="shared" si="6"/>
        <v>1350</v>
      </c>
      <c r="L24" s="25" t="e">
        <f t="shared" si="7"/>
        <v>#REF!</v>
      </c>
      <c r="M24" s="27" t="e">
        <f t="shared" si="8"/>
        <v>#REF!</v>
      </c>
      <c r="N24" s="39"/>
      <c r="O24" s="36" t="str">
        <f t="shared" si="9"/>
        <v>Central</v>
      </c>
      <c r="P24" s="26" t="e">
        <f t="shared" si="10"/>
        <v>#REF!</v>
      </c>
      <c r="Q24" s="27" t="e">
        <f t="shared" si="11"/>
        <v>#VALUE!</v>
      </c>
      <c r="R24" s="27"/>
      <c r="S24" s="26">
        <f t="shared" si="12"/>
        <v>21858</v>
      </c>
      <c r="T24" s="26" t="e">
        <f t="shared" si="13"/>
        <v>#REF!</v>
      </c>
      <c r="U24" s="27" t="e">
        <f t="shared" si="14"/>
        <v>#REF!</v>
      </c>
      <c r="V24" s="27"/>
      <c r="W24" s="26">
        <f t="shared" si="15"/>
        <v>9584</v>
      </c>
      <c r="X24" s="26" t="e">
        <f t="shared" si="16"/>
        <v>#REF!</v>
      </c>
      <c r="Y24" s="27" t="e">
        <f t="shared" si="17"/>
        <v>#REF!</v>
      </c>
    </row>
    <row r="25" spans="1:25" ht="16.5" customHeight="1">
      <c r="A25" s="16" t="s">
        <v>59</v>
      </c>
      <c r="B25" s="17" t="s">
        <v>60</v>
      </c>
      <c r="C25" s="25">
        <f t="shared" si="0"/>
        <v>110</v>
      </c>
      <c r="D25" s="25" t="e">
        <f t="shared" si="1"/>
        <v>#REF!</v>
      </c>
      <c r="E25" s="27" t="e">
        <f t="shared" si="2"/>
        <v>#REF!</v>
      </c>
      <c r="F25" s="27"/>
      <c r="G25" s="25">
        <f t="shared" si="3"/>
        <v>102</v>
      </c>
      <c r="H25" s="25" t="e">
        <f t="shared" si="4"/>
        <v>#REF!</v>
      </c>
      <c r="I25" s="27" t="e">
        <f t="shared" si="5"/>
        <v>#REF!</v>
      </c>
      <c r="J25" s="27"/>
      <c r="K25" s="25">
        <f t="shared" si="6"/>
        <v>103</v>
      </c>
      <c r="L25" s="25" t="e">
        <f t="shared" si="7"/>
        <v>#REF!</v>
      </c>
      <c r="M25" s="27" t="e">
        <f t="shared" si="8"/>
        <v>#REF!</v>
      </c>
      <c r="N25" s="39"/>
      <c r="O25" s="36" t="str">
        <f t="shared" si="9"/>
        <v>Northern</v>
      </c>
      <c r="P25" s="26" t="e">
        <f t="shared" si="10"/>
        <v>#REF!</v>
      </c>
      <c r="Q25" s="27" t="e">
        <f t="shared" si="11"/>
        <v>#VALUE!</v>
      </c>
      <c r="R25" s="27"/>
      <c r="S25" s="26">
        <f t="shared" si="12"/>
        <v>482</v>
      </c>
      <c r="T25" s="26" t="e">
        <f t="shared" si="13"/>
        <v>#REF!</v>
      </c>
      <c r="U25" s="27" t="e">
        <f t="shared" si="14"/>
        <v>#REF!</v>
      </c>
      <c r="V25" s="27"/>
      <c r="W25" s="26">
        <f t="shared" si="15"/>
        <v>342</v>
      </c>
      <c r="X25" s="26" t="e">
        <f t="shared" si="16"/>
        <v>#REF!</v>
      </c>
      <c r="Y25" s="27" t="e">
        <f t="shared" si="17"/>
        <v>#REF!</v>
      </c>
    </row>
    <row r="26" spans="1:25" ht="16.5" customHeight="1">
      <c r="A26" s="16" t="s">
        <v>61</v>
      </c>
      <c r="B26" s="17" t="s">
        <v>62</v>
      </c>
      <c r="C26" s="25">
        <f t="shared" si="0"/>
        <v>3</v>
      </c>
      <c r="D26" s="25" t="e">
        <f t="shared" si="1"/>
        <v>#REF!</v>
      </c>
      <c r="E26" s="27" t="e">
        <f t="shared" si="2"/>
        <v>#REF!</v>
      </c>
      <c r="F26" s="27"/>
      <c r="G26" s="25">
        <f t="shared" si="3"/>
        <v>15</v>
      </c>
      <c r="H26" s="25" t="e">
        <f t="shared" si="4"/>
        <v>#REF!</v>
      </c>
      <c r="I26" s="27" t="e">
        <f t="shared" si="5"/>
        <v>#REF!</v>
      </c>
      <c r="J26" s="27"/>
      <c r="K26" s="25">
        <f t="shared" si="6"/>
        <v>59</v>
      </c>
      <c r="L26" s="25" t="e">
        <f t="shared" si="7"/>
        <v>#REF!</v>
      </c>
      <c r="M26" s="27" t="e">
        <f t="shared" si="8"/>
        <v>#REF!</v>
      </c>
      <c r="N26" s="39"/>
      <c r="O26" s="36" t="str">
        <f t="shared" si="9"/>
        <v>Piedmont</v>
      </c>
      <c r="P26" s="26" t="e">
        <f t="shared" si="10"/>
        <v>#REF!</v>
      </c>
      <c r="Q26" s="27" t="e">
        <f t="shared" si="11"/>
        <v>#VALUE!</v>
      </c>
      <c r="R26" s="27"/>
      <c r="S26" s="26">
        <f t="shared" si="12"/>
        <v>359</v>
      </c>
      <c r="T26" s="26" t="e">
        <f t="shared" si="13"/>
        <v>#REF!</v>
      </c>
      <c r="U26" s="27" t="e">
        <f t="shared" si="14"/>
        <v>#REF!</v>
      </c>
      <c r="V26" s="27"/>
      <c r="W26" s="26">
        <f t="shared" si="15"/>
        <v>339</v>
      </c>
      <c r="X26" s="26" t="e">
        <f t="shared" si="16"/>
        <v>#REF!</v>
      </c>
      <c r="Y26" s="27" t="e">
        <f t="shared" si="17"/>
        <v>#REF!</v>
      </c>
    </row>
    <row r="27" spans="1:25" ht="16.5" customHeight="1">
      <c r="A27" s="16" t="s">
        <v>63</v>
      </c>
      <c r="B27" s="17" t="s">
        <v>64</v>
      </c>
      <c r="C27" s="25">
        <f t="shared" si="0"/>
        <v>1480</v>
      </c>
      <c r="D27" s="25" t="e">
        <f t="shared" si="1"/>
        <v>#REF!</v>
      </c>
      <c r="E27" s="27" t="e">
        <f t="shared" si="2"/>
        <v>#REF!</v>
      </c>
      <c r="F27" s="27"/>
      <c r="G27" s="25">
        <f t="shared" si="3"/>
        <v>505</v>
      </c>
      <c r="H27" s="25" t="e">
        <f t="shared" si="4"/>
        <v>#REF!</v>
      </c>
      <c r="I27" s="27" t="e">
        <f t="shared" si="5"/>
        <v>#REF!</v>
      </c>
      <c r="J27" s="27"/>
      <c r="K27" s="25">
        <f t="shared" si="6"/>
        <v>338</v>
      </c>
      <c r="L27" s="25" t="e">
        <f t="shared" si="7"/>
        <v>#REF!</v>
      </c>
      <c r="M27" s="27" t="e">
        <f t="shared" si="8"/>
        <v>#REF!</v>
      </c>
      <c r="N27" s="39"/>
      <c r="O27" s="36" t="str">
        <f t="shared" si="9"/>
        <v>Northern</v>
      </c>
      <c r="P27" s="26" t="e">
        <f t="shared" si="10"/>
        <v>#REF!</v>
      </c>
      <c r="Q27" s="27" t="e">
        <f t="shared" si="11"/>
        <v>#VALUE!</v>
      </c>
      <c r="R27" s="27"/>
      <c r="S27" s="26">
        <f t="shared" si="12"/>
        <v>3639</v>
      </c>
      <c r="T27" s="26" t="e">
        <f t="shared" si="13"/>
        <v>#REF!</v>
      </c>
      <c r="U27" s="27" t="e">
        <f t="shared" si="14"/>
        <v>#REF!</v>
      </c>
      <c r="V27" s="27"/>
      <c r="W27" s="26">
        <f t="shared" si="15"/>
        <v>1786</v>
      </c>
      <c r="X27" s="26" t="e">
        <f t="shared" si="16"/>
        <v>#REF!</v>
      </c>
      <c r="Y27" s="27" t="e">
        <f t="shared" si="17"/>
        <v>#REF!</v>
      </c>
    </row>
    <row r="28" spans="1:25" ht="16.5" customHeight="1">
      <c r="A28" s="16" t="s">
        <v>65</v>
      </c>
      <c r="B28" s="17" t="s">
        <v>66</v>
      </c>
      <c r="C28" s="25">
        <f t="shared" si="0"/>
        <v>806</v>
      </c>
      <c r="D28" s="25" t="e">
        <f t="shared" si="1"/>
        <v>#REF!</v>
      </c>
      <c r="E28" s="27" t="e">
        <f t="shared" si="2"/>
        <v>#REF!</v>
      </c>
      <c r="F28" s="27"/>
      <c r="G28" s="25">
        <f t="shared" si="3"/>
        <v>90</v>
      </c>
      <c r="H28" s="25" t="e">
        <f t="shared" si="4"/>
        <v>#REF!</v>
      </c>
      <c r="I28" s="27" t="e">
        <f t="shared" si="5"/>
        <v>#REF!</v>
      </c>
      <c r="J28" s="27"/>
      <c r="K28" s="25">
        <f t="shared" si="6"/>
        <v>193</v>
      </c>
      <c r="L28" s="25" t="e">
        <f t="shared" si="7"/>
        <v>#REF!</v>
      </c>
      <c r="M28" s="27" t="e">
        <f t="shared" si="8"/>
        <v>#REF!</v>
      </c>
      <c r="N28" s="39"/>
      <c r="O28" s="36" t="str">
        <f t="shared" si="9"/>
        <v>Central</v>
      </c>
      <c r="P28" s="26" t="e">
        <f t="shared" si="10"/>
        <v>#REF!</v>
      </c>
      <c r="Q28" s="27" t="e">
        <f t="shared" si="11"/>
        <v>#VALUE!</v>
      </c>
      <c r="R28" s="27"/>
      <c r="S28" s="26">
        <f t="shared" si="12"/>
        <v>1209</v>
      </c>
      <c r="T28" s="26" t="e">
        <f t="shared" si="13"/>
        <v>#REF!</v>
      </c>
      <c r="U28" s="27" t="e">
        <f t="shared" si="14"/>
        <v>#REF!</v>
      </c>
      <c r="V28" s="27"/>
      <c r="W28" s="26">
        <f t="shared" si="15"/>
        <v>576</v>
      </c>
      <c r="X28" s="26" t="e">
        <f t="shared" si="16"/>
        <v>#REF!</v>
      </c>
      <c r="Y28" s="27" t="e">
        <f t="shared" si="17"/>
        <v>#REF!</v>
      </c>
    </row>
    <row r="29" spans="1:25" ht="16.5" customHeight="1">
      <c r="A29" s="16" t="s">
        <v>69</v>
      </c>
      <c r="B29" s="17" t="s">
        <v>70</v>
      </c>
      <c r="C29" s="25">
        <f t="shared" si="0"/>
        <v>20</v>
      </c>
      <c r="D29" s="25" t="e">
        <f t="shared" si="1"/>
        <v>#REF!</v>
      </c>
      <c r="E29" s="27" t="e">
        <f t="shared" si="2"/>
        <v>#REF!</v>
      </c>
      <c r="F29" s="27"/>
      <c r="G29" s="25">
        <f t="shared" si="3"/>
        <v>150</v>
      </c>
      <c r="H29" s="25" t="e">
        <f t="shared" si="4"/>
        <v>#REF!</v>
      </c>
      <c r="I29" s="27" t="e">
        <f t="shared" si="5"/>
        <v>#REF!</v>
      </c>
      <c r="J29" s="27"/>
      <c r="K29" s="25">
        <f t="shared" si="6"/>
        <v>187</v>
      </c>
      <c r="L29" s="25" t="e">
        <f t="shared" si="7"/>
        <v>#REF!</v>
      </c>
      <c r="M29" s="27" t="e">
        <f t="shared" si="8"/>
        <v>#REF!</v>
      </c>
      <c r="N29" s="39"/>
      <c r="O29" s="36" t="str">
        <f t="shared" si="9"/>
        <v>Western</v>
      </c>
      <c r="P29" s="26" t="e">
        <f t="shared" si="10"/>
        <v>#REF!</v>
      </c>
      <c r="Q29" s="27" t="e">
        <f t="shared" si="11"/>
        <v>#VALUE!</v>
      </c>
      <c r="R29" s="27"/>
      <c r="S29" s="26">
        <f t="shared" si="12"/>
        <v>1553</v>
      </c>
      <c r="T29" s="26" t="e">
        <f t="shared" si="13"/>
        <v>#REF!</v>
      </c>
      <c r="U29" s="27" t="e">
        <f t="shared" si="14"/>
        <v>#REF!</v>
      </c>
      <c r="V29" s="27"/>
      <c r="W29" s="26">
        <f t="shared" si="15"/>
        <v>1516</v>
      </c>
      <c r="X29" s="26" t="e">
        <f t="shared" si="16"/>
        <v>#REF!</v>
      </c>
      <c r="Y29" s="27" t="e">
        <f t="shared" si="17"/>
        <v>#REF!</v>
      </c>
    </row>
    <row r="30" spans="1:25" ht="16.5" customHeight="1">
      <c r="A30" s="16" t="s">
        <v>71</v>
      </c>
      <c r="B30" s="32" t="s">
        <v>72</v>
      </c>
      <c r="C30" s="25">
        <f t="shared" si="0"/>
        <v>1407</v>
      </c>
      <c r="D30" s="25" t="e">
        <f t="shared" si="1"/>
        <v>#REF!</v>
      </c>
      <c r="E30" s="27" t="e">
        <f t="shared" si="2"/>
        <v>#REF!</v>
      </c>
      <c r="F30" s="27"/>
      <c r="G30" s="25">
        <f t="shared" si="3"/>
        <v>493</v>
      </c>
      <c r="H30" s="25" t="e">
        <f t="shared" si="4"/>
        <v>#REF!</v>
      </c>
      <c r="I30" s="27" t="e">
        <f t="shared" si="5"/>
        <v>#REF!</v>
      </c>
      <c r="J30" s="27"/>
      <c r="K30" s="25">
        <f t="shared" si="6"/>
        <v>302</v>
      </c>
      <c r="L30" s="25" t="e">
        <f t="shared" si="7"/>
        <v>#REF!</v>
      </c>
      <c r="M30" s="27" t="e">
        <f t="shared" si="8"/>
        <v>#REF!</v>
      </c>
      <c r="N30" s="39"/>
      <c r="O30" s="36" t="str">
        <f t="shared" si="9"/>
        <v>Eastern</v>
      </c>
      <c r="P30" s="26" t="e">
        <f t="shared" si="10"/>
        <v>#REF!</v>
      </c>
      <c r="Q30" s="27" t="e">
        <f t="shared" si="11"/>
        <v>#VALUE!</v>
      </c>
      <c r="R30" s="27"/>
      <c r="S30" s="26">
        <f t="shared" si="12"/>
        <v>2652</v>
      </c>
      <c r="T30" s="26" t="e">
        <f t="shared" si="13"/>
        <v>#REF!</v>
      </c>
      <c r="U30" s="27" t="e">
        <f t="shared" si="14"/>
        <v>#REF!</v>
      </c>
      <c r="V30" s="27"/>
      <c r="W30" s="26">
        <f t="shared" si="15"/>
        <v>1313</v>
      </c>
      <c r="X30" s="26" t="e">
        <f t="shared" si="16"/>
        <v>#REF!</v>
      </c>
      <c r="Y30" s="27" t="e">
        <f t="shared" si="17"/>
        <v>#REF!</v>
      </c>
    </row>
    <row r="31" spans="1:25" ht="16.5" customHeight="1">
      <c r="A31" s="16" t="s">
        <v>73</v>
      </c>
      <c r="B31" s="32" t="s">
        <v>74</v>
      </c>
      <c r="C31" s="25">
        <f t="shared" si="0"/>
        <v>1052</v>
      </c>
      <c r="D31" s="25" t="e">
        <f t="shared" si="1"/>
        <v>#REF!</v>
      </c>
      <c r="E31" s="27" t="e">
        <f t="shared" si="2"/>
        <v>#REF!</v>
      </c>
      <c r="F31" s="27"/>
      <c r="G31" s="25">
        <f t="shared" si="3"/>
        <v>339</v>
      </c>
      <c r="H31" s="25" t="e">
        <f t="shared" si="4"/>
        <v>#REF!</v>
      </c>
      <c r="I31" s="27" t="e">
        <f t="shared" si="5"/>
        <v>#REF!</v>
      </c>
      <c r="J31" s="27"/>
      <c r="K31" s="25">
        <f t="shared" si="6"/>
        <v>130</v>
      </c>
      <c r="L31" s="25" t="e">
        <f t="shared" si="7"/>
        <v>#REF!</v>
      </c>
      <c r="M31" s="27" t="e">
        <f t="shared" si="8"/>
        <v>#REF!</v>
      </c>
      <c r="N31" s="39"/>
      <c r="O31" s="36" t="str">
        <f t="shared" si="9"/>
        <v>Central</v>
      </c>
      <c r="P31" s="26" t="e">
        <f t="shared" si="10"/>
        <v>#REF!</v>
      </c>
      <c r="Q31" s="27" t="e">
        <f t="shared" si="11"/>
        <v>#VALUE!</v>
      </c>
      <c r="R31" s="27"/>
      <c r="S31" s="26">
        <f t="shared" si="12"/>
        <v>1428</v>
      </c>
      <c r="T31" s="26" t="e">
        <f t="shared" si="13"/>
        <v>#REF!</v>
      </c>
      <c r="U31" s="27" t="e">
        <f t="shared" si="14"/>
        <v>#REF!</v>
      </c>
      <c r="V31" s="27"/>
      <c r="W31" s="26">
        <f t="shared" si="15"/>
        <v>364</v>
      </c>
      <c r="X31" s="26" t="e">
        <f t="shared" si="16"/>
        <v>#REF!</v>
      </c>
      <c r="Y31" s="27" t="e">
        <f t="shared" si="17"/>
        <v>#REF!</v>
      </c>
    </row>
    <row r="32" spans="1:25" ht="16.5" customHeight="1">
      <c r="A32" s="16" t="s">
        <v>75</v>
      </c>
      <c r="B32" s="17" t="s">
        <v>312</v>
      </c>
      <c r="C32" s="25">
        <f t="shared" si="0"/>
        <v>8262</v>
      </c>
      <c r="D32" s="25" t="e">
        <f t="shared" si="1"/>
        <v>#REF!</v>
      </c>
      <c r="E32" s="27" t="e">
        <f t="shared" si="2"/>
        <v>#REF!</v>
      </c>
      <c r="F32" s="27"/>
      <c r="G32" s="25">
        <f t="shared" si="3"/>
        <v>11687</v>
      </c>
      <c r="H32" s="25" t="e">
        <f t="shared" si="4"/>
        <v>#REF!</v>
      </c>
      <c r="I32" s="27" t="e">
        <f t="shared" si="5"/>
        <v>#REF!</v>
      </c>
      <c r="J32" s="27"/>
      <c r="K32" s="25">
        <f t="shared" si="6"/>
        <v>7810</v>
      </c>
      <c r="L32" s="25" t="e">
        <f t="shared" si="7"/>
        <v>#REF!</v>
      </c>
      <c r="M32" s="27" t="e">
        <f t="shared" si="8"/>
        <v>#REF!</v>
      </c>
      <c r="N32" s="39"/>
      <c r="O32" s="36" t="str">
        <f t="shared" si="9"/>
        <v>Northern</v>
      </c>
      <c r="P32" s="26" t="e">
        <f t="shared" si="10"/>
        <v>#REF!</v>
      </c>
      <c r="Q32" s="27" t="e">
        <f t="shared" si="11"/>
        <v>#VALUE!</v>
      </c>
      <c r="R32" s="27"/>
      <c r="S32" s="26">
        <f t="shared" si="12"/>
        <v>33417</v>
      </c>
      <c r="T32" s="26" t="e">
        <f t="shared" si="13"/>
        <v>#REF!</v>
      </c>
      <c r="U32" s="27" t="e">
        <f t="shared" si="14"/>
        <v>#REF!</v>
      </c>
      <c r="V32" s="27"/>
      <c r="W32" s="26">
        <f t="shared" si="15"/>
        <v>16178</v>
      </c>
      <c r="X32" s="26" t="e">
        <f t="shared" si="16"/>
        <v>#REF!</v>
      </c>
      <c r="Y32" s="27" t="e">
        <f t="shared" si="17"/>
        <v>#REF!</v>
      </c>
    </row>
    <row r="33" spans="1:25" ht="16.5" customHeight="1">
      <c r="A33" s="16" t="s">
        <v>77</v>
      </c>
      <c r="B33" s="17" t="s">
        <v>78</v>
      </c>
      <c r="C33" s="25">
        <f t="shared" si="0"/>
        <v>844</v>
      </c>
      <c r="D33" s="25" t="e">
        <f t="shared" si="1"/>
        <v>#REF!</v>
      </c>
      <c r="E33" s="27" t="e">
        <f t="shared" si="2"/>
        <v>#REF!</v>
      </c>
      <c r="F33" s="27"/>
      <c r="G33" s="25">
        <f t="shared" si="3"/>
        <v>686</v>
      </c>
      <c r="H33" s="25" t="e">
        <f t="shared" si="4"/>
        <v>#REF!</v>
      </c>
      <c r="I33" s="27" t="e">
        <f t="shared" si="5"/>
        <v>#REF!</v>
      </c>
      <c r="J33" s="27"/>
      <c r="K33" s="25">
        <f t="shared" si="6"/>
        <v>307</v>
      </c>
      <c r="L33" s="25" t="e">
        <f t="shared" si="7"/>
        <v>#REF!</v>
      </c>
      <c r="M33" s="27" t="e">
        <f t="shared" si="8"/>
        <v>#REF!</v>
      </c>
      <c r="N33" s="39"/>
      <c r="O33" s="36" t="str">
        <f t="shared" si="9"/>
        <v>Northern</v>
      </c>
      <c r="P33" s="26" t="e">
        <f t="shared" si="10"/>
        <v>#REF!</v>
      </c>
      <c r="Q33" s="27" t="e">
        <f t="shared" si="11"/>
        <v>#VALUE!</v>
      </c>
      <c r="R33" s="27"/>
      <c r="S33" s="26">
        <f t="shared" si="12"/>
        <v>2854</v>
      </c>
      <c r="T33" s="26" t="e">
        <f t="shared" si="13"/>
        <v>#REF!</v>
      </c>
      <c r="U33" s="27" t="e">
        <f t="shared" si="14"/>
        <v>#REF!</v>
      </c>
      <c r="V33" s="27"/>
      <c r="W33" s="26">
        <f t="shared" si="15"/>
        <v>1673</v>
      </c>
      <c r="X33" s="26" t="e">
        <f t="shared" si="16"/>
        <v>#REF!</v>
      </c>
      <c r="Y33" s="27" t="e">
        <f t="shared" si="17"/>
        <v>#REF!</v>
      </c>
    </row>
    <row r="34" spans="1:25" ht="16.5" customHeight="1">
      <c r="A34" s="16" t="s">
        <v>79</v>
      </c>
      <c r="B34" s="32" t="s">
        <v>80</v>
      </c>
      <c r="C34" s="25">
        <f t="shared" si="0"/>
        <v>73</v>
      </c>
      <c r="D34" s="25" t="e">
        <f t="shared" si="1"/>
        <v>#REF!</v>
      </c>
      <c r="E34" s="27" t="e">
        <f t="shared" si="2"/>
        <v>#REF!</v>
      </c>
      <c r="F34" s="27"/>
      <c r="G34" s="25">
        <f t="shared" si="3"/>
        <v>221</v>
      </c>
      <c r="H34" s="25" t="e">
        <f t="shared" si="4"/>
        <v>#REF!</v>
      </c>
      <c r="I34" s="27" t="e">
        <f t="shared" si="5"/>
        <v>#REF!</v>
      </c>
      <c r="J34" s="27"/>
      <c r="K34" s="25">
        <f t="shared" si="6"/>
        <v>174</v>
      </c>
      <c r="L34" s="25" t="e">
        <f t="shared" si="7"/>
        <v>#REF!</v>
      </c>
      <c r="M34" s="27" t="e">
        <f t="shared" si="8"/>
        <v>#REF!</v>
      </c>
      <c r="N34" s="39"/>
      <c r="O34" s="36" t="str">
        <f t="shared" si="9"/>
        <v>Western</v>
      </c>
      <c r="P34" s="26" t="e">
        <f t="shared" si="10"/>
        <v>#REF!</v>
      </c>
      <c r="Q34" s="27" t="e">
        <f t="shared" si="11"/>
        <v>#VALUE!</v>
      </c>
      <c r="R34" s="27"/>
      <c r="S34" s="26">
        <f t="shared" si="12"/>
        <v>1179</v>
      </c>
      <c r="T34" s="26" t="e">
        <f t="shared" si="13"/>
        <v>#REF!</v>
      </c>
      <c r="U34" s="27" t="e">
        <f t="shared" si="14"/>
        <v>#REF!</v>
      </c>
      <c r="V34" s="27"/>
      <c r="W34" s="26">
        <f t="shared" si="15"/>
        <v>1024</v>
      </c>
      <c r="X34" s="26" t="e">
        <f t="shared" si="16"/>
        <v>#REF!</v>
      </c>
      <c r="Y34" s="27" t="e">
        <f t="shared" si="17"/>
        <v>#REF!</v>
      </c>
    </row>
    <row r="35" spans="1:25" ht="16.5" customHeight="1">
      <c r="A35" s="16" t="s">
        <v>81</v>
      </c>
      <c r="B35" s="17" t="s">
        <v>82</v>
      </c>
      <c r="C35" s="25">
        <f t="shared" si="0"/>
        <v>519</v>
      </c>
      <c r="D35" s="25" t="e">
        <f t="shared" si="1"/>
        <v>#REF!</v>
      </c>
      <c r="E35" s="27" t="e">
        <f t="shared" si="2"/>
        <v>#REF!</v>
      </c>
      <c r="F35" s="27"/>
      <c r="G35" s="25">
        <f t="shared" si="3"/>
        <v>89</v>
      </c>
      <c r="H35" s="25" t="e">
        <f t="shared" si="4"/>
        <v>#REF!</v>
      </c>
      <c r="I35" s="27" t="e">
        <f t="shared" si="5"/>
        <v>#REF!</v>
      </c>
      <c r="J35" s="27"/>
      <c r="K35" s="25">
        <f t="shared" si="6"/>
        <v>117</v>
      </c>
      <c r="L35" s="25" t="e">
        <f t="shared" si="7"/>
        <v>#REF!</v>
      </c>
      <c r="M35" s="27" t="e">
        <f t="shared" si="8"/>
        <v>#REF!</v>
      </c>
      <c r="N35" s="39"/>
      <c r="O35" s="36" t="str">
        <f t="shared" si="9"/>
        <v>Central</v>
      </c>
      <c r="P35" s="26" t="e">
        <f t="shared" si="10"/>
        <v>#REF!</v>
      </c>
      <c r="Q35" s="27" t="e">
        <f t="shared" si="11"/>
        <v>#VALUE!</v>
      </c>
      <c r="R35" s="27"/>
      <c r="S35" s="26">
        <f t="shared" si="12"/>
        <v>1219</v>
      </c>
      <c r="T35" s="26" t="e">
        <f t="shared" si="13"/>
        <v>#REF!</v>
      </c>
      <c r="U35" s="27" t="e">
        <f t="shared" si="14"/>
        <v>#REF!</v>
      </c>
      <c r="V35" s="27"/>
      <c r="W35" s="26">
        <f t="shared" si="15"/>
        <v>689</v>
      </c>
      <c r="X35" s="26" t="e">
        <f t="shared" si="16"/>
        <v>#REF!</v>
      </c>
      <c r="Y35" s="27" t="e">
        <f t="shared" si="17"/>
        <v>#REF!</v>
      </c>
    </row>
    <row r="36" spans="1:25" ht="16.5" customHeight="1">
      <c r="A36" s="16" t="s">
        <v>85</v>
      </c>
      <c r="B36" s="32" t="s">
        <v>330</v>
      </c>
      <c r="C36" s="25">
        <f t="shared" ref="C36:C67" si="18">VLOOKUP(A36,SNAP_Demo,10,FALSE)</f>
        <v>897</v>
      </c>
      <c r="D36" s="25" t="e">
        <f t="shared" ref="D36:D67" si="19">VLOOKUP(A36,Pop,14,FALSE)</f>
        <v>#REF!</v>
      </c>
      <c r="E36" s="27" t="e">
        <f t="shared" ref="E36:E67" si="20">+C36/D36</f>
        <v>#REF!</v>
      </c>
      <c r="F36" s="27"/>
      <c r="G36" s="25">
        <f t="shared" ref="G36:G67" si="21">VLOOKUP(A36,SNAP_Demo,11,FALSE)</f>
        <v>916</v>
      </c>
      <c r="H36" s="25" t="e">
        <f t="shared" ref="H36:H67" si="22">VLOOKUP(A36,Pop,15,FALSE)</f>
        <v>#REF!</v>
      </c>
      <c r="I36" s="27" t="e">
        <f t="shared" ref="I36:I67" si="23">+G36/H36</f>
        <v>#REF!</v>
      </c>
      <c r="J36" s="27"/>
      <c r="K36" s="25">
        <f t="shared" ref="K36:K67" si="24">VLOOKUP(A36,SNAP_Demo,12,FALSE)</f>
        <v>529</v>
      </c>
      <c r="L36" s="25" t="e">
        <f t="shared" ref="L36:L67" si="25">VLOOKUP(A36,Pop,16,FALSE)</f>
        <v>#REF!</v>
      </c>
      <c r="M36" s="27" t="e">
        <f t="shared" ref="M36:M67" si="26">+K36/L36</f>
        <v>#REF!</v>
      </c>
      <c r="N36" s="39"/>
      <c r="O36" s="36" t="str">
        <f t="shared" ref="O36:O67" si="27">VLOOKUP(A36,SNAP_Demo,3,FALSE)</f>
        <v>Piedmont</v>
      </c>
      <c r="P36" s="26" t="e">
        <f t="shared" ref="P36:P67" si="28">VLOOKUP(A36,Pop,8,FALSE)</f>
        <v>#REF!</v>
      </c>
      <c r="Q36" s="27" t="e">
        <f t="shared" ref="Q36:Q67" si="29">+O36/P36</f>
        <v>#VALUE!</v>
      </c>
      <c r="R36" s="27"/>
      <c r="S36" s="26">
        <f t="shared" ref="S36:S67" si="30">VLOOKUP(A36,SNAP_Demo,4,FALSE)</f>
        <v>4544</v>
      </c>
      <c r="T36" s="26" t="e">
        <f t="shared" ref="T36:T67" si="31">VLOOKUP(A36,Pop,9,FALSE)</f>
        <v>#REF!</v>
      </c>
      <c r="U36" s="27" t="e">
        <f t="shared" ref="U36:U67" si="32">+S36/T36</f>
        <v>#REF!</v>
      </c>
      <c r="V36" s="27"/>
      <c r="W36" s="26">
        <f t="shared" ref="W36:W67" si="33">VLOOKUP(A36,SNAP_Demo,5,FALSE)</f>
        <v>3192</v>
      </c>
      <c r="X36" s="26" t="e">
        <f t="shared" ref="X36:X67" si="34">VLOOKUP(A36,Pop,10,FALSE)</f>
        <v>#REF!</v>
      </c>
      <c r="Y36" s="27" t="e">
        <f t="shared" ref="Y36:Y67" si="35">+W36/X36</f>
        <v>#REF!</v>
      </c>
    </row>
    <row r="37" spans="1:25" ht="16.5" customHeight="1">
      <c r="A37" s="16" t="s">
        <v>87</v>
      </c>
      <c r="B37" s="17" t="s">
        <v>88</v>
      </c>
      <c r="C37" s="25">
        <f t="shared" si="18"/>
        <v>472</v>
      </c>
      <c r="D37" s="25" t="e">
        <f t="shared" si="19"/>
        <v>#REF!</v>
      </c>
      <c r="E37" s="27" t="e">
        <f t="shared" si="20"/>
        <v>#REF!</v>
      </c>
      <c r="F37" s="27"/>
      <c r="G37" s="25">
        <f t="shared" si="21"/>
        <v>623</v>
      </c>
      <c r="H37" s="25" t="e">
        <f t="shared" si="22"/>
        <v>#REF!</v>
      </c>
      <c r="I37" s="27" t="e">
        <f t="shared" si="23"/>
        <v>#REF!</v>
      </c>
      <c r="J37" s="27"/>
      <c r="K37" s="25">
        <f t="shared" si="24"/>
        <v>410</v>
      </c>
      <c r="L37" s="25" t="e">
        <f t="shared" si="25"/>
        <v>#REF!</v>
      </c>
      <c r="M37" s="27" t="e">
        <f t="shared" si="26"/>
        <v>#REF!</v>
      </c>
      <c r="N37" s="39"/>
      <c r="O37" s="36" t="str">
        <f t="shared" si="27"/>
        <v>Northern</v>
      </c>
      <c r="P37" s="26" t="e">
        <f t="shared" si="28"/>
        <v>#REF!</v>
      </c>
      <c r="Q37" s="27" t="e">
        <f t="shared" si="29"/>
        <v>#VALUE!</v>
      </c>
      <c r="R37" s="27"/>
      <c r="S37" s="26">
        <f t="shared" si="30"/>
        <v>4939</v>
      </c>
      <c r="T37" s="26" t="e">
        <f t="shared" si="31"/>
        <v>#REF!</v>
      </c>
      <c r="U37" s="27" t="e">
        <f t="shared" si="32"/>
        <v>#REF!</v>
      </c>
      <c r="V37" s="27"/>
      <c r="W37" s="26">
        <f t="shared" si="33"/>
        <v>3739</v>
      </c>
      <c r="X37" s="26" t="e">
        <f t="shared" si="34"/>
        <v>#REF!</v>
      </c>
      <c r="Y37" s="27" t="e">
        <f t="shared" si="35"/>
        <v>#REF!</v>
      </c>
    </row>
    <row r="38" spans="1:25" ht="16.5" customHeight="1">
      <c r="A38" s="16" t="s">
        <v>93</v>
      </c>
      <c r="B38" s="17" t="s">
        <v>94</v>
      </c>
      <c r="C38" s="25">
        <f t="shared" si="18"/>
        <v>35</v>
      </c>
      <c r="D38" s="25" t="e">
        <f t="shared" si="19"/>
        <v>#REF!</v>
      </c>
      <c r="E38" s="27" t="e">
        <f t="shared" si="20"/>
        <v>#REF!</v>
      </c>
      <c r="F38" s="27"/>
      <c r="G38" s="25">
        <f t="shared" si="21"/>
        <v>70</v>
      </c>
      <c r="H38" s="25" t="e">
        <f t="shared" si="22"/>
        <v>#REF!</v>
      </c>
      <c r="I38" s="27" t="e">
        <f t="shared" si="23"/>
        <v>#REF!</v>
      </c>
      <c r="J38" s="27"/>
      <c r="K38" s="25">
        <f t="shared" si="24"/>
        <v>186</v>
      </c>
      <c r="L38" s="25" t="e">
        <f t="shared" si="25"/>
        <v>#REF!</v>
      </c>
      <c r="M38" s="27" t="e">
        <f t="shared" si="26"/>
        <v>#REF!</v>
      </c>
      <c r="N38" s="39"/>
      <c r="O38" s="36" t="str">
        <f t="shared" si="27"/>
        <v>Western</v>
      </c>
      <c r="P38" s="26" t="e">
        <f t="shared" si="28"/>
        <v>#REF!</v>
      </c>
      <c r="Q38" s="27" t="e">
        <f t="shared" si="29"/>
        <v>#VALUE!</v>
      </c>
      <c r="R38" s="27"/>
      <c r="S38" s="26">
        <f t="shared" si="30"/>
        <v>1273</v>
      </c>
      <c r="T38" s="26" t="e">
        <f t="shared" si="31"/>
        <v>#REF!</v>
      </c>
      <c r="U38" s="27" t="e">
        <f t="shared" si="32"/>
        <v>#REF!</v>
      </c>
      <c r="V38" s="27"/>
      <c r="W38" s="26">
        <f t="shared" si="33"/>
        <v>1198</v>
      </c>
      <c r="X38" s="26" t="e">
        <f t="shared" si="34"/>
        <v>#REF!</v>
      </c>
      <c r="Y38" s="27" t="e">
        <f t="shared" si="35"/>
        <v>#REF!</v>
      </c>
    </row>
    <row r="39" spans="1:25" ht="16.5" customHeight="1">
      <c r="A39" s="16" t="s">
        <v>95</v>
      </c>
      <c r="B39" s="17" t="s">
        <v>96</v>
      </c>
      <c r="C39" s="25">
        <f t="shared" si="18"/>
        <v>572</v>
      </c>
      <c r="D39" s="25" t="e">
        <f t="shared" si="19"/>
        <v>#REF!</v>
      </c>
      <c r="E39" s="27" t="e">
        <f t="shared" si="20"/>
        <v>#REF!</v>
      </c>
      <c r="F39" s="27"/>
      <c r="G39" s="25">
        <f t="shared" si="21"/>
        <v>188</v>
      </c>
      <c r="H39" s="25" t="e">
        <f t="shared" si="22"/>
        <v>#REF!</v>
      </c>
      <c r="I39" s="27" t="e">
        <f t="shared" si="23"/>
        <v>#REF!</v>
      </c>
      <c r="J39" s="27"/>
      <c r="K39" s="25">
        <f t="shared" si="24"/>
        <v>237</v>
      </c>
      <c r="L39" s="25" t="e">
        <f t="shared" si="25"/>
        <v>#REF!</v>
      </c>
      <c r="M39" s="27" t="e">
        <f t="shared" si="26"/>
        <v>#REF!</v>
      </c>
      <c r="N39" s="39"/>
      <c r="O39" s="36" t="str">
        <f t="shared" si="27"/>
        <v>Eastern</v>
      </c>
      <c r="P39" s="26" t="e">
        <f t="shared" si="28"/>
        <v>#REF!</v>
      </c>
      <c r="Q39" s="27" t="e">
        <f t="shared" si="29"/>
        <v>#VALUE!</v>
      </c>
      <c r="R39" s="27"/>
      <c r="S39" s="26">
        <f t="shared" si="30"/>
        <v>2424</v>
      </c>
      <c r="T39" s="26" t="e">
        <f t="shared" si="31"/>
        <v>#REF!</v>
      </c>
      <c r="U39" s="27" t="e">
        <f t="shared" si="32"/>
        <v>#REF!</v>
      </c>
      <c r="V39" s="27"/>
      <c r="W39" s="26">
        <f t="shared" si="33"/>
        <v>1876</v>
      </c>
      <c r="X39" s="26" t="e">
        <f t="shared" si="34"/>
        <v>#REF!</v>
      </c>
      <c r="Y39" s="27" t="e">
        <f t="shared" si="35"/>
        <v>#REF!</v>
      </c>
    </row>
    <row r="40" spans="1:25" ht="16.5" customHeight="1">
      <c r="A40" s="16" t="s">
        <v>97</v>
      </c>
      <c r="B40" s="17" t="s">
        <v>98</v>
      </c>
      <c r="C40" s="25">
        <f t="shared" si="18"/>
        <v>465</v>
      </c>
      <c r="D40" s="25" t="e">
        <f t="shared" si="19"/>
        <v>#REF!</v>
      </c>
      <c r="E40" s="27" t="e">
        <f t="shared" si="20"/>
        <v>#REF!</v>
      </c>
      <c r="F40" s="27"/>
      <c r="G40" s="25">
        <f t="shared" si="21"/>
        <v>111</v>
      </c>
      <c r="H40" s="25" t="e">
        <f t="shared" si="22"/>
        <v>#REF!</v>
      </c>
      <c r="I40" s="27" t="e">
        <f t="shared" si="23"/>
        <v>#REF!</v>
      </c>
      <c r="J40" s="27"/>
      <c r="K40" s="25">
        <f t="shared" si="24"/>
        <v>123</v>
      </c>
      <c r="L40" s="25" t="e">
        <f t="shared" si="25"/>
        <v>#REF!</v>
      </c>
      <c r="M40" s="27" t="e">
        <f t="shared" si="26"/>
        <v>#REF!</v>
      </c>
      <c r="N40" s="39"/>
      <c r="O40" s="36" t="str">
        <f t="shared" si="27"/>
        <v>Central</v>
      </c>
      <c r="P40" s="26" t="e">
        <f t="shared" si="28"/>
        <v>#REF!</v>
      </c>
      <c r="Q40" s="27" t="e">
        <f t="shared" si="29"/>
        <v>#VALUE!</v>
      </c>
      <c r="R40" s="27"/>
      <c r="S40" s="26">
        <f t="shared" si="30"/>
        <v>701</v>
      </c>
      <c r="T40" s="26" t="e">
        <f t="shared" si="31"/>
        <v>#REF!</v>
      </c>
      <c r="U40" s="27" t="e">
        <f t="shared" si="32"/>
        <v>#REF!</v>
      </c>
      <c r="V40" s="27"/>
      <c r="W40" s="26">
        <f t="shared" si="33"/>
        <v>326</v>
      </c>
      <c r="X40" s="26" t="e">
        <f t="shared" si="34"/>
        <v>#REF!</v>
      </c>
      <c r="Y40" s="27" t="e">
        <f t="shared" si="35"/>
        <v>#REF!</v>
      </c>
    </row>
    <row r="41" spans="1:25" ht="16.5" customHeight="1">
      <c r="A41" s="16" t="s">
        <v>99</v>
      </c>
      <c r="B41" s="17" t="s">
        <v>100</v>
      </c>
      <c r="C41" s="25">
        <f t="shared" si="18"/>
        <v>92</v>
      </c>
      <c r="D41" s="25" t="e">
        <f t="shared" si="19"/>
        <v>#REF!</v>
      </c>
      <c r="E41" s="27" t="e">
        <f t="shared" si="20"/>
        <v>#REF!</v>
      </c>
      <c r="F41" s="27"/>
      <c r="G41" s="25">
        <f t="shared" si="21"/>
        <v>106</v>
      </c>
      <c r="H41" s="25" t="e">
        <f t="shared" si="22"/>
        <v>#REF!</v>
      </c>
      <c r="I41" s="27" t="e">
        <f t="shared" si="23"/>
        <v>#REF!</v>
      </c>
      <c r="J41" s="27"/>
      <c r="K41" s="25">
        <f t="shared" si="24"/>
        <v>329</v>
      </c>
      <c r="L41" s="25" t="e">
        <f t="shared" si="25"/>
        <v>#REF!</v>
      </c>
      <c r="M41" s="27" t="e">
        <f t="shared" si="26"/>
        <v>#REF!</v>
      </c>
      <c r="N41" s="39"/>
      <c r="O41" s="36" t="str">
        <f t="shared" si="27"/>
        <v>Western</v>
      </c>
      <c r="P41" s="26" t="e">
        <f t="shared" si="28"/>
        <v>#REF!</v>
      </c>
      <c r="Q41" s="27" t="e">
        <f t="shared" si="29"/>
        <v>#VALUE!</v>
      </c>
      <c r="R41" s="27"/>
      <c r="S41" s="26">
        <f t="shared" si="30"/>
        <v>1400</v>
      </c>
      <c r="T41" s="26" t="e">
        <f t="shared" si="31"/>
        <v>#REF!</v>
      </c>
      <c r="U41" s="27" t="e">
        <f t="shared" si="32"/>
        <v>#REF!</v>
      </c>
      <c r="V41" s="27"/>
      <c r="W41" s="26">
        <f t="shared" si="33"/>
        <v>1255</v>
      </c>
      <c r="X41" s="26" t="e">
        <f t="shared" si="34"/>
        <v>#REF!</v>
      </c>
      <c r="Y41" s="27" t="e">
        <f t="shared" si="35"/>
        <v>#REF!</v>
      </c>
    </row>
    <row r="42" spans="1:25" ht="16.5" customHeight="1">
      <c r="A42" s="16" t="s">
        <v>101</v>
      </c>
      <c r="B42" s="17" t="s">
        <v>102</v>
      </c>
      <c r="C42" s="25">
        <f t="shared" si="18"/>
        <v>286</v>
      </c>
      <c r="D42" s="25" t="e">
        <f t="shared" si="19"/>
        <v>#REF!</v>
      </c>
      <c r="E42" s="27" t="e">
        <f t="shared" si="20"/>
        <v>#REF!</v>
      </c>
      <c r="F42" s="27"/>
      <c r="G42" s="25">
        <f t="shared" si="21"/>
        <v>133</v>
      </c>
      <c r="H42" s="25" t="e">
        <f t="shared" si="22"/>
        <v>#REF!</v>
      </c>
      <c r="I42" s="27" t="e">
        <f t="shared" si="23"/>
        <v>#REF!</v>
      </c>
      <c r="J42" s="27"/>
      <c r="K42" s="25">
        <f t="shared" si="24"/>
        <v>124</v>
      </c>
      <c r="L42" s="25" t="e">
        <f t="shared" si="25"/>
        <v>#REF!</v>
      </c>
      <c r="M42" s="27" t="e">
        <f t="shared" si="26"/>
        <v>#REF!</v>
      </c>
      <c r="N42" s="39"/>
      <c r="O42" s="36" t="str">
        <f t="shared" si="27"/>
        <v>Northern</v>
      </c>
      <c r="P42" s="26" t="e">
        <f t="shared" si="28"/>
        <v>#REF!</v>
      </c>
      <c r="Q42" s="27" t="e">
        <f t="shared" si="29"/>
        <v>#VALUE!</v>
      </c>
      <c r="R42" s="27"/>
      <c r="S42" s="26">
        <f t="shared" si="30"/>
        <v>1297</v>
      </c>
      <c r="T42" s="26" t="e">
        <f t="shared" si="31"/>
        <v>#REF!</v>
      </c>
      <c r="U42" s="27" t="e">
        <f t="shared" si="32"/>
        <v>#REF!</v>
      </c>
      <c r="V42" s="27"/>
      <c r="W42" s="26">
        <f t="shared" si="33"/>
        <v>881</v>
      </c>
      <c r="X42" s="26" t="e">
        <f t="shared" si="34"/>
        <v>#REF!</v>
      </c>
      <c r="Y42" s="27" t="e">
        <f t="shared" si="35"/>
        <v>#REF!</v>
      </c>
    </row>
    <row r="43" spans="1:25" ht="16.5" customHeight="1">
      <c r="A43" s="16" t="s">
        <v>103</v>
      </c>
      <c r="B43" s="32" t="s">
        <v>104</v>
      </c>
      <c r="C43" s="25">
        <f t="shared" si="18"/>
        <v>2597</v>
      </c>
      <c r="D43" s="25" t="e">
        <f t="shared" si="19"/>
        <v>#REF!</v>
      </c>
      <c r="E43" s="27" t="e">
        <f t="shared" si="20"/>
        <v>#REF!</v>
      </c>
      <c r="F43" s="27"/>
      <c r="G43" s="25">
        <f t="shared" si="21"/>
        <v>104</v>
      </c>
      <c r="H43" s="25" t="e">
        <f t="shared" si="22"/>
        <v>#REF!</v>
      </c>
      <c r="I43" s="27" t="e">
        <f t="shared" si="23"/>
        <v>#REF!</v>
      </c>
      <c r="J43" s="27"/>
      <c r="K43" s="25">
        <f t="shared" si="24"/>
        <v>313</v>
      </c>
      <c r="L43" s="25" t="e">
        <f t="shared" si="25"/>
        <v>#REF!</v>
      </c>
      <c r="M43" s="27" t="e">
        <f t="shared" si="26"/>
        <v>#REF!</v>
      </c>
      <c r="N43" s="39"/>
      <c r="O43" s="36" t="str">
        <f t="shared" si="27"/>
        <v>Eastern</v>
      </c>
      <c r="P43" s="26" t="e">
        <f t="shared" si="28"/>
        <v>#REF!</v>
      </c>
      <c r="Q43" s="27" t="e">
        <f t="shared" si="29"/>
        <v>#VALUE!</v>
      </c>
      <c r="R43" s="27"/>
      <c r="S43" s="26">
        <f t="shared" si="30"/>
        <v>2320</v>
      </c>
      <c r="T43" s="26" t="e">
        <f t="shared" si="31"/>
        <v>#REF!</v>
      </c>
      <c r="U43" s="27" t="e">
        <f t="shared" si="32"/>
        <v>#REF!</v>
      </c>
      <c r="V43" s="27"/>
      <c r="W43" s="26">
        <f t="shared" si="33"/>
        <v>261</v>
      </c>
      <c r="X43" s="26" t="e">
        <f t="shared" si="34"/>
        <v>#REF!</v>
      </c>
      <c r="Y43" s="27" t="e">
        <f t="shared" si="35"/>
        <v>#REF!</v>
      </c>
    </row>
    <row r="44" spans="1:25" ht="16.5" customHeight="1">
      <c r="A44" s="16" t="s">
        <v>105</v>
      </c>
      <c r="B44" s="32" t="s">
        <v>331</v>
      </c>
      <c r="C44" s="25">
        <f t="shared" si="18"/>
        <v>2786</v>
      </c>
      <c r="D44" s="25" t="e">
        <f t="shared" si="19"/>
        <v>#REF!</v>
      </c>
      <c r="E44" s="27" t="e">
        <f t="shared" si="20"/>
        <v>#REF!</v>
      </c>
      <c r="F44" s="27"/>
      <c r="G44" s="25">
        <f t="shared" si="21"/>
        <v>644</v>
      </c>
      <c r="H44" s="25" t="e">
        <f t="shared" si="22"/>
        <v>#REF!</v>
      </c>
      <c r="I44" s="27" t="e">
        <f t="shared" si="23"/>
        <v>#REF!</v>
      </c>
      <c r="J44" s="27"/>
      <c r="K44" s="25">
        <f t="shared" si="24"/>
        <v>727</v>
      </c>
      <c r="L44" s="25" t="e">
        <f t="shared" si="25"/>
        <v>#REF!</v>
      </c>
      <c r="M44" s="27" t="e">
        <f t="shared" si="26"/>
        <v>#REF!</v>
      </c>
      <c r="N44" s="39"/>
      <c r="O44" s="36" t="str">
        <f t="shared" si="27"/>
        <v>Piedmont</v>
      </c>
      <c r="P44" s="26" t="e">
        <f t="shared" si="28"/>
        <v>#REF!</v>
      </c>
      <c r="Q44" s="27" t="e">
        <f t="shared" si="29"/>
        <v>#VALUE!</v>
      </c>
      <c r="R44" s="27"/>
      <c r="S44" s="26">
        <f t="shared" si="30"/>
        <v>3619</v>
      </c>
      <c r="T44" s="26" t="e">
        <f t="shared" si="31"/>
        <v>#REF!</v>
      </c>
      <c r="U44" s="27" t="e">
        <f t="shared" si="32"/>
        <v>#REF!</v>
      </c>
      <c r="V44" s="27"/>
      <c r="W44" s="26">
        <f t="shared" si="33"/>
        <v>1172</v>
      </c>
      <c r="X44" s="26" t="e">
        <f t="shared" si="34"/>
        <v>#REF!</v>
      </c>
      <c r="Y44" s="27" t="e">
        <f t="shared" si="35"/>
        <v>#REF!</v>
      </c>
    </row>
    <row r="45" spans="1:25" ht="16.5" customHeight="1">
      <c r="A45" s="16" t="s">
        <v>109</v>
      </c>
      <c r="B45" s="17" t="s">
        <v>110</v>
      </c>
      <c r="C45" s="25">
        <f t="shared" si="18"/>
        <v>1219</v>
      </c>
      <c r="D45" s="25" t="e">
        <f t="shared" si="19"/>
        <v>#REF!</v>
      </c>
      <c r="E45" s="27" t="e">
        <f t="shared" si="20"/>
        <v>#REF!</v>
      </c>
      <c r="F45" s="27"/>
      <c r="G45" s="25">
        <f t="shared" si="21"/>
        <v>659</v>
      </c>
      <c r="H45" s="25" t="e">
        <f t="shared" si="22"/>
        <v>#REF!</v>
      </c>
      <c r="I45" s="27" t="e">
        <f t="shared" si="23"/>
        <v>#REF!</v>
      </c>
      <c r="J45" s="27"/>
      <c r="K45" s="25">
        <f t="shared" si="24"/>
        <v>358</v>
      </c>
      <c r="L45" s="25" t="e">
        <f t="shared" si="25"/>
        <v>#REF!</v>
      </c>
      <c r="M45" s="27" t="e">
        <f t="shared" si="26"/>
        <v>#REF!</v>
      </c>
      <c r="N45" s="39"/>
      <c r="O45" s="36" t="str">
        <f t="shared" si="27"/>
        <v>Central</v>
      </c>
      <c r="P45" s="26" t="e">
        <f t="shared" si="28"/>
        <v>#REF!</v>
      </c>
      <c r="Q45" s="27" t="e">
        <f t="shared" si="29"/>
        <v>#VALUE!</v>
      </c>
      <c r="R45" s="27"/>
      <c r="S45" s="26">
        <f t="shared" si="30"/>
        <v>3628</v>
      </c>
      <c r="T45" s="26" t="e">
        <f t="shared" si="31"/>
        <v>#REF!</v>
      </c>
      <c r="U45" s="27" t="e">
        <f t="shared" si="32"/>
        <v>#REF!</v>
      </c>
      <c r="V45" s="27"/>
      <c r="W45" s="26">
        <f t="shared" si="33"/>
        <v>2028</v>
      </c>
      <c r="X45" s="26" t="e">
        <f t="shared" si="34"/>
        <v>#REF!</v>
      </c>
      <c r="Y45" s="27" t="e">
        <f t="shared" si="35"/>
        <v>#REF!</v>
      </c>
    </row>
    <row r="46" spans="1:25" ht="16.5" customHeight="1">
      <c r="A46" s="16" t="s">
        <v>111</v>
      </c>
      <c r="B46" s="17" t="s">
        <v>112</v>
      </c>
      <c r="C46" s="25">
        <f t="shared" si="18"/>
        <v>13681</v>
      </c>
      <c r="D46" s="25" t="e">
        <f t="shared" si="19"/>
        <v>#REF!</v>
      </c>
      <c r="E46" s="27" t="e">
        <f t="shared" si="20"/>
        <v>#REF!</v>
      </c>
      <c r="F46" s="27"/>
      <c r="G46" s="25">
        <f t="shared" si="21"/>
        <v>6435</v>
      </c>
      <c r="H46" s="25" t="e">
        <f t="shared" si="22"/>
        <v>#REF!</v>
      </c>
      <c r="I46" s="27" t="e">
        <f t="shared" si="23"/>
        <v>#REF!</v>
      </c>
      <c r="J46" s="27"/>
      <c r="K46" s="25">
        <f t="shared" si="24"/>
        <v>1885</v>
      </c>
      <c r="L46" s="25" t="e">
        <f t="shared" si="25"/>
        <v>#REF!</v>
      </c>
      <c r="M46" s="27" t="e">
        <f t="shared" si="26"/>
        <v>#REF!</v>
      </c>
      <c r="N46" s="39"/>
      <c r="O46" s="36" t="str">
        <f t="shared" si="27"/>
        <v>Central</v>
      </c>
      <c r="P46" s="26" t="e">
        <f t="shared" si="28"/>
        <v>#REF!</v>
      </c>
      <c r="Q46" s="27" t="e">
        <f t="shared" si="29"/>
        <v>#VALUE!</v>
      </c>
      <c r="R46" s="27"/>
      <c r="S46" s="26">
        <f t="shared" si="30"/>
        <v>21315</v>
      </c>
      <c r="T46" s="26" t="e">
        <f t="shared" si="31"/>
        <v>#REF!</v>
      </c>
      <c r="U46" s="27" t="e">
        <f t="shared" si="32"/>
        <v>#REF!</v>
      </c>
      <c r="V46" s="27"/>
      <c r="W46" s="26">
        <f t="shared" si="33"/>
        <v>4409</v>
      </c>
      <c r="X46" s="26" t="e">
        <f t="shared" si="34"/>
        <v>#REF!</v>
      </c>
      <c r="Y46" s="27" t="e">
        <f t="shared" si="35"/>
        <v>#REF!</v>
      </c>
    </row>
    <row r="47" spans="1:25" ht="16.5" customHeight="1">
      <c r="A47" s="16" t="s">
        <v>113</v>
      </c>
      <c r="B47" s="32" t="s">
        <v>310</v>
      </c>
      <c r="C47" s="25">
        <f t="shared" si="18"/>
        <v>5034</v>
      </c>
      <c r="D47" s="25" t="e">
        <f t="shared" si="19"/>
        <v>#REF!</v>
      </c>
      <c r="E47" s="27" t="e">
        <f t="shared" si="20"/>
        <v>#REF!</v>
      </c>
      <c r="F47" s="27"/>
      <c r="G47" s="25">
        <f t="shared" si="21"/>
        <v>1764</v>
      </c>
      <c r="H47" s="25" t="e">
        <f t="shared" si="22"/>
        <v>#REF!</v>
      </c>
      <c r="I47" s="27" t="e">
        <f t="shared" si="23"/>
        <v>#REF!</v>
      </c>
      <c r="J47" s="27"/>
      <c r="K47" s="25">
        <f t="shared" si="24"/>
        <v>1095</v>
      </c>
      <c r="L47" s="25" t="e">
        <f t="shared" si="25"/>
        <v>#REF!</v>
      </c>
      <c r="M47" s="27" t="e">
        <f t="shared" si="26"/>
        <v>#REF!</v>
      </c>
      <c r="N47" s="39"/>
      <c r="O47" s="36" t="str">
        <f t="shared" si="27"/>
        <v>Piedmont</v>
      </c>
      <c r="P47" s="26" t="e">
        <f t="shared" si="28"/>
        <v>#REF!</v>
      </c>
      <c r="Q47" s="27" t="e">
        <f t="shared" si="29"/>
        <v>#VALUE!</v>
      </c>
      <c r="R47" s="27"/>
      <c r="S47" s="26">
        <f t="shared" si="30"/>
        <v>8680</v>
      </c>
      <c r="T47" s="26" t="e">
        <f t="shared" si="31"/>
        <v>#REF!</v>
      </c>
      <c r="U47" s="27" t="e">
        <f t="shared" si="32"/>
        <v>#REF!</v>
      </c>
      <c r="V47" s="27"/>
      <c r="W47" s="26">
        <f t="shared" si="33"/>
        <v>3911</v>
      </c>
      <c r="X47" s="26" t="e">
        <f t="shared" si="34"/>
        <v>#REF!</v>
      </c>
      <c r="Y47" s="27" t="e">
        <f t="shared" si="35"/>
        <v>#REF!</v>
      </c>
    </row>
    <row r="48" spans="1:25" ht="16.5" customHeight="1">
      <c r="A48" s="16" t="s">
        <v>115</v>
      </c>
      <c r="B48" s="32" t="s">
        <v>116</v>
      </c>
      <c r="C48" s="25">
        <f t="shared" si="18"/>
        <v>2</v>
      </c>
      <c r="D48" s="25" t="e">
        <f t="shared" si="19"/>
        <v>#REF!</v>
      </c>
      <c r="E48" s="27" t="e">
        <f t="shared" si="20"/>
        <v>#REF!</v>
      </c>
      <c r="F48" s="27"/>
      <c r="G48" s="25">
        <f t="shared" si="21"/>
        <v>32</v>
      </c>
      <c r="H48" s="25" t="e">
        <f t="shared" si="22"/>
        <v>#REF!</v>
      </c>
      <c r="I48" s="27" t="e">
        <f t="shared" si="23"/>
        <v>#REF!</v>
      </c>
      <c r="J48" s="27"/>
      <c r="K48" s="25">
        <f t="shared" si="24"/>
        <v>22</v>
      </c>
      <c r="L48" s="25" t="e">
        <f t="shared" si="25"/>
        <v>#REF!</v>
      </c>
      <c r="M48" s="27" t="e">
        <f t="shared" si="26"/>
        <v>#REF!</v>
      </c>
      <c r="N48" s="39"/>
      <c r="O48" s="36" t="str">
        <f t="shared" si="27"/>
        <v>Piedmont</v>
      </c>
      <c r="P48" s="26" t="e">
        <f t="shared" si="28"/>
        <v>#REF!</v>
      </c>
      <c r="Q48" s="27" t="e">
        <f t="shared" si="29"/>
        <v>#VALUE!</v>
      </c>
      <c r="R48" s="27"/>
      <c r="S48" s="26">
        <f t="shared" si="30"/>
        <v>80</v>
      </c>
      <c r="T48" s="26" t="e">
        <f t="shared" si="31"/>
        <v>#REF!</v>
      </c>
      <c r="U48" s="27" t="e">
        <f t="shared" si="32"/>
        <v>#REF!</v>
      </c>
      <c r="V48" s="27"/>
      <c r="W48" s="26">
        <f t="shared" si="33"/>
        <v>66</v>
      </c>
      <c r="X48" s="26" t="e">
        <f t="shared" si="34"/>
        <v>#REF!</v>
      </c>
      <c r="Y48" s="27" t="e">
        <f t="shared" si="35"/>
        <v>#REF!</v>
      </c>
    </row>
    <row r="49" spans="1:25" ht="16.5" customHeight="1">
      <c r="A49" s="16" t="s">
        <v>119</v>
      </c>
      <c r="B49" s="17" t="s">
        <v>120</v>
      </c>
      <c r="C49" s="25">
        <f t="shared" si="18"/>
        <v>1628</v>
      </c>
      <c r="D49" s="25" t="e">
        <f t="shared" si="19"/>
        <v>#REF!</v>
      </c>
      <c r="E49" s="27" t="e">
        <f t="shared" si="20"/>
        <v>#REF!</v>
      </c>
      <c r="F49" s="27"/>
      <c r="G49" s="25">
        <f t="shared" si="21"/>
        <v>268</v>
      </c>
      <c r="H49" s="25" t="e">
        <f t="shared" si="22"/>
        <v>#REF!</v>
      </c>
      <c r="I49" s="27" t="e">
        <f t="shared" si="23"/>
        <v>#REF!</v>
      </c>
      <c r="J49" s="27"/>
      <c r="K49" s="25">
        <f t="shared" si="24"/>
        <v>317</v>
      </c>
      <c r="L49" s="25" t="e">
        <f t="shared" si="25"/>
        <v>#REF!</v>
      </c>
      <c r="M49" s="27" t="e">
        <f t="shared" si="26"/>
        <v>#REF!</v>
      </c>
      <c r="N49" s="39"/>
      <c r="O49" s="36" t="str">
        <f t="shared" si="27"/>
        <v>Eastern</v>
      </c>
      <c r="P49" s="26" t="e">
        <f t="shared" si="28"/>
        <v>#REF!</v>
      </c>
      <c r="Q49" s="27" t="e">
        <f t="shared" si="29"/>
        <v>#VALUE!</v>
      </c>
      <c r="R49" s="27"/>
      <c r="S49" s="26">
        <f t="shared" si="30"/>
        <v>2271</v>
      </c>
      <c r="T49" s="26" t="e">
        <f t="shared" si="31"/>
        <v>#REF!</v>
      </c>
      <c r="U49" s="27" t="e">
        <f t="shared" si="32"/>
        <v>#REF!</v>
      </c>
      <c r="V49" s="27"/>
      <c r="W49" s="26">
        <f t="shared" si="33"/>
        <v>925</v>
      </c>
      <c r="X49" s="26" t="e">
        <f t="shared" si="34"/>
        <v>#REF!</v>
      </c>
      <c r="Y49" s="27" t="e">
        <f t="shared" si="35"/>
        <v>#REF!</v>
      </c>
    </row>
    <row r="50" spans="1:25" ht="16.5" customHeight="1">
      <c r="A50" s="16" t="s">
        <v>121</v>
      </c>
      <c r="B50" s="17" t="s">
        <v>122</v>
      </c>
      <c r="C50" s="25">
        <f t="shared" si="18"/>
        <v>1490</v>
      </c>
      <c r="D50" s="25" t="e">
        <f t="shared" si="19"/>
        <v>#REF!</v>
      </c>
      <c r="E50" s="27" t="e">
        <f t="shared" si="20"/>
        <v>#REF!</v>
      </c>
      <c r="F50" s="27"/>
      <c r="G50" s="25">
        <f t="shared" si="21"/>
        <v>482</v>
      </c>
      <c r="H50" s="25" t="e">
        <f t="shared" si="22"/>
        <v>#REF!</v>
      </c>
      <c r="I50" s="27" t="e">
        <f t="shared" si="23"/>
        <v>#REF!</v>
      </c>
      <c r="J50" s="27"/>
      <c r="K50" s="25">
        <f t="shared" si="24"/>
        <v>225</v>
      </c>
      <c r="L50" s="25" t="e">
        <f t="shared" si="25"/>
        <v>#REF!</v>
      </c>
      <c r="M50" s="27" t="e">
        <f t="shared" si="26"/>
        <v>#REF!</v>
      </c>
      <c r="N50" s="39"/>
      <c r="O50" s="36" t="str">
        <f t="shared" si="27"/>
        <v>Eastern</v>
      </c>
      <c r="P50" s="26" t="e">
        <f t="shared" si="28"/>
        <v>#REF!</v>
      </c>
      <c r="Q50" s="27" t="e">
        <f t="shared" si="29"/>
        <v>#VALUE!</v>
      </c>
      <c r="R50" s="27"/>
      <c r="S50" s="26">
        <f t="shared" si="30"/>
        <v>3165</v>
      </c>
      <c r="T50" s="26" t="e">
        <f t="shared" si="31"/>
        <v>#REF!</v>
      </c>
      <c r="U50" s="27" t="e">
        <f t="shared" si="32"/>
        <v>#REF!</v>
      </c>
      <c r="V50" s="27"/>
      <c r="W50" s="26">
        <f t="shared" si="33"/>
        <v>1356</v>
      </c>
      <c r="X50" s="26" t="e">
        <f t="shared" si="34"/>
        <v>#REF!</v>
      </c>
      <c r="Y50" s="27" t="e">
        <f t="shared" si="35"/>
        <v>#REF!</v>
      </c>
    </row>
    <row r="51" spans="1:25" ht="16.5" customHeight="1">
      <c r="A51" s="16" t="s">
        <v>123</v>
      </c>
      <c r="B51" s="17" t="s">
        <v>278</v>
      </c>
      <c r="C51" s="25">
        <f t="shared" si="18"/>
        <v>379</v>
      </c>
      <c r="D51" s="25" t="e">
        <f t="shared" si="19"/>
        <v>#REF!</v>
      </c>
      <c r="E51" s="27" t="e">
        <f t="shared" si="20"/>
        <v>#REF!</v>
      </c>
      <c r="F51" s="27"/>
      <c r="G51" s="25">
        <f t="shared" si="21"/>
        <v>96</v>
      </c>
      <c r="H51" s="25" t="e">
        <f t="shared" si="22"/>
        <v>#REF!</v>
      </c>
      <c r="I51" s="27" t="e">
        <f t="shared" si="23"/>
        <v>#REF!</v>
      </c>
      <c r="J51" s="27"/>
      <c r="K51" s="25">
        <f t="shared" si="24"/>
        <v>110</v>
      </c>
      <c r="L51" s="25" t="e">
        <f t="shared" si="25"/>
        <v>#REF!</v>
      </c>
      <c r="M51" s="27" t="e">
        <f t="shared" si="26"/>
        <v>#REF!</v>
      </c>
      <c r="N51" s="39"/>
      <c r="O51" s="36" t="str">
        <f t="shared" si="27"/>
        <v>Central</v>
      </c>
      <c r="P51" s="26" t="e">
        <f t="shared" si="28"/>
        <v>#REF!</v>
      </c>
      <c r="Q51" s="27" t="e">
        <f t="shared" si="29"/>
        <v>#VALUE!</v>
      </c>
      <c r="R51" s="27"/>
      <c r="S51" s="26">
        <f t="shared" si="30"/>
        <v>666</v>
      </c>
      <c r="T51" s="26" t="e">
        <f t="shared" si="31"/>
        <v>#REF!</v>
      </c>
      <c r="U51" s="27" t="e">
        <f t="shared" si="32"/>
        <v>#REF!</v>
      </c>
      <c r="V51" s="27"/>
      <c r="W51" s="26">
        <f t="shared" si="33"/>
        <v>302</v>
      </c>
      <c r="X51" s="26" t="e">
        <f t="shared" si="34"/>
        <v>#REF!</v>
      </c>
      <c r="Y51" s="27" t="e">
        <f t="shared" si="35"/>
        <v>#REF!</v>
      </c>
    </row>
    <row r="52" spans="1:25" ht="16.5" customHeight="1">
      <c r="A52" s="16" t="s">
        <v>125</v>
      </c>
      <c r="B52" s="17" t="s">
        <v>126</v>
      </c>
      <c r="C52" s="25">
        <f t="shared" si="18"/>
        <v>810</v>
      </c>
      <c r="D52" s="25" t="e">
        <f t="shared" si="19"/>
        <v>#REF!</v>
      </c>
      <c r="E52" s="27" t="e">
        <f t="shared" si="20"/>
        <v>#REF!</v>
      </c>
      <c r="F52" s="27"/>
      <c r="G52" s="25">
        <f t="shared" si="21"/>
        <v>180</v>
      </c>
      <c r="H52" s="25" t="e">
        <f t="shared" si="22"/>
        <v>#REF!</v>
      </c>
      <c r="I52" s="27" t="e">
        <f t="shared" si="23"/>
        <v>#REF!</v>
      </c>
      <c r="J52" s="27"/>
      <c r="K52" s="25">
        <f t="shared" si="24"/>
        <v>123</v>
      </c>
      <c r="L52" s="25" t="e">
        <f t="shared" si="25"/>
        <v>#REF!</v>
      </c>
      <c r="M52" s="27" t="e">
        <f t="shared" si="26"/>
        <v>#REF!</v>
      </c>
      <c r="N52" s="39"/>
      <c r="O52" s="36" t="str">
        <f t="shared" si="27"/>
        <v>Northern</v>
      </c>
      <c r="P52" s="26" t="e">
        <f t="shared" si="28"/>
        <v>#REF!</v>
      </c>
      <c r="Q52" s="27" t="e">
        <f t="shared" si="29"/>
        <v>#VALUE!</v>
      </c>
      <c r="R52" s="27"/>
      <c r="S52" s="26">
        <f t="shared" si="30"/>
        <v>1865</v>
      </c>
      <c r="T52" s="26" t="e">
        <f t="shared" si="31"/>
        <v>#REF!</v>
      </c>
      <c r="U52" s="27" t="e">
        <f t="shared" si="32"/>
        <v>#REF!</v>
      </c>
      <c r="V52" s="27"/>
      <c r="W52" s="26">
        <f t="shared" si="33"/>
        <v>956</v>
      </c>
      <c r="X52" s="26" t="e">
        <f t="shared" si="34"/>
        <v>#REF!</v>
      </c>
      <c r="Y52" s="27" t="e">
        <f t="shared" si="35"/>
        <v>#REF!</v>
      </c>
    </row>
    <row r="53" spans="1:25" ht="16.5" customHeight="1">
      <c r="A53" s="16" t="s">
        <v>127</v>
      </c>
      <c r="B53" s="17" t="s">
        <v>128</v>
      </c>
      <c r="C53" s="25">
        <f t="shared" si="18"/>
        <v>542</v>
      </c>
      <c r="D53" s="25" t="e">
        <f t="shared" si="19"/>
        <v>#REF!</v>
      </c>
      <c r="E53" s="27" t="e">
        <f t="shared" si="20"/>
        <v>#REF!</v>
      </c>
      <c r="F53" s="27"/>
      <c r="G53" s="25">
        <f t="shared" si="21"/>
        <v>195</v>
      </c>
      <c r="H53" s="25" t="e">
        <f t="shared" si="22"/>
        <v>#REF!</v>
      </c>
      <c r="I53" s="27" t="e">
        <f t="shared" si="23"/>
        <v>#REF!</v>
      </c>
      <c r="J53" s="27"/>
      <c r="K53" s="25">
        <f t="shared" si="24"/>
        <v>139</v>
      </c>
      <c r="L53" s="25" t="e">
        <f t="shared" si="25"/>
        <v>#REF!</v>
      </c>
      <c r="M53" s="27" t="e">
        <f t="shared" si="26"/>
        <v>#REF!</v>
      </c>
      <c r="N53" s="39"/>
      <c r="O53" s="36" t="str">
        <f t="shared" si="27"/>
        <v>Central</v>
      </c>
      <c r="P53" s="26" t="e">
        <f t="shared" si="28"/>
        <v>#REF!</v>
      </c>
      <c r="Q53" s="27" t="e">
        <f t="shared" si="29"/>
        <v>#VALUE!</v>
      </c>
      <c r="R53" s="27"/>
      <c r="S53" s="26">
        <f t="shared" si="30"/>
        <v>1199</v>
      </c>
      <c r="T53" s="26" t="e">
        <f t="shared" si="31"/>
        <v>#REF!</v>
      </c>
      <c r="U53" s="27" t="e">
        <f t="shared" si="32"/>
        <v>#REF!</v>
      </c>
      <c r="V53" s="27"/>
      <c r="W53" s="26">
        <f t="shared" si="33"/>
        <v>652</v>
      </c>
      <c r="X53" s="26" t="e">
        <f t="shared" si="34"/>
        <v>#REF!</v>
      </c>
      <c r="Y53" s="27" t="e">
        <f t="shared" si="35"/>
        <v>#REF!</v>
      </c>
    </row>
    <row r="54" spans="1:25" ht="16.5" customHeight="1">
      <c r="A54" s="16" t="s">
        <v>129</v>
      </c>
      <c r="B54" s="17" t="s">
        <v>130</v>
      </c>
      <c r="C54" s="25">
        <f t="shared" si="18"/>
        <v>846</v>
      </c>
      <c r="D54" s="25" t="e">
        <f t="shared" si="19"/>
        <v>#REF!</v>
      </c>
      <c r="E54" s="27" t="e">
        <f t="shared" si="20"/>
        <v>#REF!</v>
      </c>
      <c r="F54" s="27"/>
      <c r="G54" s="25">
        <f t="shared" si="21"/>
        <v>22</v>
      </c>
      <c r="H54" s="25" t="e">
        <f t="shared" si="22"/>
        <v>#REF!</v>
      </c>
      <c r="I54" s="27" t="e">
        <f t="shared" si="23"/>
        <v>#REF!</v>
      </c>
      <c r="J54" s="27"/>
      <c r="K54" s="25">
        <f t="shared" si="24"/>
        <v>163</v>
      </c>
      <c r="L54" s="25" t="e">
        <f t="shared" si="25"/>
        <v>#REF!</v>
      </c>
      <c r="M54" s="27" t="e">
        <f t="shared" si="26"/>
        <v>#REF!</v>
      </c>
      <c r="N54" s="39"/>
      <c r="O54" s="36" t="str">
        <f t="shared" si="27"/>
        <v>Central</v>
      </c>
      <c r="P54" s="26" t="e">
        <f t="shared" si="28"/>
        <v>#REF!</v>
      </c>
      <c r="Q54" s="27" t="e">
        <f t="shared" si="29"/>
        <v>#VALUE!</v>
      </c>
      <c r="R54" s="27"/>
      <c r="S54" s="26">
        <f t="shared" si="30"/>
        <v>946</v>
      </c>
      <c r="T54" s="26" t="e">
        <f t="shared" si="31"/>
        <v>#REF!</v>
      </c>
      <c r="U54" s="27" t="e">
        <f t="shared" si="32"/>
        <v>#REF!</v>
      </c>
      <c r="V54" s="27"/>
      <c r="W54" s="26">
        <f t="shared" si="33"/>
        <v>234</v>
      </c>
      <c r="X54" s="26" t="e">
        <f t="shared" si="34"/>
        <v>#REF!</v>
      </c>
      <c r="Y54" s="27" t="e">
        <f t="shared" si="35"/>
        <v>#REF!</v>
      </c>
    </row>
    <row r="55" spans="1:25" ht="16.5" customHeight="1">
      <c r="A55" s="16" t="s">
        <v>131</v>
      </c>
      <c r="B55" s="32" t="s">
        <v>132</v>
      </c>
      <c r="C55" s="25">
        <f t="shared" si="18"/>
        <v>32</v>
      </c>
      <c r="D55" s="25" t="e">
        <f t="shared" si="19"/>
        <v>#REF!</v>
      </c>
      <c r="E55" s="27" t="e">
        <f t="shared" si="20"/>
        <v>#REF!</v>
      </c>
      <c r="F55" s="27"/>
      <c r="G55" s="25">
        <f t="shared" si="21"/>
        <v>190</v>
      </c>
      <c r="H55" s="25" t="e">
        <f t="shared" si="22"/>
        <v>#REF!</v>
      </c>
      <c r="I55" s="27" t="e">
        <f t="shared" si="23"/>
        <v>#REF!</v>
      </c>
      <c r="J55" s="27"/>
      <c r="K55" s="25">
        <f t="shared" si="24"/>
        <v>594</v>
      </c>
      <c r="L55" s="25" t="e">
        <f t="shared" si="25"/>
        <v>#REF!</v>
      </c>
      <c r="M55" s="27" t="e">
        <f t="shared" si="26"/>
        <v>#REF!</v>
      </c>
      <c r="N55" s="39"/>
      <c r="O55" s="36" t="str">
        <f t="shared" si="27"/>
        <v>Western</v>
      </c>
      <c r="P55" s="26" t="e">
        <f t="shared" si="28"/>
        <v>#REF!</v>
      </c>
      <c r="Q55" s="27" t="e">
        <f t="shared" si="29"/>
        <v>#VALUE!</v>
      </c>
      <c r="R55" s="27"/>
      <c r="S55" s="26">
        <f t="shared" si="30"/>
        <v>2610</v>
      </c>
      <c r="T55" s="26" t="e">
        <f t="shared" si="31"/>
        <v>#REF!</v>
      </c>
      <c r="U55" s="27" t="e">
        <f t="shared" si="32"/>
        <v>#REF!</v>
      </c>
      <c r="V55" s="27"/>
      <c r="W55" s="26">
        <f t="shared" si="33"/>
        <v>2476</v>
      </c>
      <c r="X55" s="26" t="e">
        <f t="shared" si="34"/>
        <v>#REF!</v>
      </c>
      <c r="Y55" s="27" t="e">
        <f t="shared" si="35"/>
        <v>#REF!</v>
      </c>
    </row>
    <row r="56" spans="1:25" ht="16.5" customHeight="1">
      <c r="A56" s="16" t="s">
        <v>133</v>
      </c>
      <c r="B56" s="17" t="s">
        <v>134</v>
      </c>
      <c r="C56" s="25">
        <f t="shared" si="18"/>
        <v>1543</v>
      </c>
      <c r="D56" s="25" t="e">
        <f t="shared" si="19"/>
        <v>#REF!</v>
      </c>
      <c r="E56" s="27" t="e">
        <f t="shared" si="20"/>
        <v>#REF!</v>
      </c>
      <c r="F56" s="27"/>
      <c r="G56" s="25">
        <f t="shared" si="21"/>
        <v>2276</v>
      </c>
      <c r="H56" s="25" t="e">
        <f t="shared" si="22"/>
        <v>#REF!</v>
      </c>
      <c r="I56" s="27" t="e">
        <f t="shared" si="23"/>
        <v>#REF!</v>
      </c>
      <c r="J56" s="27"/>
      <c r="K56" s="25">
        <f t="shared" si="24"/>
        <v>1263</v>
      </c>
      <c r="L56" s="25" t="e">
        <f t="shared" si="25"/>
        <v>#REF!</v>
      </c>
      <c r="M56" s="27" t="e">
        <f t="shared" si="26"/>
        <v>#REF!</v>
      </c>
      <c r="N56" s="39"/>
      <c r="O56" s="36" t="str">
        <f t="shared" si="27"/>
        <v>Northern</v>
      </c>
      <c r="P56" s="26" t="e">
        <f t="shared" si="28"/>
        <v>#REF!</v>
      </c>
      <c r="Q56" s="27" t="e">
        <f t="shared" si="29"/>
        <v>#VALUE!</v>
      </c>
      <c r="R56" s="27"/>
      <c r="S56" s="26">
        <f t="shared" si="30"/>
        <v>6838</v>
      </c>
      <c r="T56" s="26" t="e">
        <f t="shared" si="31"/>
        <v>#REF!</v>
      </c>
      <c r="U56" s="27" t="e">
        <f t="shared" si="32"/>
        <v>#REF!</v>
      </c>
      <c r="V56" s="27"/>
      <c r="W56" s="26">
        <f t="shared" si="33"/>
        <v>2831</v>
      </c>
      <c r="X56" s="26" t="e">
        <f t="shared" si="34"/>
        <v>#REF!</v>
      </c>
      <c r="Y56" s="27" t="e">
        <f t="shared" si="35"/>
        <v>#REF!</v>
      </c>
    </row>
    <row r="57" spans="1:25" ht="16.5" customHeight="1">
      <c r="A57" s="16" t="s">
        <v>135</v>
      </c>
      <c r="B57" s="17" t="s">
        <v>136</v>
      </c>
      <c r="C57" s="25">
        <f t="shared" si="18"/>
        <v>992</v>
      </c>
      <c r="D57" s="25" t="e">
        <f t="shared" si="19"/>
        <v>#REF!</v>
      </c>
      <c r="E57" s="27" t="e">
        <f t="shared" si="20"/>
        <v>#REF!</v>
      </c>
      <c r="F57" s="27"/>
      <c r="G57" s="25">
        <f t="shared" si="21"/>
        <v>504</v>
      </c>
      <c r="H57" s="25" t="e">
        <f t="shared" si="22"/>
        <v>#REF!</v>
      </c>
      <c r="I57" s="27" t="e">
        <f t="shared" si="23"/>
        <v>#REF!</v>
      </c>
      <c r="J57" s="27"/>
      <c r="K57" s="25">
        <f t="shared" si="24"/>
        <v>356</v>
      </c>
      <c r="L57" s="25" t="e">
        <f t="shared" si="25"/>
        <v>#REF!</v>
      </c>
      <c r="M57" s="27" t="e">
        <f t="shared" si="26"/>
        <v>#REF!</v>
      </c>
      <c r="N57" s="39"/>
      <c r="O57" s="36" t="str">
        <f t="shared" si="27"/>
        <v>Northern</v>
      </c>
      <c r="P57" s="26" t="e">
        <f t="shared" si="28"/>
        <v>#REF!</v>
      </c>
      <c r="Q57" s="27" t="e">
        <f t="shared" si="29"/>
        <v>#VALUE!</v>
      </c>
      <c r="R57" s="27"/>
      <c r="S57" s="26">
        <f t="shared" si="30"/>
        <v>2490</v>
      </c>
      <c r="T57" s="26" t="e">
        <f t="shared" si="31"/>
        <v>#REF!</v>
      </c>
      <c r="U57" s="27" t="e">
        <f t="shared" si="32"/>
        <v>#REF!</v>
      </c>
      <c r="V57" s="27"/>
      <c r="W57" s="26">
        <f t="shared" si="33"/>
        <v>1425</v>
      </c>
      <c r="X57" s="26" t="e">
        <f t="shared" si="34"/>
        <v>#REF!</v>
      </c>
      <c r="Y57" s="27" t="e">
        <f t="shared" si="35"/>
        <v>#REF!</v>
      </c>
    </row>
    <row r="58" spans="1:25" ht="16.5" customHeight="1">
      <c r="A58" s="16" t="s">
        <v>137</v>
      </c>
      <c r="B58" s="32" t="s">
        <v>138</v>
      </c>
      <c r="C58" s="25">
        <f t="shared" si="18"/>
        <v>938</v>
      </c>
      <c r="D58" s="25" t="e">
        <f t="shared" si="19"/>
        <v>#REF!</v>
      </c>
      <c r="E58" s="27" t="e">
        <f t="shared" si="20"/>
        <v>#REF!</v>
      </c>
      <c r="F58" s="27"/>
      <c r="G58" s="25">
        <f t="shared" si="21"/>
        <v>155</v>
      </c>
      <c r="H58" s="25" t="e">
        <f t="shared" si="22"/>
        <v>#REF!</v>
      </c>
      <c r="I58" s="27" t="e">
        <f t="shared" si="23"/>
        <v>#REF!</v>
      </c>
      <c r="J58" s="27"/>
      <c r="K58" s="25">
        <f t="shared" si="24"/>
        <v>254</v>
      </c>
      <c r="L58" s="25" t="e">
        <f t="shared" si="25"/>
        <v>#REF!</v>
      </c>
      <c r="M58" s="27" t="e">
        <f t="shared" si="26"/>
        <v>#REF!</v>
      </c>
      <c r="N58" s="39"/>
      <c r="O58" s="36" t="str">
        <f t="shared" si="27"/>
        <v>Central</v>
      </c>
      <c r="P58" s="26" t="e">
        <f t="shared" si="28"/>
        <v>#REF!</v>
      </c>
      <c r="Q58" s="27" t="e">
        <f t="shared" si="29"/>
        <v>#VALUE!</v>
      </c>
      <c r="R58" s="27"/>
      <c r="S58" s="26">
        <f t="shared" si="30"/>
        <v>1323</v>
      </c>
      <c r="T58" s="26" t="e">
        <f t="shared" si="31"/>
        <v>#REF!</v>
      </c>
      <c r="U58" s="27" t="e">
        <f t="shared" si="32"/>
        <v>#REF!</v>
      </c>
      <c r="V58" s="27"/>
      <c r="W58" s="26">
        <f t="shared" si="33"/>
        <v>536</v>
      </c>
      <c r="X58" s="26" t="e">
        <f t="shared" si="34"/>
        <v>#REF!</v>
      </c>
      <c r="Y58" s="27" t="e">
        <f t="shared" si="35"/>
        <v>#REF!</v>
      </c>
    </row>
    <row r="59" spans="1:25" ht="16.5" customHeight="1">
      <c r="A59" s="16" t="s">
        <v>141</v>
      </c>
      <c r="B59" s="17" t="s">
        <v>142</v>
      </c>
      <c r="C59" s="25">
        <f t="shared" si="18"/>
        <v>215</v>
      </c>
      <c r="D59" s="25" t="e">
        <f t="shared" si="19"/>
        <v>#REF!</v>
      </c>
      <c r="E59" s="27" t="e">
        <f t="shared" si="20"/>
        <v>#REF!</v>
      </c>
      <c r="F59" s="27"/>
      <c r="G59" s="25">
        <f t="shared" si="21"/>
        <v>63</v>
      </c>
      <c r="H59" s="25" t="e">
        <f t="shared" si="22"/>
        <v>#REF!</v>
      </c>
      <c r="I59" s="27" t="e">
        <f t="shared" si="23"/>
        <v>#REF!</v>
      </c>
      <c r="J59" s="27"/>
      <c r="K59" s="25">
        <f t="shared" si="24"/>
        <v>139</v>
      </c>
      <c r="L59" s="25" t="e">
        <f t="shared" si="25"/>
        <v>#REF!</v>
      </c>
      <c r="M59" s="27" t="e">
        <f t="shared" si="26"/>
        <v>#REF!</v>
      </c>
      <c r="N59" s="39"/>
      <c r="O59" s="36" t="str">
        <f t="shared" si="27"/>
        <v>Northern</v>
      </c>
      <c r="P59" s="26" t="e">
        <f t="shared" si="28"/>
        <v>#REF!</v>
      </c>
      <c r="Q59" s="27" t="e">
        <f t="shared" si="29"/>
        <v>#VALUE!</v>
      </c>
      <c r="R59" s="27"/>
      <c r="S59" s="26">
        <f t="shared" si="30"/>
        <v>962</v>
      </c>
      <c r="T59" s="26" t="e">
        <f t="shared" si="31"/>
        <v>#REF!</v>
      </c>
      <c r="U59" s="27" t="e">
        <f t="shared" si="32"/>
        <v>#REF!</v>
      </c>
      <c r="V59" s="27"/>
      <c r="W59" s="26">
        <f t="shared" si="33"/>
        <v>715</v>
      </c>
      <c r="X59" s="26" t="e">
        <f t="shared" si="34"/>
        <v>#REF!</v>
      </c>
      <c r="Y59" s="27" t="e">
        <f t="shared" si="35"/>
        <v>#REF!</v>
      </c>
    </row>
    <row r="60" spans="1:25" ht="16.5" customHeight="1">
      <c r="A60" s="16" t="s">
        <v>147</v>
      </c>
      <c r="B60" s="17" t="s">
        <v>148</v>
      </c>
      <c r="C60" s="25">
        <f t="shared" si="18"/>
        <v>144</v>
      </c>
      <c r="D60" s="25" t="e">
        <f t="shared" si="19"/>
        <v>#REF!</v>
      </c>
      <c r="E60" s="27" t="e">
        <f t="shared" si="20"/>
        <v>#REF!</v>
      </c>
      <c r="F60" s="27"/>
      <c r="G60" s="25">
        <f t="shared" si="21"/>
        <v>77</v>
      </c>
      <c r="H60" s="25" t="e">
        <f t="shared" si="22"/>
        <v>#REF!</v>
      </c>
      <c r="I60" s="27" t="e">
        <f t="shared" si="23"/>
        <v>#REF!</v>
      </c>
      <c r="J60" s="27"/>
      <c r="K60" s="25">
        <f t="shared" si="24"/>
        <v>104</v>
      </c>
      <c r="L60" s="25" t="e">
        <f t="shared" si="25"/>
        <v>#REF!</v>
      </c>
      <c r="M60" s="27" t="e">
        <f t="shared" si="26"/>
        <v>#REF!</v>
      </c>
      <c r="N60" s="39"/>
      <c r="O60" s="36" t="str">
        <f t="shared" si="27"/>
        <v>Eastern</v>
      </c>
      <c r="P60" s="26" t="e">
        <f t="shared" si="28"/>
        <v>#REF!</v>
      </c>
      <c r="Q60" s="27" t="e">
        <f t="shared" si="29"/>
        <v>#VALUE!</v>
      </c>
      <c r="R60" s="27"/>
      <c r="S60" s="26">
        <f t="shared" si="30"/>
        <v>512</v>
      </c>
      <c r="T60" s="26" t="e">
        <f t="shared" si="31"/>
        <v>#REF!</v>
      </c>
      <c r="U60" s="27" t="e">
        <f t="shared" si="32"/>
        <v>#REF!</v>
      </c>
      <c r="V60" s="27"/>
      <c r="W60" s="26">
        <f t="shared" si="33"/>
        <v>413</v>
      </c>
      <c r="X60" s="26" t="e">
        <f t="shared" si="34"/>
        <v>#REF!</v>
      </c>
      <c r="Y60" s="27" t="e">
        <f t="shared" si="35"/>
        <v>#REF!</v>
      </c>
    </row>
    <row r="61" spans="1:25" ht="16.5" customHeight="1">
      <c r="A61" s="16" t="s">
        <v>149</v>
      </c>
      <c r="B61" s="17" t="s">
        <v>150</v>
      </c>
      <c r="C61" s="25">
        <f t="shared" si="18"/>
        <v>2469</v>
      </c>
      <c r="D61" s="25" t="e">
        <f t="shared" si="19"/>
        <v>#REF!</v>
      </c>
      <c r="E61" s="27" t="e">
        <f t="shared" si="20"/>
        <v>#REF!</v>
      </c>
      <c r="F61" s="27"/>
      <c r="G61" s="25">
        <f t="shared" si="21"/>
        <v>154</v>
      </c>
      <c r="H61" s="25" t="e">
        <f t="shared" si="22"/>
        <v>#REF!</v>
      </c>
      <c r="I61" s="27" t="e">
        <f t="shared" si="23"/>
        <v>#REF!</v>
      </c>
      <c r="J61" s="27"/>
      <c r="K61" s="25">
        <f t="shared" si="24"/>
        <v>484</v>
      </c>
      <c r="L61" s="25" t="e">
        <f t="shared" si="25"/>
        <v>#REF!</v>
      </c>
      <c r="M61" s="27" t="e">
        <f t="shared" si="26"/>
        <v>#REF!</v>
      </c>
      <c r="N61" s="39"/>
      <c r="O61" s="36" t="str">
        <f t="shared" si="27"/>
        <v>Piedmont</v>
      </c>
      <c r="P61" s="26" t="e">
        <f t="shared" si="28"/>
        <v>#REF!</v>
      </c>
      <c r="Q61" s="27" t="e">
        <f t="shared" si="29"/>
        <v>#VALUE!</v>
      </c>
      <c r="R61" s="27"/>
      <c r="S61" s="26">
        <f t="shared" si="30"/>
        <v>2957</v>
      </c>
      <c r="T61" s="26" t="e">
        <f t="shared" si="31"/>
        <v>#REF!</v>
      </c>
      <c r="U61" s="27" t="e">
        <f t="shared" si="32"/>
        <v>#REF!</v>
      </c>
      <c r="V61" s="27"/>
      <c r="W61" s="26">
        <f t="shared" si="33"/>
        <v>1000</v>
      </c>
      <c r="X61" s="26" t="e">
        <f t="shared" si="34"/>
        <v>#REF!</v>
      </c>
      <c r="Y61" s="27" t="e">
        <f t="shared" si="35"/>
        <v>#REF!</v>
      </c>
    </row>
    <row r="62" spans="1:25" ht="16.5" customHeight="1">
      <c r="A62" s="16" t="s">
        <v>151</v>
      </c>
      <c r="B62" s="32" t="s">
        <v>152</v>
      </c>
      <c r="C62" s="25">
        <f t="shared" si="18"/>
        <v>448</v>
      </c>
      <c r="D62" s="25" t="e">
        <f t="shared" si="19"/>
        <v>#REF!</v>
      </c>
      <c r="E62" s="27" t="e">
        <f t="shared" si="20"/>
        <v>#REF!</v>
      </c>
      <c r="F62" s="27"/>
      <c r="G62" s="25">
        <f t="shared" si="21"/>
        <v>116</v>
      </c>
      <c r="H62" s="25" t="e">
        <f t="shared" si="22"/>
        <v>#REF!</v>
      </c>
      <c r="I62" s="27" t="e">
        <f t="shared" si="23"/>
        <v>#REF!</v>
      </c>
      <c r="J62" s="27"/>
      <c r="K62" s="25">
        <f t="shared" si="24"/>
        <v>134</v>
      </c>
      <c r="L62" s="25" t="e">
        <f t="shared" si="25"/>
        <v>#REF!</v>
      </c>
      <c r="M62" s="27" t="e">
        <f t="shared" si="26"/>
        <v>#REF!</v>
      </c>
      <c r="N62" s="39"/>
      <c r="O62" s="36" t="str">
        <f t="shared" si="27"/>
        <v>Central</v>
      </c>
      <c r="P62" s="26" t="e">
        <f t="shared" si="28"/>
        <v>#REF!</v>
      </c>
      <c r="Q62" s="27" t="e">
        <f t="shared" si="29"/>
        <v>#VALUE!</v>
      </c>
      <c r="R62" s="27"/>
      <c r="S62" s="26">
        <f t="shared" si="30"/>
        <v>803</v>
      </c>
      <c r="T62" s="26" t="e">
        <f t="shared" si="31"/>
        <v>#REF!</v>
      </c>
      <c r="U62" s="27" t="e">
        <f t="shared" si="32"/>
        <v>#REF!</v>
      </c>
      <c r="V62" s="27"/>
      <c r="W62" s="26">
        <f t="shared" si="33"/>
        <v>503</v>
      </c>
      <c r="X62" s="26" t="e">
        <f t="shared" si="34"/>
        <v>#REF!</v>
      </c>
      <c r="Y62" s="27" t="e">
        <f t="shared" si="35"/>
        <v>#REF!</v>
      </c>
    </row>
    <row r="63" spans="1:25" ht="16.5" customHeight="1">
      <c r="A63" s="16" t="s">
        <v>153</v>
      </c>
      <c r="B63" s="17" t="s">
        <v>154</v>
      </c>
      <c r="C63" s="25">
        <f t="shared" si="18"/>
        <v>552</v>
      </c>
      <c r="D63" s="25" t="e">
        <f t="shared" si="19"/>
        <v>#REF!</v>
      </c>
      <c r="E63" s="27" t="e">
        <f t="shared" si="20"/>
        <v>#REF!</v>
      </c>
      <c r="F63" s="27"/>
      <c r="G63" s="25">
        <f t="shared" si="21"/>
        <v>920</v>
      </c>
      <c r="H63" s="25" t="e">
        <f t="shared" si="22"/>
        <v>#REF!</v>
      </c>
      <c r="I63" s="27" t="e">
        <f t="shared" si="23"/>
        <v>#REF!</v>
      </c>
      <c r="J63" s="27"/>
      <c r="K63" s="25">
        <f t="shared" si="24"/>
        <v>404</v>
      </c>
      <c r="L63" s="25" t="e">
        <f t="shared" si="25"/>
        <v>#REF!</v>
      </c>
      <c r="M63" s="27" t="e">
        <f t="shared" si="26"/>
        <v>#REF!</v>
      </c>
      <c r="N63" s="39"/>
      <c r="O63" s="36" t="str">
        <f t="shared" si="27"/>
        <v>Western</v>
      </c>
      <c r="P63" s="26" t="e">
        <f t="shared" si="28"/>
        <v>#REF!</v>
      </c>
      <c r="Q63" s="27" t="e">
        <f t="shared" si="29"/>
        <v>#VALUE!</v>
      </c>
      <c r="R63" s="27"/>
      <c r="S63" s="26">
        <f t="shared" si="30"/>
        <v>4349</v>
      </c>
      <c r="T63" s="26" t="e">
        <f t="shared" si="31"/>
        <v>#REF!</v>
      </c>
      <c r="U63" s="27" t="e">
        <f t="shared" si="32"/>
        <v>#REF!</v>
      </c>
      <c r="V63" s="27"/>
      <c r="W63" s="26">
        <f t="shared" si="33"/>
        <v>3257</v>
      </c>
      <c r="X63" s="26" t="e">
        <f t="shared" si="34"/>
        <v>#REF!</v>
      </c>
      <c r="Y63" s="27" t="e">
        <f t="shared" si="35"/>
        <v>#REF!</v>
      </c>
    </row>
    <row r="64" spans="1:25" ht="16.5" customHeight="1">
      <c r="A64" s="16" t="s">
        <v>155</v>
      </c>
      <c r="B64" s="32" t="s">
        <v>156</v>
      </c>
      <c r="C64" s="25">
        <f t="shared" si="18"/>
        <v>348</v>
      </c>
      <c r="D64" s="25" t="e">
        <f t="shared" si="19"/>
        <v>#REF!</v>
      </c>
      <c r="E64" s="27" t="e">
        <f t="shared" si="20"/>
        <v>#REF!</v>
      </c>
      <c r="F64" s="27"/>
      <c r="G64" s="25">
        <f t="shared" si="21"/>
        <v>300</v>
      </c>
      <c r="H64" s="25" t="e">
        <f t="shared" si="22"/>
        <v>#REF!</v>
      </c>
      <c r="I64" s="27" t="e">
        <f t="shared" si="23"/>
        <v>#REF!</v>
      </c>
      <c r="J64" s="27"/>
      <c r="K64" s="25">
        <f t="shared" si="24"/>
        <v>242</v>
      </c>
      <c r="L64" s="25" t="e">
        <f t="shared" si="25"/>
        <v>#REF!</v>
      </c>
      <c r="M64" s="27" t="e">
        <f t="shared" si="26"/>
        <v>#REF!</v>
      </c>
      <c r="N64" s="39"/>
      <c r="O64" s="36" t="str">
        <f t="shared" si="27"/>
        <v>Piedmont</v>
      </c>
      <c r="P64" s="26" t="e">
        <f t="shared" si="28"/>
        <v>#REF!</v>
      </c>
      <c r="Q64" s="27" t="e">
        <f t="shared" si="29"/>
        <v>#VALUE!</v>
      </c>
      <c r="R64" s="27"/>
      <c r="S64" s="26">
        <f t="shared" si="30"/>
        <v>1222</v>
      </c>
      <c r="T64" s="26" t="e">
        <f t="shared" si="31"/>
        <v>#REF!</v>
      </c>
      <c r="U64" s="27" t="e">
        <f t="shared" si="32"/>
        <v>#REF!</v>
      </c>
      <c r="V64" s="27"/>
      <c r="W64" s="26">
        <f t="shared" si="33"/>
        <v>774</v>
      </c>
      <c r="X64" s="26" t="e">
        <f t="shared" si="34"/>
        <v>#REF!</v>
      </c>
      <c r="Y64" s="27" t="e">
        <f t="shared" si="35"/>
        <v>#REF!</v>
      </c>
    </row>
    <row r="65" spans="1:25" ht="16.5" customHeight="1">
      <c r="A65" s="16" t="s">
        <v>157</v>
      </c>
      <c r="B65" s="17" t="s">
        <v>158</v>
      </c>
      <c r="C65" s="25">
        <f t="shared" si="18"/>
        <v>207</v>
      </c>
      <c r="D65" s="25" t="e">
        <f t="shared" si="19"/>
        <v>#REF!</v>
      </c>
      <c r="E65" s="27" t="e">
        <f t="shared" si="20"/>
        <v>#REF!</v>
      </c>
      <c r="F65" s="27"/>
      <c r="G65" s="25">
        <f t="shared" si="21"/>
        <v>77</v>
      </c>
      <c r="H65" s="25" t="e">
        <f t="shared" si="22"/>
        <v>#REF!</v>
      </c>
      <c r="I65" s="27" t="e">
        <f t="shared" si="23"/>
        <v>#REF!</v>
      </c>
      <c r="J65" s="27"/>
      <c r="K65" s="25">
        <f t="shared" si="24"/>
        <v>58</v>
      </c>
      <c r="L65" s="25" t="e">
        <f t="shared" si="25"/>
        <v>#REF!</v>
      </c>
      <c r="M65" s="27" t="e">
        <f t="shared" si="26"/>
        <v>#REF!</v>
      </c>
      <c r="N65" s="39"/>
      <c r="O65" s="36" t="str">
        <f t="shared" si="27"/>
        <v>Central</v>
      </c>
      <c r="P65" s="26" t="e">
        <f t="shared" si="28"/>
        <v>#REF!</v>
      </c>
      <c r="Q65" s="27" t="e">
        <f t="shared" si="29"/>
        <v>#VALUE!</v>
      </c>
      <c r="R65" s="27"/>
      <c r="S65" s="26">
        <f t="shared" si="30"/>
        <v>809</v>
      </c>
      <c r="T65" s="26" t="e">
        <f t="shared" si="31"/>
        <v>#REF!</v>
      </c>
      <c r="U65" s="27" t="e">
        <f t="shared" si="32"/>
        <v>#REF!</v>
      </c>
      <c r="V65" s="27"/>
      <c r="W65" s="26">
        <f t="shared" si="33"/>
        <v>584</v>
      </c>
      <c r="X65" s="26" t="e">
        <f t="shared" si="34"/>
        <v>#REF!</v>
      </c>
      <c r="Y65" s="27" t="e">
        <f t="shared" si="35"/>
        <v>#REF!</v>
      </c>
    </row>
    <row r="66" spans="1:25" ht="16.5" customHeight="1">
      <c r="A66" s="16" t="s">
        <v>163</v>
      </c>
      <c r="B66" s="32" t="s">
        <v>164</v>
      </c>
      <c r="C66" s="25">
        <f t="shared" si="18"/>
        <v>1270</v>
      </c>
      <c r="D66" s="25" t="e">
        <f t="shared" si="19"/>
        <v>#REF!</v>
      </c>
      <c r="E66" s="27" t="e">
        <f t="shared" si="20"/>
        <v>#REF!</v>
      </c>
      <c r="F66" s="27"/>
      <c r="G66" s="25">
        <f t="shared" si="21"/>
        <v>147</v>
      </c>
      <c r="H66" s="25" t="e">
        <f t="shared" si="22"/>
        <v>#REF!</v>
      </c>
      <c r="I66" s="27" t="e">
        <f t="shared" si="23"/>
        <v>#REF!</v>
      </c>
      <c r="J66" s="27"/>
      <c r="K66" s="25">
        <f t="shared" si="24"/>
        <v>396</v>
      </c>
      <c r="L66" s="25" t="e">
        <f t="shared" si="25"/>
        <v>#REF!</v>
      </c>
      <c r="M66" s="27" t="e">
        <f t="shared" si="26"/>
        <v>#REF!</v>
      </c>
      <c r="N66" s="39"/>
      <c r="O66" s="36" t="str">
        <f t="shared" si="27"/>
        <v>Eastern</v>
      </c>
      <c r="P66" s="26" t="e">
        <f t="shared" si="28"/>
        <v>#REF!</v>
      </c>
      <c r="Q66" s="27" t="e">
        <f t="shared" si="29"/>
        <v>#VALUE!</v>
      </c>
      <c r="R66" s="27"/>
      <c r="S66" s="26">
        <f t="shared" si="30"/>
        <v>1493</v>
      </c>
      <c r="T66" s="26" t="e">
        <f t="shared" si="31"/>
        <v>#REF!</v>
      </c>
      <c r="U66" s="27" t="e">
        <f t="shared" si="32"/>
        <v>#REF!</v>
      </c>
      <c r="V66" s="27"/>
      <c r="W66" s="26">
        <f t="shared" si="33"/>
        <v>561</v>
      </c>
      <c r="X66" s="26" t="e">
        <f t="shared" si="34"/>
        <v>#REF!</v>
      </c>
      <c r="Y66" s="27" t="e">
        <f t="shared" si="35"/>
        <v>#REF!</v>
      </c>
    </row>
    <row r="67" spans="1:25" ht="16.5" customHeight="1">
      <c r="A67" s="16" t="s">
        <v>165</v>
      </c>
      <c r="B67" s="17" t="s">
        <v>166</v>
      </c>
      <c r="C67" s="25">
        <f t="shared" si="18"/>
        <v>706</v>
      </c>
      <c r="D67" s="25" t="e">
        <f t="shared" si="19"/>
        <v>#REF!</v>
      </c>
      <c r="E67" s="27" t="e">
        <f t="shared" si="20"/>
        <v>#REF!</v>
      </c>
      <c r="F67" s="27"/>
      <c r="G67" s="25">
        <f t="shared" si="21"/>
        <v>70</v>
      </c>
      <c r="H67" s="25" t="e">
        <f t="shared" si="22"/>
        <v>#REF!</v>
      </c>
      <c r="I67" s="27" t="e">
        <f t="shared" si="23"/>
        <v>#REF!</v>
      </c>
      <c r="J67" s="27"/>
      <c r="K67" s="25">
        <f t="shared" si="24"/>
        <v>158</v>
      </c>
      <c r="L67" s="25" t="e">
        <f t="shared" si="25"/>
        <v>#REF!</v>
      </c>
      <c r="M67" s="27" t="e">
        <f t="shared" si="26"/>
        <v>#REF!</v>
      </c>
      <c r="N67" s="39"/>
      <c r="O67" s="36" t="str">
        <f t="shared" si="27"/>
        <v>Central</v>
      </c>
      <c r="P67" s="26" t="e">
        <f t="shared" si="28"/>
        <v>#REF!</v>
      </c>
      <c r="Q67" s="27" t="e">
        <f t="shared" si="29"/>
        <v>#VALUE!</v>
      </c>
      <c r="R67" s="27"/>
      <c r="S67" s="26">
        <f t="shared" si="30"/>
        <v>917</v>
      </c>
      <c r="T67" s="26" t="e">
        <f t="shared" si="31"/>
        <v>#REF!</v>
      </c>
      <c r="U67" s="27" t="e">
        <f t="shared" si="32"/>
        <v>#REF!</v>
      </c>
      <c r="V67" s="27"/>
      <c r="W67" s="26">
        <f t="shared" si="33"/>
        <v>316</v>
      </c>
      <c r="X67" s="26" t="e">
        <f t="shared" si="34"/>
        <v>#REF!</v>
      </c>
      <c r="Y67" s="27" t="e">
        <f t="shared" si="35"/>
        <v>#REF!</v>
      </c>
    </row>
    <row r="68" spans="1:25" ht="16.5" customHeight="1">
      <c r="A68" s="16" t="s">
        <v>169</v>
      </c>
      <c r="B68" s="32" t="s">
        <v>170</v>
      </c>
      <c r="C68" s="25">
        <f t="shared" ref="C68:C99" si="36">VLOOKUP(A68,SNAP_Demo,10,FALSE)</f>
        <v>1441</v>
      </c>
      <c r="D68" s="25" t="e">
        <f t="shared" ref="D68:D99" si="37">VLOOKUP(A68,Pop,14,FALSE)</f>
        <v>#REF!</v>
      </c>
      <c r="E68" s="27" t="e">
        <f t="shared" ref="E68:E99" si="38">+C68/D68</f>
        <v>#REF!</v>
      </c>
      <c r="F68" s="27"/>
      <c r="G68" s="25">
        <f t="shared" ref="G68:G99" si="39">VLOOKUP(A68,SNAP_Demo,11,FALSE)</f>
        <v>255</v>
      </c>
      <c r="H68" s="25" t="e">
        <f t="shared" ref="H68:H99" si="40">VLOOKUP(A68,Pop,15,FALSE)</f>
        <v>#REF!</v>
      </c>
      <c r="I68" s="27" t="e">
        <f t="shared" ref="I68:I99" si="41">+G68/H68</f>
        <v>#REF!</v>
      </c>
      <c r="J68" s="27"/>
      <c r="K68" s="25">
        <f t="shared" ref="K68:K99" si="42">VLOOKUP(A68,SNAP_Demo,12,FALSE)</f>
        <v>271</v>
      </c>
      <c r="L68" s="25" t="e">
        <f t="shared" ref="L68:L99" si="43">VLOOKUP(A68,Pop,16,FALSE)</f>
        <v>#REF!</v>
      </c>
      <c r="M68" s="27" t="e">
        <f t="shared" ref="M68:M99" si="44">+K68/L68</f>
        <v>#REF!</v>
      </c>
      <c r="N68" s="39"/>
      <c r="O68" s="36" t="str">
        <f t="shared" ref="O68:O99" si="45">VLOOKUP(A68,SNAP_Demo,3,FALSE)</f>
        <v>Central</v>
      </c>
      <c r="P68" s="26" t="e">
        <f t="shared" ref="P68:P99" si="46">VLOOKUP(A68,Pop,8,FALSE)</f>
        <v>#REF!</v>
      </c>
      <c r="Q68" s="27" t="e">
        <f t="shared" ref="Q68:Q99" si="47">+O68/P68</f>
        <v>#VALUE!</v>
      </c>
      <c r="R68" s="27"/>
      <c r="S68" s="26">
        <f t="shared" ref="S68:S99" si="48">VLOOKUP(A68,SNAP_Demo,4,FALSE)</f>
        <v>1918</v>
      </c>
      <c r="T68" s="26" t="e">
        <f t="shared" ref="T68:T99" si="49">VLOOKUP(A68,Pop,9,FALSE)</f>
        <v>#REF!</v>
      </c>
      <c r="U68" s="27" t="e">
        <f t="shared" ref="U68:U99" si="50">+S68/T68</f>
        <v>#REF!</v>
      </c>
      <c r="V68" s="27"/>
      <c r="W68" s="26">
        <f t="shared" ref="W68:W99" si="51">VLOOKUP(A68,SNAP_Demo,5,FALSE)</f>
        <v>754</v>
      </c>
      <c r="X68" s="26" t="e">
        <f t="shared" ref="X68:X99" si="52">VLOOKUP(A68,Pop,10,FALSE)</f>
        <v>#REF!</v>
      </c>
      <c r="Y68" s="27" t="e">
        <f t="shared" ref="Y68:Y99" si="53">+W68/X68</f>
        <v>#REF!</v>
      </c>
    </row>
    <row r="69" spans="1:25" ht="16.5" customHeight="1">
      <c r="A69" s="16" t="s">
        <v>171</v>
      </c>
      <c r="B69" s="17" t="s">
        <v>172</v>
      </c>
      <c r="C69" s="25">
        <f t="shared" si="36"/>
        <v>739</v>
      </c>
      <c r="D69" s="25" t="e">
        <f t="shared" si="37"/>
        <v>#REF!</v>
      </c>
      <c r="E69" s="27" t="e">
        <f t="shared" si="38"/>
        <v>#REF!</v>
      </c>
      <c r="F69" s="27"/>
      <c r="G69" s="25">
        <f t="shared" si="39"/>
        <v>368</v>
      </c>
      <c r="H69" s="25" t="e">
        <f t="shared" si="40"/>
        <v>#REF!</v>
      </c>
      <c r="I69" s="27" t="e">
        <f t="shared" si="41"/>
        <v>#REF!</v>
      </c>
      <c r="J69" s="27"/>
      <c r="K69" s="25">
        <f t="shared" si="42"/>
        <v>246</v>
      </c>
      <c r="L69" s="25" t="e">
        <f t="shared" si="43"/>
        <v>#REF!</v>
      </c>
      <c r="M69" s="27" t="e">
        <f t="shared" si="44"/>
        <v>#REF!</v>
      </c>
      <c r="N69" s="39"/>
      <c r="O69" s="36" t="str">
        <f t="shared" si="45"/>
        <v>Northern</v>
      </c>
      <c r="P69" s="26" t="e">
        <f t="shared" si="46"/>
        <v>#REF!</v>
      </c>
      <c r="Q69" s="27" t="e">
        <f t="shared" si="47"/>
        <v>#VALUE!</v>
      </c>
      <c r="R69" s="27"/>
      <c r="S69" s="26">
        <f t="shared" si="48"/>
        <v>2187</v>
      </c>
      <c r="T69" s="26" t="e">
        <f t="shared" si="49"/>
        <v>#REF!</v>
      </c>
      <c r="U69" s="27" t="e">
        <f t="shared" si="50"/>
        <v>#REF!</v>
      </c>
      <c r="V69" s="27"/>
      <c r="W69" s="26">
        <f t="shared" si="51"/>
        <v>1261</v>
      </c>
      <c r="X69" s="26" t="e">
        <f t="shared" si="52"/>
        <v>#REF!</v>
      </c>
      <c r="Y69" s="27" t="e">
        <f t="shared" si="53"/>
        <v>#REF!</v>
      </c>
    </row>
    <row r="70" spans="1:25" ht="16.5" customHeight="1">
      <c r="A70" s="16" t="s">
        <v>173</v>
      </c>
      <c r="B70" s="17" t="s">
        <v>174</v>
      </c>
      <c r="C70" s="25">
        <f t="shared" si="36"/>
        <v>77</v>
      </c>
      <c r="D70" s="25" t="e">
        <f t="shared" si="37"/>
        <v>#REF!</v>
      </c>
      <c r="E70" s="27" t="e">
        <f t="shared" si="38"/>
        <v>#REF!</v>
      </c>
      <c r="F70" s="27"/>
      <c r="G70" s="25">
        <f t="shared" si="39"/>
        <v>300</v>
      </c>
      <c r="H70" s="25" t="e">
        <f t="shared" si="40"/>
        <v>#REF!</v>
      </c>
      <c r="I70" s="27" t="e">
        <f t="shared" si="41"/>
        <v>#REF!</v>
      </c>
      <c r="J70" s="27"/>
      <c r="K70" s="25">
        <f t="shared" si="42"/>
        <v>305</v>
      </c>
      <c r="L70" s="25" t="e">
        <f t="shared" si="43"/>
        <v>#REF!</v>
      </c>
      <c r="M70" s="27" t="e">
        <f t="shared" si="44"/>
        <v>#REF!</v>
      </c>
      <c r="N70" s="39"/>
      <c r="O70" s="36" t="str">
        <f t="shared" si="45"/>
        <v>Northern</v>
      </c>
      <c r="P70" s="26" t="e">
        <f t="shared" si="46"/>
        <v>#REF!</v>
      </c>
      <c r="Q70" s="27" t="e">
        <f t="shared" si="47"/>
        <v>#VALUE!</v>
      </c>
      <c r="R70" s="27"/>
      <c r="S70" s="26">
        <f t="shared" si="48"/>
        <v>2026</v>
      </c>
      <c r="T70" s="26" t="e">
        <f t="shared" si="49"/>
        <v>#REF!</v>
      </c>
      <c r="U70" s="27" t="e">
        <f t="shared" si="50"/>
        <v>#REF!</v>
      </c>
      <c r="V70" s="27"/>
      <c r="W70" s="26">
        <f t="shared" si="51"/>
        <v>1796</v>
      </c>
      <c r="X70" s="26" t="e">
        <f t="shared" si="52"/>
        <v>#REF!</v>
      </c>
      <c r="Y70" s="27" t="e">
        <f t="shared" si="53"/>
        <v>#REF!</v>
      </c>
    </row>
    <row r="71" spans="1:25" ht="16.5" customHeight="1">
      <c r="A71" s="16" t="s">
        <v>175</v>
      </c>
      <c r="B71" s="17" t="s">
        <v>176</v>
      </c>
      <c r="C71" s="25">
        <f t="shared" si="36"/>
        <v>283</v>
      </c>
      <c r="D71" s="25" t="e">
        <f t="shared" si="37"/>
        <v>#REF!</v>
      </c>
      <c r="E71" s="27" t="e">
        <f t="shared" si="38"/>
        <v>#REF!</v>
      </c>
      <c r="F71" s="27"/>
      <c r="G71" s="25">
        <f t="shared" si="39"/>
        <v>209</v>
      </c>
      <c r="H71" s="25" t="e">
        <f t="shared" si="40"/>
        <v>#REF!</v>
      </c>
      <c r="I71" s="27" t="e">
        <f t="shared" si="41"/>
        <v>#REF!</v>
      </c>
      <c r="J71" s="27"/>
      <c r="K71" s="25">
        <f t="shared" si="42"/>
        <v>305</v>
      </c>
      <c r="L71" s="25" t="e">
        <f t="shared" si="43"/>
        <v>#REF!</v>
      </c>
      <c r="M71" s="27" t="e">
        <f t="shared" si="44"/>
        <v>#REF!</v>
      </c>
      <c r="N71" s="39"/>
      <c r="O71" s="36" t="str">
        <f t="shared" si="45"/>
        <v>Western</v>
      </c>
      <c r="P71" s="26" t="e">
        <f t="shared" si="46"/>
        <v>#REF!</v>
      </c>
      <c r="Q71" s="27" t="e">
        <f t="shared" si="47"/>
        <v>#VALUE!</v>
      </c>
      <c r="R71" s="27"/>
      <c r="S71" s="26">
        <f t="shared" si="48"/>
        <v>1795</v>
      </c>
      <c r="T71" s="26" t="e">
        <f t="shared" si="49"/>
        <v>#REF!</v>
      </c>
      <c r="U71" s="27" t="e">
        <f t="shared" si="50"/>
        <v>#REF!</v>
      </c>
      <c r="V71" s="27"/>
      <c r="W71" s="26">
        <f t="shared" si="51"/>
        <v>1496</v>
      </c>
      <c r="X71" s="26" t="e">
        <f t="shared" si="52"/>
        <v>#REF!</v>
      </c>
      <c r="Y71" s="27" t="e">
        <f t="shared" si="53"/>
        <v>#REF!</v>
      </c>
    </row>
    <row r="72" spans="1:25" ht="16.5" customHeight="1">
      <c r="A72" s="16" t="s">
        <v>179</v>
      </c>
      <c r="B72" s="32" t="s">
        <v>180</v>
      </c>
      <c r="C72" s="25">
        <f t="shared" si="36"/>
        <v>2618</v>
      </c>
      <c r="D72" s="25" t="e">
        <f t="shared" si="37"/>
        <v>#REF!</v>
      </c>
      <c r="E72" s="27" t="e">
        <f t="shared" si="38"/>
        <v>#REF!</v>
      </c>
      <c r="F72" s="27"/>
      <c r="G72" s="25">
        <f t="shared" si="39"/>
        <v>1170</v>
      </c>
      <c r="H72" s="25" t="e">
        <f t="shared" si="40"/>
        <v>#REF!</v>
      </c>
      <c r="I72" s="27" t="e">
        <f t="shared" si="41"/>
        <v>#REF!</v>
      </c>
      <c r="J72" s="27"/>
      <c r="K72" s="25">
        <f t="shared" si="42"/>
        <v>926</v>
      </c>
      <c r="L72" s="25" t="e">
        <f t="shared" si="43"/>
        <v>#REF!</v>
      </c>
      <c r="M72" s="27" t="e">
        <f t="shared" si="44"/>
        <v>#REF!</v>
      </c>
      <c r="N72" s="39"/>
      <c r="O72" s="36" t="str">
        <f t="shared" si="45"/>
        <v>Piedmont</v>
      </c>
      <c r="P72" s="26" t="e">
        <f t="shared" si="46"/>
        <v>#REF!</v>
      </c>
      <c r="Q72" s="27" t="e">
        <f t="shared" si="47"/>
        <v>#VALUE!</v>
      </c>
      <c r="R72" s="27"/>
      <c r="S72" s="26">
        <f t="shared" si="48"/>
        <v>5278</v>
      </c>
      <c r="T72" s="26" t="e">
        <f t="shared" si="49"/>
        <v>#REF!</v>
      </c>
      <c r="U72" s="27" t="e">
        <f t="shared" si="50"/>
        <v>#REF!</v>
      </c>
      <c r="V72" s="27"/>
      <c r="W72" s="26">
        <f t="shared" si="51"/>
        <v>2942</v>
      </c>
      <c r="X72" s="26" t="e">
        <f t="shared" si="52"/>
        <v>#REF!</v>
      </c>
      <c r="Y72" s="27" t="e">
        <f t="shared" si="53"/>
        <v>#REF!</v>
      </c>
    </row>
    <row r="73" spans="1:25" ht="16.5" customHeight="1">
      <c r="A73" s="16" t="s">
        <v>183</v>
      </c>
      <c r="B73" s="17" t="s">
        <v>184</v>
      </c>
      <c r="C73" s="25">
        <f t="shared" si="36"/>
        <v>218</v>
      </c>
      <c r="D73" s="25" t="e">
        <f t="shared" si="37"/>
        <v>#REF!</v>
      </c>
      <c r="E73" s="27" t="e">
        <f t="shared" si="38"/>
        <v>#REF!</v>
      </c>
      <c r="F73" s="27"/>
      <c r="G73" s="25">
        <f t="shared" si="39"/>
        <v>294</v>
      </c>
      <c r="H73" s="25" t="e">
        <f t="shared" si="40"/>
        <v>#REF!</v>
      </c>
      <c r="I73" s="27" t="e">
        <f t="shared" si="41"/>
        <v>#REF!</v>
      </c>
      <c r="J73" s="27"/>
      <c r="K73" s="25">
        <f t="shared" si="42"/>
        <v>104</v>
      </c>
      <c r="L73" s="25" t="e">
        <f t="shared" si="43"/>
        <v>#REF!</v>
      </c>
      <c r="M73" s="27" t="e">
        <f t="shared" si="44"/>
        <v>#REF!</v>
      </c>
      <c r="N73" s="39"/>
      <c r="O73" s="36" t="str">
        <f t="shared" si="45"/>
        <v>Central</v>
      </c>
      <c r="P73" s="26" t="e">
        <f t="shared" si="46"/>
        <v>#REF!</v>
      </c>
      <c r="Q73" s="27" t="e">
        <f t="shared" si="47"/>
        <v>#VALUE!</v>
      </c>
      <c r="R73" s="27"/>
      <c r="S73" s="26">
        <f t="shared" si="48"/>
        <v>901</v>
      </c>
      <c r="T73" s="26" t="e">
        <f t="shared" si="49"/>
        <v>#REF!</v>
      </c>
      <c r="U73" s="27" t="e">
        <f t="shared" si="50"/>
        <v>#REF!</v>
      </c>
      <c r="V73" s="27"/>
      <c r="W73" s="26">
        <f t="shared" si="51"/>
        <v>579</v>
      </c>
      <c r="X73" s="26" t="e">
        <f t="shared" si="52"/>
        <v>#REF!</v>
      </c>
      <c r="Y73" s="27" t="e">
        <f t="shared" si="53"/>
        <v>#REF!</v>
      </c>
    </row>
    <row r="74" spans="1:25" ht="16.5" customHeight="1">
      <c r="A74" s="16" t="s">
        <v>185</v>
      </c>
      <c r="B74" s="17" t="s">
        <v>186</v>
      </c>
      <c r="C74" s="25">
        <f t="shared" si="36"/>
        <v>1826</v>
      </c>
      <c r="D74" s="25" t="e">
        <f t="shared" si="37"/>
        <v>#REF!</v>
      </c>
      <c r="E74" s="27" t="e">
        <f t="shared" si="38"/>
        <v>#REF!</v>
      </c>
      <c r="F74" s="27"/>
      <c r="G74" s="25">
        <f t="shared" si="39"/>
        <v>133</v>
      </c>
      <c r="H74" s="25" t="e">
        <f t="shared" si="40"/>
        <v>#REF!</v>
      </c>
      <c r="I74" s="27" t="e">
        <f t="shared" si="41"/>
        <v>#REF!</v>
      </c>
      <c r="J74" s="27"/>
      <c r="K74" s="25">
        <f t="shared" si="42"/>
        <v>275</v>
      </c>
      <c r="L74" s="25" t="e">
        <f t="shared" si="43"/>
        <v>#REF!</v>
      </c>
      <c r="M74" s="27" t="e">
        <f t="shared" si="44"/>
        <v>#REF!</v>
      </c>
      <c r="N74" s="39"/>
      <c r="O74" s="36" t="str">
        <f t="shared" si="45"/>
        <v>Central</v>
      </c>
      <c r="P74" s="26" t="e">
        <f t="shared" si="46"/>
        <v>#REF!</v>
      </c>
      <c r="Q74" s="27" t="e">
        <f t="shared" si="47"/>
        <v>#VALUE!</v>
      </c>
      <c r="R74" s="27"/>
      <c r="S74" s="26">
        <f t="shared" si="48"/>
        <v>2014</v>
      </c>
      <c r="T74" s="26" t="e">
        <f t="shared" si="49"/>
        <v>#REF!</v>
      </c>
      <c r="U74" s="27" t="e">
        <f t="shared" si="50"/>
        <v>#REF!</v>
      </c>
      <c r="V74" s="27"/>
      <c r="W74" s="26">
        <f t="shared" si="51"/>
        <v>616</v>
      </c>
      <c r="X74" s="26" t="e">
        <f t="shared" si="52"/>
        <v>#REF!</v>
      </c>
      <c r="Y74" s="27" t="e">
        <f t="shared" si="53"/>
        <v>#REF!</v>
      </c>
    </row>
    <row r="75" spans="1:25" ht="16.5" customHeight="1">
      <c r="A75" s="16" t="s">
        <v>187</v>
      </c>
      <c r="B75" s="17" t="s">
        <v>188</v>
      </c>
      <c r="C75" s="25">
        <f t="shared" si="36"/>
        <v>933</v>
      </c>
      <c r="D75" s="25" t="e">
        <f t="shared" si="37"/>
        <v>#REF!</v>
      </c>
      <c r="E75" s="27" t="e">
        <f t="shared" si="38"/>
        <v>#REF!</v>
      </c>
      <c r="F75" s="27"/>
      <c r="G75" s="25">
        <f t="shared" si="39"/>
        <v>132</v>
      </c>
      <c r="H75" s="25" t="e">
        <f t="shared" si="40"/>
        <v>#REF!</v>
      </c>
      <c r="I75" s="27" t="e">
        <f t="shared" si="41"/>
        <v>#REF!</v>
      </c>
      <c r="J75" s="27"/>
      <c r="K75" s="25">
        <f t="shared" si="42"/>
        <v>129</v>
      </c>
      <c r="L75" s="25" t="e">
        <f t="shared" si="43"/>
        <v>#REF!</v>
      </c>
      <c r="M75" s="27" t="e">
        <f t="shared" si="44"/>
        <v>#REF!</v>
      </c>
      <c r="N75" s="39"/>
      <c r="O75" s="36" t="str">
        <f t="shared" si="45"/>
        <v>Eastern</v>
      </c>
      <c r="P75" s="26" t="e">
        <f t="shared" si="46"/>
        <v>#REF!</v>
      </c>
      <c r="Q75" s="27" t="e">
        <f t="shared" si="47"/>
        <v>#VALUE!</v>
      </c>
      <c r="R75" s="27"/>
      <c r="S75" s="26">
        <f t="shared" si="48"/>
        <v>1849</v>
      </c>
      <c r="T75" s="26" t="e">
        <f t="shared" si="49"/>
        <v>#REF!</v>
      </c>
      <c r="U75" s="27" t="e">
        <f t="shared" si="50"/>
        <v>#REF!</v>
      </c>
      <c r="V75" s="27"/>
      <c r="W75" s="26">
        <f t="shared" si="51"/>
        <v>850</v>
      </c>
      <c r="X75" s="26" t="e">
        <f t="shared" si="52"/>
        <v>#REF!</v>
      </c>
      <c r="Y75" s="27" t="e">
        <f t="shared" si="53"/>
        <v>#REF!</v>
      </c>
    </row>
    <row r="76" spans="1:25" ht="16.5" customHeight="1">
      <c r="A76" s="16" t="s">
        <v>189</v>
      </c>
      <c r="B76" s="17" t="s">
        <v>190</v>
      </c>
      <c r="C76" s="25">
        <f t="shared" si="36"/>
        <v>7361</v>
      </c>
      <c r="D76" s="25" t="e">
        <f t="shared" si="37"/>
        <v>#REF!</v>
      </c>
      <c r="E76" s="27" t="e">
        <f t="shared" si="38"/>
        <v>#REF!</v>
      </c>
      <c r="F76" s="27"/>
      <c r="G76" s="25">
        <f t="shared" si="39"/>
        <v>4940</v>
      </c>
      <c r="H76" s="25" t="e">
        <f t="shared" si="40"/>
        <v>#REF!</v>
      </c>
      <c r="I76" s="27" t="e">
        <f t="shared" si="41"/>
        <v>#REF!</v>
      </c>
      <c r="J76" s="27"/>
      <c r="K76" s="25">
        <f t="shared" si="42"/>
        <v>1822</v>
      </c>
      <c r="L76" s="25" t="e">
        <f t="shared" si="43"/>
        <v>#REF!</v>
      </c>
      <c r="M76" s="27" t="e">
        <f t="shared" si="44"/>
        <v>#REF!</v>
      </c>
      <c r="N76" s="39"/>
      <c r="O76" s="36" t="str">
        <f t="shared" si="45"/>
        <v>Northern</v>
      </c>
      <c r="P76" s="26" t="e">
        <f t="shared" si="46"/>
        <v>#REF!</v>
      </c>
      <c r="Q76" s="27" t="e">
        <f t="shared" si="47"/>
        <v>#VALUE!</v>
      </c>
      <c r="R76" s="27"/>
      <c r="S76" s="26">
        <f t="shared" si="48"/>
        <v>22193</v>
      </c>
      <c r="T76" s="26" t="e">
        <f t="shared" si="49"/>
        <v>#REF!</v>
      </c>
      <c r="U76" s="27" t="e">
        <f t="shared" si="50"/>
        <v>#REF!</v>
      </c>
      <c r="V76" s="27"/>
      <c r="W76" s="26">
        <f t="shared" si="51"/>
        <v>9899</v>
      </c>
      <c r="X76" s="26" t="e">
        <f t="shared" si="52"/>
        <v>#REF!</v>
      </c>
      <c r="Y76" s="27" t="e">
        <f t="shared" si="53"/>
        <v>#REF!</v>
      </c>
    </row>
    <row r="77" spans="1:25" ht="16.5" customHeight="1">
      <c r="A77" s="16" t="s">
        <v>191</v>
      </c>
      <c r="B77" s="17" t="s">
        <v>192</v>
      </c>
      <c r="C77" s="25">
        <f t="shared" si="36"/>
        <v>473</v>
      </c>
      <c r="D77" s="25" t="e">
        <f t="shared" si="37"/>
        <v>#REF!</v>
      </c>
      <c r="E77" s="27" t="e">
        <f t="shared" si="38"/>
        <v>#REF!</v>
      </c>
      <c r="F77" s="27"/>
      <c r="G77" s="25">
        <f t="shared" si="39"/>
        <v>136</v>
      </c>
      <c r="H77" s="25" t="e">
        <f t="shared" si="40"/>
        <v>#REF!</v>
      </c>
      <c r="I77" s="27" t="e">
        <f t="shared" si="41"/>
        <v>#REF!</v>
      </c>
      <c r="J77" s="27"/>
      <c r="K77" s="25">
        <f t="shared" si="42"/>
        <v>436</v>
      </c>
      <c r="L77" s="25" t="e">
        <f t="shared" si="43"/>
        <v>#REF!</v>
      </c>
      <c r="M77" s="27" t="e">
        <f t="shared" si="44"/>
        <v>#REF!</v>
      </c>
      <c r="N77" s="39"/>
      <c r="O77" s="36" t="str">
        <f t="shared" si="45"/>
        <v>Western</v>
      </c>
      <c r="P77" s="26" t="e">
        <f t="shared" si="46"/>
        <v>#REF!</v>
      </c>
      <c r="Q77" s="27" t="e">
        <f t="shared" si="47"/>
        <v>#VALUE!</v>
      </c>
      <c r="R77" s="27"/>
      <c r="S77" s="26">
        <f t="shared" si="48"/>
        <v>2862</v>
      </c>
      <c r="T77" s="26" t="e">
        <f t="shared" si="49"/>
        <v>#REF!</v>
      </c>
      <c r="U77" s="27" t="e">
        <f t="shared" si="50"/>
        <v>#REF!</v>
      </c>
      <c r="V77" s="27"/>
      <c r="W77" s="26">
        <f t="shared" si="51"/>
        <v>2292</v>
      </c>
      <c r="X77" s="26" t="e">
        <f t="shared" si="52"/>
        <v>#REF!</v>
      </c>
      <c r="Y77" s="27" t="e">
        <f t="shared" si="53"/>
        <v>#REF!</v>
      </c>
    </row>
    <row r="78" spans="1:25" ht="16.5" customHeight="1">
      <c r="A78" s="16" t="s">
        <v>195</v>
      </c>
      <c r="B78" s="17" t="s">
        <v>196</v>
      </c>
      <c r="C78" s="25">
        <f t="shared" si="36"/>
        <v>34</v>
      </c>
      <c r="D78" s="25" t="e">
        <f t="shared" si="37"/>
        <v>#REF!</v>
      </c>
      <c r="E78" s="27" t="e">
        <f t="shared" si="38"/>
        <v>#REF!</v>
      </c>
      <c r="F78" s="27"/>
      <c r="G78" s="25">
        <f t="shared" si="39"/>
        <v>33</v>
      </c>
      <c r="H78" s="25" t="e">
        <f t="shared" si="40"/>
        <v>#REF!</v>
      </c>
      <c r="I78" s="27" t="e">
        <f t="shared" si="41"/>
        <v>#REF!</v>
      </c>
      <c r="J78" s="27"/>
      <c r="K78" s="25">
        <f t="shared" si="42"/>
        <v>50</v>
      </c>
      <c r="L78" s="25" t="e">
        <f t="shared" si="43"/>
        <v>#REF!</v>
      </c>
      <c r="M78" s="27" t="e">
        <f t="shared" si="44"/>
        <v>#REF!</v>
      </c>
      <c r="N78" s="39"/>
      <c r="O78" s="36" t="str">
        <f t="shared" si="45"/>
        <v>Northern</v>
      </c>
      <c r="P78" s="26" t="e">
        <f t="shared" si="46"/>
        <v>#REF!</v>
      </c>
      <c r="Q78" s="27" t="e">
        <f t="shared" si="47"/>
        <v>#VALUE!</v>
      </c>
      <c r="R78" s="27"/>
      <c r="S78" s="26">
        <f t="shared" si="48"/>
        <v>363</v>
      </c>
      <c r="T78" s="26" t="e">
        <f t="shared" si="49"/>
        <v>#REF!</v>
      </c>
      <c r="U78" s="27" t="e">
        <f t="shared" si="50"/>
        <v>#REF!</v>
      </c>
      <c r="V78" s="27"/>
      <c r="W78" s="26">
        <f t="shared" si="51"/>
        <v>293</v>
      </c>
      <c r="X78" s="26" t="e">
        <f t="shared" si="52"/>
        <v>#REF!</v>
      </c>
      <c r="Y78" s="27" t="e">
        <f t="shared" si="53"/>
        <v>#REF!</v>
      </c>
    </row>
    <row r="79" spans="1:25" ht="16.5" customHeight="1">
      <c r="A79" s="16" t="s">
        <v>199</v>
      </c>
      <c r="B79" s="32" t="s">
        <v>200</v>
      </c>
      <c r="C79" s="25">
        <f t="shared" si="36"/>
        <v>528</v>
      </c>
      <c r="D79" s="25" t="e">
        <f t="shared" si="37"/>
        <v>#REF!</v>
      </c>
      <c r="E79" s="27" t="e">
        <f t="shared" si="38"/>
        <v>#REF!</v>
      </c>
      <c r="F79" s="27"/>
      <c r="G79" s="25">
        <f t="shared" si="39"/>
        <v>164</v>
      </c>
      <c r="H79" s="25" t="e">
        <f t="shared" si="40"/>
        <v>#REF!</v>
      </c>
      <c r="I79" s="27" t="e">
        <f t="shared" si="41"/>
        <v>#REF!</v>
      </c>
      <c r="J79" s="27"/>
      <c r="K79" s="25">
        <f t="shared" si="42"/>
        <v>151</v>
      </c>
      <c r="L79" s="25" t="e">
        <f t="shared" si="43"/>
        <v>#REF!</v>
      </c>
      <c r="M79" s="27" t="e">
        <f t="shared" si="44"/>
        <v>#REF!</v>
      </c>
      <c r="N79" s="39"/>
      <c r="O79" s="36" t="str">
        <f t="shared" si="45"/>
        <v>Central</v>
      </c>
      <c r="P79" s="26" t="e">
        <f t="shared" si="46"/>
        <v>#REF!</v>
      </c>
      <c r="Q79" s="27" t="e">
        <f t="shared" si="47"/>
        <v>#VALUE!</v>
      </c>
      <c r="R79" s="27"/>
      <c r="S79" s="26">
        <f t="shared" si="48"/>
        <v>778</v>
      </c>
      <c r="T79" s="26" t="e">
        <f t="shared" si="49"/>
        <v>#REF!</v>
      </c>
      <c r="U79" s="27" t="e">
        <f t="shared" si="50"/>
        <v>#REF!</v>
      </c>
      <c r="V79" s="27"/>
      <c r="W79" s="26">
        <f t="shared" si="51"/>
        <v>313</v>
      </c>
      <c r="X79" s="26" t="e">
        <f t="shared" si="52"/>
        <v>#REF!</v>
      </c>
      <c r="Y79" s="27" t="e">
        <f t="shared" si="53"/>
        <v>#REF!</v>
      </c>
    </row>
    <row r="80" spans="1:25" ht="16.5" customHeight="1">
      <c r="A80" s="16" t="s">
        <v>203</v>
      </c>
      <c r="B80" s="17" t="s">
        <v>204</v>
      </c>
      <c r="C80" s="25">
        <f t="shared" si="36"/>
        <v>992</v>
      </c>
      <c r="D80" s="25" t="e">
        <f t="shared" si="37"/>
        <v>#REF!</v>
      </c>
      <c r="E80" s="27" t="e">
        <f t="shared" si="38"/>
        <v>#REF!</v>
      </c>
      <c r="F80" s="27"/>
      <c r="G80" s="25">
        <f t="shared" si="39"/>
        <v>1145</v>
      </c>
      <c r="H80" s="25" t="e">
        <f t="shared" si="40"/>
        <v>#REF!</v>
      </c>
      <c r="I80" s="27" t="e">
        <f t="shared" si="41"/>
        <v>#REF!</v>
      </c>
      <c r="J80" s="27"/>
      <c r="K80" s="25">
        <f t="shared" si="42"/>
        <v>553</v>
      </c>
      <c r="L80" s="25" t="e">
        <f t="shared" si="43"/>
        <v>#REF!</v>
      </c>
      <c r="M80" s="27" t="e">
        <f t="shared" si="44"/>
        <v>#REF!</v>
      </c>
      <c r="N80" s="39"/>
      <c r="O80" s="36" t="str">
        <f t="shared" si="45"/>
        <v>Piedmont</v>
      </c>
      <c r="P80" s="26" t="e">
        <f t="shared" si="46"/>
        <v>#REF!</v>
      </c>
      <c r="Q80" s="27" t="e">
        <f t="shared" si="47"/>
        <v>#VALUE!</v>
      </c>
      <c r="R80" s="27"/>
      <c r="S80" s="26">
        <f t="shared" si="48"/>
        <v>5215</v>
      </c>
      <c r="T80" s="26" t="e">
        <f t="shared" si="49"/>
        <v>#REF!</v>
      </c>
      <c r="U80" s="27" t="e">
        <f t="shared" si="50"/>
        <v>#REF!</v>
      </c>
      <c r="V80" s="27"/>
      <c r="W80" s="26">
        <f t="shared" si="51"/>
        <v>3238</v>
      </c>
      <c r="X80" s="26" t="e">
        <f t="shared" si="52"/>
        <v>#REF!</v>
      </c>
      <c r="Y80" s="27" t="e">
        <f t="shared" si="53"/>
        <v>#REF!</v>
      </c>
    </row>
    <row r="81" spans="1:25" ht="16.5" customHeight="1">
      <c r="A81" s="16" t="s">
        <v>205</v>
      </c>
      <c r="B81" s="17" t="s">
        <v>206</v>
      </c>
      <c r="C81" s="25">
        <f t="shared" si="36"/>
        <v>273</v>
      </c>
      <c r="D81" s="25" t="e">
        <f t="shared" si="37"/>
        <v>#REF!</v>
      </c>
      <c r="E81" s="27" t="e">
        <f t="shared" si="38"/>
        <v>#REF!</v>
      </c>
      <c r="F81" s="27"/>
      <c r="G81" s="25">
        <f t="shared" si="39"/>
        <v>273</v>
      </c>
      <c r="H81" s="25" t="e">
        <f t="shared" si="40"/>
        <v>#REF!</v>
      </c>
      <c r="I81" s="27" t="e">
        <f t="shared" si="41"/>
        <v>#REF!</v>
      </c>
      <c r="J81" s="27"/>
      <c r="K81" s="25">
        <f t="shared" si="42"/>
        <v>328</v>
      </c>
      <c r="L81" s="25" t="e">
        <f t="shared" si="43"/>
        <v>#REF!</v>
      </c>
      <c r="M81" s="27" t="e">
        <f t="shared" si="44"/>
        <v>#REF!</v>
      </c>
      <c r="N81" s="39"/>
      <c r="O81" s="36" t="str">
        <f t="shared" si="45"/>
        <v>Piedmont</v>
      </c>
      <c r="P81" s="26" t="e">
        <f t="shared" si="46"/>
        <v>#REF!</v>
      </c>
      <c r="Q81" s="27" t="e">
        <f t="shared" si="47"/>
        <v>#VALUE!</v>
      </c>
      <c r="R81" s="27"/>
      <c r="S81" s="26">
        <f t="shared" si="48"/>
        <v>2259</v>
      </c>
      <c r="T81" s="26" t="e">
        <f t="shared" si="49"/>
        <v>#REF!</v>
      </c>
      <c r="U81" s="27" t="e">
        <f t="shared" si="50"/>
        <v>#REF!</v>
      </c>
      <c r="V81" s="27"/>
      <c r="W81" s="26">
        <f t="shared" si="51"/>
        <v>1725</v>
      </c>
      <c r="X81" s="26" t="e">
        <f t="shared" si="52"/>
        <v>#REF!</v>
      </c>
      <c r="Y81" s="27" t="e">
        <f t="shared" si="53"/>
        <v>#REF!</v>
      </c>
    </row>
    <row r="82" spans="1:25" ht="16.5" customHeight="1">
      <c r="A82" s="16" t="s">
        <v>207</v>
      </c>
      <c r="B82" s="32" t="s">
        <v>208</v>
      </c>
      <c r="C82" s="25">
        <f t="shared" si="36"/>
        <v>898</v>
      </c>
      <c r="D82" s="25" t="e">
        <f t="shared" si="37"/>
        <v>#REF!</v>
      </c>
      <c r="E82" s="27" t="e">
        <f t="shared" si="38"/>
        <v>#REF!</v>
      </c>
      <c r="F82" s="27"/>
      <c r="G82" s="25">
        <f t="shared" si="39"/>
        <v>2226</v>
      </c>
      <c r="H82" s="25" t="e">
        <f t="shared" si="40"/>
        <v>#REF!</v>
      </c>
      <c r="I82" s="27" t="e">
        <f t="shared" si="41"/>
        <v>#REF!</v>
      </c>
      <c r="J82" s="27"/>
      <c r="K82" s="25">
        <f t="shared" si="42"/>
        <v>696</v>
      </c>
      <c r="L82" s="25" t="e">
        <f t="shared" si="43"/>
        <v>#REF!</v>
      </c>
      <c r="M82" s="27" t="e">
        <f t="shared" si="44"/>
        <v>#REF!</v>
      </c>
      <c r="N82" s="39"/>
      <c r="O82" s="36" t="str">
        <f t="shared" si="45"/>
        <v>Northern</v>
      </c>
      <c r="P82" s="26" t="e">
        <f t="shared" si="46"/>
        <v>#REF!</v>
      </c>
      <c r="Q82" s="27" t="e">
        <f t="shared" si="47"/>
        <v>#VALUE!</v>
      </c>
      <c r="R82" s="27"/>
      <c r="S82" s="26">
        <f t="shared" si="48"/>
        <v>8010</v>
      </c>
      <c r="T82" s="26" t="e">
        <f t="shared" si="49"/>
        <v>#REF!</v>
      </c>
      <c r="U82" s="27" t="e">
        <f t="shared" si="50"/>
        <v>#REF!</v>
      </c>
      <c r="V82" s="27"/>
      <c r="W82" s="26">
        <f t="shared" si="51"/>
        <v>5106</v>
      </c>
      <c r="X82" s="26" t="e">
        <f t="shared" si="52"/>
        <v>#REF!</v>
      </c>
      <c r="Y82" s="27" t="e">
        <f t="shared" si="53"/>
        <v>#REF!</v>
      </c>
    </row>
    <row r="83" spans="1:25" ht="16.5" customHeight="1">
      <c r="A83" s="16" t="s">
        <v>209</v>
      </c>
      <c r="B83" s="32" t="s">
        <v>210</v>
      </c>
      <c r="C83" s="25">
        <f t="shared" si="36"/>
        <v>34</v>
      </c>
      <c r="D83" s="25" t="e">
        <f t="shared" si="37"/>
        <v>#REF!</v>
      </c>
      <c r="E83" s="27" t="e">
        <f t="shared" si="38"/>
        <v>#REF!</v>
      </c>
      <c r="F83" s="27"/>
      <c r="G83" s="25">
        <f t="shared" si="39"/>
        <v>496</v>
      </c>
      <c r="H83" s="25" t="e">
        <f t="shared" si="40"/>
        <v>#REF!</v>
      </c>
      <c r="I83" s="27" t="e">
        <f t="shared" si="41"/>
        <v>#REF!</v>
      </c>
      <c r="J83" s="27"/>
      <c r="K83" s="25">
        <f t="shared" si="42"/>
        <v>493</v>
      </c>
      <c r="L83" s="25" t="e">
        <f t="shared" si="43"/>
        <v>#REF!</v>
      </c>
      <c r="M83" s="27" t="e">
        <f t="shared" si="44"/>
        <v>#REF!</v>
      </c>
      <c r="N83" s="39"/>
      <c r="O83" s="36" t="str">
        <f t="shared" si="45"/>
        <v>Western</v>
      </c>
      <c r="P83" s="26" t="e">
        <f t="shared" si="46"/>
        <v>#REF!</v>
      </c>
      <c r="Q83" s="27" t="e">
        <f t="shared" si="47"/>
        <v>#VALUE!</v>
      </c>
      <c r="R83" s="27"/>
      <c r="S83" s="26">
        <f t="shared" si="48"/>
        <v>2734</v>
      </c>
      <c r="T83" s="26" t="e">
        <f t="shared" si="49"/>
        <v>#REF!</v>
      </c>
      <c r="U83" s="27" t="e">
        <f t="shared" si="50"/>
        <v>#REF!</v>
      </c>
      <c r="V83" s="27"/>
      <c r="W83" s="26">
        <f t="shared" si="51"/>
        <v>2358</v>
      </c>
      <c r="X83" s="26" t="e">
        <f t="shared" si="52"/>
        <v>#REF!</v>
      </c>
      <c r="Y83" s="27" t="e">
        <f t="shared" si="53"/>
        <v>#REF!</v>
      </c>
    </row>
    <row r="84" spans="1:25" ht="16.5" customHeight="1">
      <c r="A84" s="16" t="s">
        <v>211</v>
      </c>
      <c r="B84" s="32" t="s">
        <v>212</v>
      </c>
      <c r="C84" s="25">
        <f t="shared" si="36"/>
        <v>43</v>
      </c>
      <c r="D84" s="25" t="e">
        <f t="shared" si="37"/>
        <v>#REF!</v>
      </c>
      <c r="E84" s="27" t="e">
        <f t="shared" si="38"/>
        <v>#REF!</v>
      </c>
      <c r="F84" s="27"/>
      <c r="G84" s="25">
        <f t="shared" si="39"/>
        <v>199</v>
      </c>
      <c r="H84" s="25" t="e">
        <f t="shared" si="40"/>
        <v>#REF!</v>
      </c>
      <c r="I84" s="27" t="e">
        <f t="shared" si="41"/>
        <v>#REF!</v>
      </c>
      <c r="J84" s="27"/>
      <c r="K84" s="25">
        <f t="shared" si="42"/>
        <v>410</v>
      </c>
      <c r="L84" s="25" t="e">
        <f t="shared" si="43"/>
        <v>#REF!</v>
      </c>
      <c r="M84" s="27" t="e">
        <f t="shared" si="44"/>
        <v>#REF!</v>
      </c>
      <c r="N84" s="39"/>
      <c r="O84" s="36" t="str">
        <f t="shared" si="45"/>
        <v>Western</v>
      </c>
      <c r="P84" s="26" t="e">
        <f t="shared" si="46"/>
        <v>#REF!</v>
      </c>
      <c r="Q84" s="27" t="e">
        <f t="shared" si="47"/>
        <v>#VALUE!</v>
      </c>
      <c r="R84" s="27"/>
      <c r="S84" s="26">
        <f t="shared" si="48"/>
        <v>1922</v>
      </c>
      <c r="T84" s="26" t="e">
        <f t="shared" si="49"/>
        <v>#REF!</v>
      </c>
      <c r="U84" s="27" t="e">
        <f t="shared" si="50"/>
        <v>#REF!</v>
      </c>
      <c r="V84" s="27"/>
      <c r="W84" s="26">
        <f t="shared" si="51"/>
        <v>1718</v>
      </c>
      <c r="X84" s="26" t="e">
        <f t="shared" si="52"/>
        <v>#REF!</v>
      </c>
      <c r="Y84" s="27" t="e">
        <f t="shared" si="53"/>
        <v>#REF!</v>
      </c>
    </row>
    <row r="85" spans="1:25" ht="16.5" customHeight="1">
      <c r="A85" s="16" t="s">
        <v>213</v>
      </c>
      <c r="B85" s="32" t="s">
        <v>214</v>
      </c>
      <c r="C85" s="25">
        <f t="shared" si="36"/>
        <v>169</v>
      </c>
      <c r="D85" s="25" t="e">
        <f t="shared" si="37"/>
        <v>#REF!</v>
      </c>
      <c r="E85" s="27" t="e">
        <f t="shared" si="38"/>
        <v>#REF!</v>
      </c>
      <c r="F85" s="27"/>
      <c r="G85" s="25">
        <f t="shared" si="39"/>
        <v>754</v>
      </c>
      <c r="H85" s="25" t="e">
        <f t="shared" si="40"/>
        <v>#REF!</v>
      </c>
      <c r="I85" s="27" t="e">
        <f t="shared" si="41"/>
        <v>#REF!</v>
      </c>
      <c r="J85" s="27"/>
      <c r="K85" s="25">
        <f t="shared" si="42"/>
        <v>287</v>
      </c>
      <c r="L85" s="25" t="e">
        <f t="shared" si="43"/>
        <v>#REF!</v>
      </c>
      <c r="M85" s="27" t="e">
        <f t="shared" si="44"/>
        <v>#REF!</v>
      </c>
      <c r="N85" s="39"/>
      <c r="O85" s="36" t="str">
        <f t="shared" si="45"/>
        <v>Northern</v>
      </c>
      <c r="P85" s="26" t="e">
        <f t="shared" si="46"/>
        <v>#REF!</v>
      </c>
      <c r="Q85" s="27" t="e">
        <f t="shared" si="47"/>
        <v>#VALUE!</v>
      </c>
      <c r="R85" s="27"/>
      <c r="S85" s="26">
        <f t="shared" si="48"/>
        <v>3389</v>
      </c>
      <c r="T85" s="26" t="e">
        <f t="shared" si="49"/>
        <v>#REF!</v>
      </c>
      <c r="U85" s="27" t="e">
        <f t="shared" si="50"/>
        <v>#REF!</v>
      </c>
      <c r="V85" s="27"/>
      <c r="W85" s="26">
        <f t="shared" si="51"/>
        <v>2705</v>
      </c>
      <c r="X85" s="26" t="e">
        <f t="shared" si="52"/>
        <v>#REF!</v>
      </c>
      <c r="Y85" s="27" t="e">
        <f t="shared" si="53"/>
        <v>#REF!</v>
      </c>
    </row>
    <row r="86" spans="1:25" ht="16.5" customHeight="1">
      <c r="A86" s="16" t="s">
        <v>215</v>
      </c>
      <c r="B86" s="32" t="s">
        <v>216</v>
      </c>
      <c r="C86" s="25">
        <f t="shared" si="36"/>
        <v>122</v>
      </c>
      <c r="D86" s="25" t="e">
        <f t="shared" si="37"/>
        <v>#REF!</v>
      </c>
      <c r="E86" s="27" t="e">
        <f t="shared" si="38"/>
        <v>#REF!</v>
      </c>
      <c r="F86" s="27"/>
      <c r="G86" s="25">
        <f t="shared" si="39"/>
        <v>383</v>
      </c>
      <c r="H86" s="25" t="e">
        <f t="shared" si="40"/>
        <v>#REF!</v>
      </c>
      <c r="I86" s="27" t="e">
        <f t="shared" si="41"/>
        <v>#REF!</v>
      </c>
      <c r="J86" s="27"/>
      <c r="K86" s="25">
        <f t="shared" si="42"/>
        <v>512</v>
      </c>
      <c r="L86" s="25" t="e">
        <f t="shared" si="43"/>
        <v>#REF!</v>
      </c>
      <c r="M86" s="27" t="e">
        <f t="shared" si="44"/>
        <v>#REF!</v>
      </c>
      <c r="N86" s="39"/>
      <c r="O86" s="36" t="str">
        <f t="shared" si="45"/>
        <v>Western</v>
      </c>
      <c r="P86" s="26" t="e">
        <f t="shared" si="46"/>
        <v>#REF!</v>
      </c>
      <c r="Q86" s="27" t="e">
        <f t="shared" si="47"/>
        <v>#VALUE!</v>
      </c>
      <c r="R86" s="27"/>
      <c r="S86" s="26">
        <f t="shared" si="48"/>
        <v>3266</v>
      </c>
      <c r="T86" s="26" t="e">
        <f t="shared" si="49"/>
        <v>#REF!</v>
      </c>
      <c r="U86" s="27" t="e">
        <f t="shared" si="50"/>
        <v>#REF!</v>
      </c>
      <c r="V86" s="27"/>
      <c r="W86" s="26">
        <f t="shared" si="51"/>
        <v>2788</v>
      </c>
      <c r="X86" s="26" t="e">
        <f t="shared" si="52"/>
        <v>#REF!</v>
      </c>
      <c r="Y86" s="27" t="e">
        <f t="shared" si="53"/>
        <v>#REF!</v>
      </c>
    </row>
    <row r="87" spans="1:25" ht="16.5" customHeight="1">
      <c r="A87" s="16" t="s">
        <v>217</v>
      </c>
      <c r="B87" s="32" t="s">
        <v>218</v>
      </c>
      <c r="C87" s="25">
        <f t="shared" si="36"/>
        <v>1378</v>
      </c>
      <c r="D87" s="25" t="e">
        <f t="shared" si="37"/>
        <v>#REF!</v>
      </c>
      <c r="E87" s="27" t="e">
        <f t="shared" si="38"/>
        <v>#REF!</v>
      </c>
      <c r="F87" s="27"/>
      <c r="G87" s="25">
        <f t="shared" si="39"/>
        <v>328</v>
      </c>
      <c r="H87" s="25" t="e">
        <f t="shared" si="40"/>
        <v>#REF!</v>
      </c>
      <c r="I87" s="27" t="e">
        <f t="shared" si="41"/>
        <v>#REF!</v>
      </c>
      <c r="J87" s="27"/>
      <c r="K87" s="25">
        <f t="shared" si="42"/>
        <v>277</v>
      </c>
      <c r="L87" s="25" t="e">
        <f t="shared" si="43"/>
        <v>#REF!</v>
      </c>
      <c r="M87" s="27" t="e">
        <f t="shared" si="44"/>
        <v>#REF!</v>
      </c>
      <c r="N87" s="39"/>
      <c r="O87" s="36" t="str">
        <f t="shared" si="45"/>
        <v>Eastern</v>
      </c>
      <c r="P87" s="26" t="e">
        <f t="shared" si="46"/>
        <v>#REF!</v>
      </c>
      <c r="Q87" s="27" t="e">
        <f t="shared" si="47"/>
        <v>#VALUE!</v>
      </c>
      <c r="R87" s="27"/>
      <c r="S87" s="26">
        <f t="shared" si="48"/>
        <v>1651</v>
      </c>
      <c r="T87" s="26" t="e">
        <f t="shared" si="49"/>
        <v>#REF!</v>
      </c>
      <c r="U87" s="27" t="e">
        <f t="shared" si="50"/>
        <v>#REF!</v>
      </c>
      <c r="V87" s="27"/>
      <c r="W87" s="26">
        <f t="shared" si="51"/>
        <v>489</v>
      </c>
      <c r="X87" s="26" t="e">
        <f t="shared" si="52"/>
        <v>#REF!</v>
      </c>
      <c r="Y87" s="27" t="e">
        <f t="shared" si="53"/>
        <v>#REF!</v>
      </c>
    </row>
    <row r="88" spans="1:25" ht="16.5" customHeight="1">
      <c r="A88" s="16" t="s">
        <v>219</v>
      </c>
      <c r="B88" s="17" t="s">
        <v>220</v>
      </c>
      <c r="C88" s="25">
        <f t="shared" si="36"/>
        <v>2627</v>
      </c>
      <c r="D88" s="25" t="e">
        <f t="shared" si="37"/>
        <v>#REF!</v>
      </c>
      <c r="E88" s="27" t="e">
        <f t="shared" si="38"/>
        <v>#REF!</v>
      </c>
      <c r="F88" s="27"/>
      <c r="G88" s="25">
        <f t="shared" si="39"/>
        <v>1106</v>
      </c>
      <c r="H88" s="25" t="e">
        <f t="shared" si="40"/>
        <v>#REF!</v>
      </c>
      <c r="I88" s="27" t="e">
        <f t="shared" si="41"/>
        <v>#REF!</v>
      </c>
      <c r="J88" s="27"/>
      <c r="K88" s="25">
        <f t="shared" si="42"/>
        <v>512</v>
      </c>
      <c r="L88" s="25" t="e">
        <f t="shared" si="43"/>
        <v>#REF!</v>
      </c>
      <c r="M88" s="27" t="e">
        <f t="shared" si="44"/>
        <v>#REF!</v>
      </c>
      <c r="N88" s="39"/>
      <c r="O88" s="36" t="str">
        <f t="shared" si="45"/>
        <v>Northern</v>
      </c>
      <c r="P88" s="26" t="e">
        <f t="shared" si="46"/>
        <v>#REF!</v>
      </c>
      <c r="Q88" s="27" t="e">
        <f t="shared" si="47"/>
        <v>#VALUE!</v>
      </c>
      <c r="R88" s="27"/>
      <c r="S88" s="26">
        <f t="shared" si="48"/>
        <v>8181</v>
      </c>
      <c r="T88" s="26" t="e">
        <f t="shared" si="49"/>
        <v>#REF!</v>
      </c>
      <c r="U88" s="27" t="e">
        <f t="shared" si="50"/>
        <v>#REF!</v>
      </c>
      <c r="V88" s="27"/>
      <c r="W88" s="26">
        <f t="shared" si="51"/>
        <v>4360</v>
      </c>
      <c r="X88" s="26" t="e">
        <f t="shared" si="52"/>
        <v>#REF!</v>
      </c>
      <c r="Y88" s="27" t="e">
        <f t="shared" si="53"/>
        <v>#REF!</v>
      </c>
    </row>
    <row r="89" spans="1:25" ht="16.5" customHeight="1">
      <c r="A89" s="16" t="s">
        <v>221</v>
      </c>
      <c r="B89" s="17" t="s">
        <v>222</v>
      </c>
      <c r="C89" s="25">
        <f t="shared" si="36"/>
        <v>1882</v>
      </c>
      <c r="D89" s="25" t="e">
        <f t="shared" si="37"/>
        <v>#REF!</v>
      </c>
      <c r="E89" s="27" t="e">
        <f t="shared" si="38"/>
        <v>#REF!</v>
      </c>
      <c r="F89" s="27"/>
      <c r="G89" s="25">
        <f t="shared" si="39"/>
        <v>2326</v>
      </c>
      <c r="H89" s="25" t="e">
        <f t="shared" si="40"/>
        <v>#REF!</v>
      </c>
      <c r="I89" s="27" t="e">
        <f t="shared" si="41"/>
        <v>#REF!</v>
      </c>
      <c r="J89" s="27"/>
      <c r="K89" s="25">
        <f t="shared" si="42"/>
        <v>362</v>
      </c>
      <c r="L89" s="25" t="e">
        <f t="shared" si="43"/>
        <v>#REF!</v>
      </c>
      <c r="M89" s="27" t="e">
        <f t="shared" si="44"/>
        <v>#REF!</v>
      </c>
      <c r="N89" s="39"/>
      <c r="O89" s="36" t="str">
        <f t="shared" si="45"/>
        <v>Northern</v>
      </c>
      <c r="P89" s="26" t="e">
        <f t="shared" si="46"/>
        <v>#REF!</v>
      </c>
      <c r="Q89" s="27" t="e">
        <f t="shared" si="47"/>
        <v>#VALUE!</v>
      </c>
      <c r="R89" s="27"/>
      <c r="S89" s="26">
        <f t="shared" si="48"/>
        <v>6975</v>
      </c>
      <c r="T89" s="26" t="e">
        <f t="shared" si="49"/>
        <v>#REF!</v>
      </c>
      <c r="U89" s="27" t="e">
        <f t="shared" si="50"/>
        <v>#REF!</v>
      </c>
      <c r="V89" s="27"/>
      <c r="W89" s="26">
        <f t="shared" si="51"/>
        <v>2632</v>
      </c>
      <c r="X89" s="26" t="e">
        <f t="shared" si="52"/>
        <v>#REF!</v>
      </c>
      <c r="Y89" s="27" t="e">
        <f t="shared" si="53"/>
        <v>#REF!</v>
      </c>
    </row>
    <row r="90" spans="1:25" ht="16.5" customHeight="1">
      <c r="A90" s="16" t="s">
        <v>225</v>
      </c>
      <c r="B90" s="17" t="s">
        <v>226</v>
      </c>
      <c r="C90" s="25">
        <f t="shared" si="36"/>
        <v>490</v>
      </c>
      <c r="D90" s="25" t="e">
        <f t="shared" si="37"/>
        <v>#REF!</v>
      </c>
      <c r="E90" s="27" t="e">
        <f t="shared" si="38"/>
        <v>#REF!</v>
      </c>
      <c r="F90" s="27"/>
      <c r="G90" s="25">
        <f t="shared" si="39"/>
        <v>41</v>
      </c>
      <c r="H90" s="25" t="e">
        <f t="shared" si="40"/>
        <v>#REF!</v>
      </c>
      <c r="I90" s="27" t="e">
        <f t="shared" si="41"/>
        <v>#REF!</v>
      </c>
      <c r="J90" s="27"/>
      <c r="K90" s="25">
        <f t="shared" si="42"/>
        <v>81</v>
      </c>
      <c r="L90" s="25" t="e">
        <f t="shared" si="43"/>
        <v>#REF!</v>
      </c>
      <c r="M90" s="27" t="e">
        <f t="shared" si="44"/>
        <v>#REF!</v>
      </c>
      <c r="N90" s="39"/>
      <c r="O90" s="36" t="str">
        <f t="shared" si="45"/>
        <v>Eastern</v>
      </c>
      <c r="P90" s="26" t="e">
        <f t="shared" si="46"/>
        <v>#REF!</v>
      </c>
      <c r="Q90" s="27" t="e">
        <f t="shared" si="47"/>
        <v>#VALUE!</v>
      </c>
      <c r="R90" s="27"/>
      <c r="S90" s="26">
        <f t="shared" si="48"/>
        <v>507</v>
      </c>
      <c r="T90" s="26" t="e">
        <f t="shared" si="49"/>
        <v>#REF!</v>
      </c>
      <c r="U90" s="27" t="e">
        <f t="shared" si="50"/>
        <v>#REF!</v>
      </c>
      <c r="V90" s="27"/>
      <c r="W90" s="26">
        <f t="shared" si="51"/>
        <v>183</v>
      </c>
      <c r="X90" s="26" t="e">
        <f t="shared" si="52"/>
        <v>#REF!</v>
      </c>
      <c r="Y90" s="27" t="e">
        <f t="shared" si="53"/>
        <v>#REF!</v>
      </c>
    </row>
    <row r="91" spans="1:25" ht="16.5" customHeight="1">
      <c r="A91" s="16" t="s">
        <v>227</v>
      </c>
      <c r="B91" s="32" t="s">
        <v>228</v>
      </c>
      <c r="C91" s="25">
        <f t="shared" si="36"/>
        <v>977</v>
      </c>
      <c r="D91" s="25" t="e">
        <f t="shared" si="37"/>
        <v>#REF!</v>
      </c>
      <c r="E91" s="27" t="e">
        <f t="shared" si="38"/>
        <v>#REF!</v>
      </c>
      <c r="F91" s="27"/>
      <c r="G91" s="25">
        <f t="shared" si="39"/>
        <v>232</v>
      </c>
      <c r="H91" s="25" t="e">
        <f t="shared" si="40"/>
        <v>#REF!</v>
      </c>
      <c r="I91" s="27" t="e">
        <f t="shared" si="41"/>
        <v>#REF!</v>
      </c>
      <c r="J91" s="27"/>
      <c r="K91" s="25">
        <f t="shared" si="42"/>
        <v>168</v>
      </c>
      <c r="L91" s="25" t="e">
        <f t="shared" si="43"/>
        <v>#REF!</v>
      </c>
      <c r="M91" s="27" t="e">
        <f t="shared" si="44"/>
        <v>#REF!</v>
      </c>
      <c r="N91" s="39"/>
      <c r="O91" s="36" t="str">
        <f t="shared" si="45"/>
        <v>Eastern</v>
      </c>
      <c r="P91" s="26" t="e">
        <f t="shared" si="46"/>
        <v>#REF!</v>
      </c>
      <c r="Q91" s="27" t="e">
        <f t="shared" si="47"/>
        <v>#VALUE!</v>
      </c>
      <c r="R91" s="27"/>
      <c r="S91" s="26">
        <f t="shared" si="48"/>
        <v>1059</v>
      </c>
      <c r="T91" s="26" t="e">
        <f t="shared" si="49"/>
        <v>#REF!</v>
      </c>
      <c r="U91" s="27" t="e">
        <f t="shared" si="50"/>
        <v>#REF!</v>
      </c>
      <c r="V91" s="27"/>
      <c r="W91" s="26">
        <f t="shared" si="51"/>
        <v>206</v>
      </c>
      <c r="X91" s="26" t="e">
        <f t="shared" si="52"/>
        <v>#REF!</v>
      </c>
      <c r="Y91" s="27" t="e">
        <f t="shared" si="53"/>
        <v>#REF!</v>
      </c>
    </row>
    <row r="92" spans="1:25" ht="16.5" customHeight="1">
      <c r="A92" s="16" t="s">
        <v>229</v>
      </c>
      <c r="B92" s="32" t="s">
        <v>230</v>
      </c>
      <c r="C92" s="25">
        <f t="shared" si="36"/>
        <v>199</v>
      </c>
      <c r="D92" s="25" t="e">
        <f t="shared" si="37"/>
        <v>#REF!</v>
      </c>
      <c r="E92" s="27" t="e">
        <f t="shared" si="38"/>
        <v>#REF!</v>
      </c>
      <c r="F92" s="27"/>
      <c r="G92" s="25">
        <f t="shared" si="39"/>
        <v>310</v>
      </c>
      <c r="H92" s="25" t="e">
        <f t="shared" si="40"/>
        <v>#REF!</v>
      </c>
      <c r="I92" s="27" t="e">
        <f t="shared" si="41"/>
        <v>#REF!</v>
      </c>
      <c r="J92" s="27"/>
      <c r="K92" s="25">
        <f t="shared" si="42"/>
        <v>557</v>
      </c>
      <c r="L92" s="25" t="e">
        <f t="shared" si="43"/>
        <v>#REF!</v>
      </c>
      <c r="M92" s="27" t="e">
        <f t="shared" si="44"/>
        <v>#REF!</v>
      </c>
      <c r="N92" s="39"/>
      <c r="O92" s="36" t="str">
        <f t="shared" si="45"/>
        <v>Western</v>
      </c>
      <c r="P92" s="26" t="e">
        <f t="shared" si="46"/>
        <v>#REF!</v>
      </c>
      <c r="Q92" s="27" t="e">
        <f t="shared" si="47"/>
        <v>#VALUE!</v>
      </c>
      <c r="R92" s="27"/>
      <c r="S92" s="26">
        <f t="shared" si="48"/>
        <v>3895</v>
      </c>
      <c r="T92" s="26" t="e">
        <f t="shared" si="49"/>
        <v>#REF!</v>
      </c>
      <c r="U92" s="27" t="e">
        <f t="shared" si="50"/>
        <v>#REF!</v>
      </c>
      <c r="V92" s="27"/>
      <c r="W92" s="26">
        <f t="shared" si="51"/>
        <v>3357</v>
      </c>
      <c r="X92" s="26" t="e">
        <f t="shared" si="52"/>
        <v>#REF!</v>
      </c>
      <c r="Y92" s="27" t="e">
        <f t="shared" si="53"/>
        <v>#REF!</v>
      </c>
    </row>
    <row r="93" spans="1:25" ht="16.5" customHeight="1">
      <c r="A93" s="16" t="s">
        <v>233</v>
      </c>
      <c r="B93" s="32" t="s">
        <v>234</v>
      </c>
      <c r="C93" s="25">
        <f t="shared" si="36"/>
        <v>417</v>
      </c>
      <c r="D93" s="25" t="e">
        <f t="shared" si="37"/>
        <v>#REF!</v>
      </c>
      <c r="E93" s="27" t="e">
        <f t="shared" si="38"/>
        <v>#REF!</v>
      </c>
      <c r="F93" s="27"/>
      <c r="G93" s="25">
        <f t="shared" si="39"/>
        <v>612</v>
      </c>
      <c r="H93" s="25" t="e">
        <f t="shared" si="40"/>
        <v>#REF!</v>
      </c>
      <c r="I93" s="27" t="e">
        <f t="shared" si="41"/>
        <v>#REF!</v>
      </c>
      <c r="J93" s="27"/>
      <c r="K93" s="25">
        <f t="shared" si="42"/>
        <v>264</v>
      </c>
      <c r="L93" s="25" t="e">
        <f t="shared" si="43"/>
        <v>#REF!</v>
      </c>
      <c r="M93" s="27" t="e">
        <f t="shared" si="44"/>
        <v>#REF!</v>
      </c>
      <c r="N93" s="39"/>
      <c r="O93" s="36" t="str">
        <f t="shared" si="45"/>
        <v>Northern</v>
      </c>
      <c r="P93" s="26" t="e">
        <f t="shared" si="46"/>
        <v>#REF!</v>
      </c>
      <c r="Q93" s="27" t="e">
        <f t="shared" si="47"/>
        <v>#VALUE!</v>
      </c>
      <c r="R93" s="27"/>
      <c r="S93" s="26">
        <f t="shared" si="48"/>
        <v>2896</v>
      </c>
      <c r="T93" s="26" t="e">
        <f t="shared" si="49"/>
        <v>#REF!</v>
      </c>
      <c r="U93" s="27" t="e">
        <f t="shared" si="50"/>
        <v>#REF!</v>
      </c>
      <c r="V93" s="27"/>
      <c r="W93" s="26">
        <f t="shared" si="51"/>
        <v>2156</v>
      </c>
      <c r="X93" s="26" t="e">
        <f t="shared" si="52"/>
        <v>#REF!</v>
      </c>
      <c r="Y93" s="27" t="e">
        <f t="shared" si="53"/>
        <v>#REF!</v>
      </c>
    </row>
    <row r="94" spans="1:25" ht="16.5" customHeight="1">
      <c r="A94" s="16" t="s">
        <v>235</v>
      </c>
      <c r="B94" s="17" t="s">
        <v>236</v>
      </c>
      <c r="C94" s="25">
        <f t="shared" si="36"/>
        <v>146</v>
      </c>
      <c r="D94" s="25" t="e">
        <f t="shared" si="37"/>
        <v>#REF!</v>
      </c>
      <c r="E94" s="27" t="e">
        <f t="shared" si="38"/>
        <v>#REF!</v>
      </c>
      <c r="F94" s="27"/>
      <c r="G94" s="25">
        <f t="shared" si="39"/>
        <v>201</v>
      </c>
      <c r="H94" s="25" t="e">
        <f t="shared" si="40"/>
        <v>#REF!</v>
      </c>
      <c r="I94" s="27" t="e">
        <f t="shared" si="41"/>
        <v>#REF!</v>
      </c>
      <c r="J94" s="27"/>
      <c r="K94" s="25">
        <f t="shared" si="42"/>
        <v>635</v>
      </c>
      <c r="L94" s="25" t="e">
        <f t="shared" si="43"/>
        <v>#REF!</v>
      </c>
      <c r="M94" s="27" t="e">
        <f t="shared" si="44"/>
        <v>#REF!</v>
      </c>
      <c r="N94" s="39"/>
      <c r="O94" s="36" t="str">
        <f t="shared" si="45"/>
        <v>Western</v>
      </c>
      <c r="P94" s="26" t="e">
        <f t="shared" si="46"/>
        <v>#REF!</v>
      </c>
      <c r="Q94" s="27" t="e">
        <f t="shared" si="47"/>
        <v>#VALUE!</v>
      </c>
      <c r="R94" s="27"/>
      <c r="S94" s="26">
        <f t="shared" si="48"/>
        <v>3988</v>
      </c>
      <c r="T94" s="26" t="e">
        <f t="shared" si="49"/>
        <v>#REF!</v>
      </c>
      <c r="U94" s="27" t="e">
        <f t="shared" si="50"/>
        <v>#REF!</v>
      </c>
      <c r="V94" s="27"/>
      <c r="W94" s="26">
        <f t="shared" si="51"/>
        <v>3610</v>
      </c>
      <c r="X94" s="26" t="e">
        <f t="shared" si="52"/>
        <v>#REF!</v>
      </c>
      <c r="Y94" s="27" t="e">
        <f t="shared" si="53"/>
        <v>#REF!</v>
      </c>
    </row>
    <row r="95" spans="1:25" ht="16.5" customHeight="1">
      <c r="A95" s="16" t="s">
        <v>237</v>
      </c>
      <c r="B95" s="32" t="s">
        <v>238</v>
      </c>
      <c r="C95" s="25">
        <f t="shared" si="36"/>
        <v>1046</v>
      </c>
      <c r="D95" s="25" t="e">
        <f t="shared" si="37"/>
        <v>#REF!</v>
      </c>
      <c r="E95" s="27" t="e">
        <f t="shared" si="38"/>
        <v>#REF!</v>
      </c>
      <c r="F95" s="27"/>
      <c r="G95" s="25">
        <f t="shared" si="39"/>
        <v>483</v>
      </c>
      <c r="H95" s="25" t="e">
        <f t="shared" si="40"/>
        <v>#REF!</v>
      </c>
      <c r="I95" s="27" t="e">
        <f t="shared" si="41"/>
        <v>#REF!</v>
      </c>
      <c r="J95" s="27"/>
      <c r="K95" s="25">
        <f t="shared" si="42"/>
        <v>293</v>
      </c>
      <c r="L95" s="25" t="e">
        <f t="shared" si="43"/>
        <v>#REF!</v>
      </c>
      <c r="M95" s="27" t="e">
        <f t="shared" si="44"/>
        <v>#REF!</v>
      </c>
      <c r="N95" s="39"/>
      <c r="O95" s="36" t="str">
        <f t="shared" si="45"/>
        <v>Central</v>
      </c>
      <c r="P95" s="26" t="e">
        <f t="shared" si="46"/>
        <v>#REF!</v>
      </c>
      <c r="Q95" s="27" t="e">
        <f t="shared" si="47"/>
        <v>#VALUE!</v>
      </c>
      <c r="R95" s="27"/>
      <c r="S95" s="26">
        <f t="shared" si="48"/>
        <v>1791</v>
      </c>
      <c r="T95" s="26" t="e">
        <f t="shared" si="49"/>
        <v>#REF!</v>
      </c>
      <c r="U95" s="27" t="e">
        <f t="shared" si="50"/>
        <v>#REF!</v>
      </c>
      <c r="V95" s="27"/>
      <c r="W95" s="26">
        <f t="shared" si="51"/>
        <v>695</v>
      </c>
      <c r="X95" s="26" t="e">
        <f t="shared" si="52"/>
        <v>#REF!</v>
      </c>
      <c r="Y95" s="27" t="e">
        <f t="shared" si="53"/>
        <v>#REF!</v>
      </c>
    </row>
    <row r="96" spans="1:25" ht="16.5" customHeight="1">
      <c r="A96" s="16" t="s">
        <v>243</v>
      </c>
      <c r="B96" s="32" t="s">
        <v>244</v>
      </c>
      <c r="C96" s="25">
        <f t="shared" si="36"/>
        <v>160</v>
      </c>
      <c r="D96" s="25" t="e">
        <f t="shared" si="37"/>
        <v>#REF!</v>
      </c>
      <c r="E96" s="27" t="e">
        <f t="shared" si="38"/>
        <v>#REF!</v>
      </c>
      <c r="F96" s="27"/>
      <c r="G96" s="25">
        <f t="shared" si="39"/>
        <v>559</v>
      </c>
      <c r="H96" s="25" t="e">
        <f t="shared" si="40"/>
        <v>#REF!</v>
      </c>
      <c r="I96" s="27" t="e">
        <f t="shared" si="41"/>
        <v>#REF!</v>
      </c>
      <c r="J96" s="27"/>
      <c r="K96" s="25">
        <f t="shared" si="42"/>
        <v>492</v>
      </c>
      <c r="L96" s="25" t="e">
        <f t="shared" si="43"/>
        <v>#REF!</v>
      </c>
      <c r="M96" s="27" t="e">
        <f t="shared" si="44"/>
        <v>#REF!</v>
      </c>
      <c r="N96" s="39"/>
      <c r="O96" s="36" t="str">
        <f t="shared" si="45"/>
        <v>Western</v>
      </c>
      <c r="P96" s="26" t="e">
        <f t="shared" si="46"/>
        <v>#REF!</v>
      </c>
      <c r="Q96" s="27" t="e">
        <f t="shared" si="47"/>
        <v>#VALUE!</v>
      </c>
      <c r="R96" s="27"/>
      <c r="S96" s="26">
        <f t="shared" si="48"/>
        <v>4353</v>
      </c>
      <c r="T96" s="26" t="e">
        <f t="shared" si="49"/>
        <v>#REF!</v>
      </c>
      <c r="U96" s="27" t="e">
        <f t="shared" si="50"/>
        <v>#REF!</v>
      </c>
      <c r="V96" s="27"/>
      <c r="W96" s="26">
        <f t="shared" si="51"/>
        <v>3717</v>
      </c>
      <c r="X96" s="26" t="e">
        <f t="shared" si="52"/>
        <v>#REF!</v>
      </c>
      <c r="Y96" s="27" t="e">
        <f t="shared" si="53"/>
        <v>#REF!</v>
      </c>
    </row>
    <row r="97" spans="1:25" ht="16.5" customHeight="1">
      <c r="A97" s="16" t="s">
        <v>245</v>
      </c>
      <c r="B97" s="32" t="s">
        <v>246</v>
      </c>
      <c r="C97" s="25">
        <f t="shared" si="36"/>
        <v>237</v>
      </c>
      <c r="D97" s="25" t="e">
        <f t="shared" si="37"/>
        <v>#REF!</v>
      </c>
      <c r="E97" s="27" t="e">
        <f t="shared" si="38"/>
        <v>#REF!</v>
      </c>
      <c r="F97" s="27"/>
      <c r="G97" s="25">
        <f t="shared" si="39"/>
        <v>327</v>
      </c>
      <c r="H97" s="25" t="e">
        <f t="shared" si="40"/>
        <v>#REF!</v>
      </c>
      <c r="I97" s="27" t="e">
        <f t="shared" si="41"/>
        <v>#REF!</v>
      </c>
      <c r="J97" s="27"/>
      <c r="K97" s="25">
        <f t="shared" si="42"/>
        <v>365</v>
      </c>
      <c r="L97" s="25" t="e">
        <f t="shared" si="43"/>
        <v>#REF!</v>
      </c>
      <c r="M97" s="27" t="e">
        <f t="shared" si="44"/>
        <v>#REF!</v>
      </c>
      <c r="N97" s="39"/>
      <c r="O97" s="36" t="str">
        <f t="shared" si="45"/>
        <v>Western</v>
      </c>
      <c r="P97" s="26" t="e">
        <f t="shared" si="46"/>
        <v>#REF!</v>
      </c>
      <c r="Q97" s="27" t="e">
        <f t="shared" si="47"/>
        <v>#VALUE!</v>
      </c>
      <c r="R97" s="27"/>
      <c r="S97" s="26">
        <f t="shared" si="48"/>
        <v>2369</v>
      </c>
      <c r="T97" s="26" t="e">
        <f t="shared" si="49"/>
        <v>#REF!</v>
      </c>
      <c r="U97" s="27" t="e">
        <f t="shared" si="50"/>
        <v>#REF!</v>
      </c>
      <c r="V97" s="27"/>
      <c r="W97" s="26">
        <f t="shared" si="51"/>
        <v>1924</v>
      </c>
      <c r="X97" s="26" t="e">
        <f t="shared" si="52"/>
        <v>#REF!</v>
      </c>
      <c r="Y97" s="27" t="e">
        <f t="shared" si="53"/>
        <v>#REF!</v>
      </c>
    </row>
    <row r="98" spans="1:25" ht="16.5" customHeight="1">
      <c r="A98" s="16" t="s">
        <v>247</v>
      </c>
      <c r="B98" s="17" t="s">
        <v>332</v>
      </c>
      <c r="C98" s="25">
        <f t="shared" si="36"/>
        <v>925</v>
      </c>
      <c r="D98" s="25" t="e">
        <f t="shared" si="37"/>
        <v>#REF!</v>
      </c>
      <c r="E98" s="27" t="e">
        <f t="shared" si="38"/>
        <v>#REF!</v>
      </c>
      <c r="F98" s="27"/>
      <c r="G98" s="25">
        <f t="shared" si="39"/>
        <v>315</v>
      </c>
      <c r="H98" s="25" t="e">
        <f t="shared" si="40"/>
        <v>#REF!</v>
      </c>
      <c r="I98" s="27" t="e">
        <f t="shared" si="41"/>
        <v>#REF!</v>
      </c>
      <c r="J98" s="27"/>
      <c r="K98" s="25">
        <f t="shared" si="42"/>
        <v>174</v>
      </c>
      <c r="L98" s="25" t="e">
        <f t="shared" si="43"/>
        <v>#REF!</v>
      </c>
      <c r="M98" s="27" t="e">
        <f t="shared" si="44"/>
        <v>#REF!</v>
      </c>
      <c r="N98" s="39"/>
      <c r="O98" s="36" t="str">
        <f t="shared" si="45"/>
        <v>Eastern</v>
      </c>
      <c r="P98" s="26" t="e">
        <f t="shared" si="46"/>
        <v>#REF!</v>
      </c>
      <c r="Q98" s="27" t="e">
        <f t="shared" si="47"/>
        <v>#VALUE!</v>
      </c>
      <c r="R98" s="27"/>
      <c r="S98" s="26">
        <f t="shared" si="48"/>
        <v>2343</v>
      </c>
      <c r="T98" s="26" t="e">
        <f t="shared" si="49"/>
        <v>#REF!</v>
      </c>
      <c r="U98" s="27" t="e">
        <f t="shared" si="50"/>
        <v>#REF!</v>
      </c>
      <c r="V98" s="27"/>
      <c r="W98" s="26">
        <f t="shared" si="51"/>
        <v>1225</v>
      </c>
      <c r="X98" s="26" t="e">
        <f t="shared" si="52"/>
        <v>#REF!</v>
      </c>
      <c r="Y98" s="27" t="e">
        <f t="shared" si="53"/>
        <v>#REF!</v>
      </c>
    </row>
    <row r="99" spans="1:25" ht="16.5" customHeight="1">
      <c r="A99" s="16" t="s">
        <v>14</v>
      </c>
      <c r="B99" s="17" t="s">
        <v>15</v>
      </c>
      <c r="C99" s="25">
        <f t="shared" si="36"/>
        <v>3386</v>
      </c>
      <c r="D99" s="25" t="e">
        <f t="shared" si="37"/>
        <v>#REF!</v>
      </c>
      <c r="E99" s="27" t="e">
        <f t="shared" si="38"/>
        <v>#REF!</v>
      </c>
      <c r="F99" s="27"/>
      <c r="G99" s="25">
        <f t="shared" si="39"/>
        <v>1862</v>
      </c>
      <c r="H99" s="25" t="e">
        <f t="shared" si="40"/>
        <v>#REF!</v>
      </c>
      <c r="I99" s="27" t="e">
        <f t="shared" si="41"/>
        <v>#REF!</v>
      </c>
      <c r="J99" s="27"/>
      <c r="K99" s="25">
        <f t="shared" si="42"/>
        <v>1000</v>
      </c>
      <c r="L99" s="25" t="e">
        <f t="shared" si="43"/>
        <v>#REF!</v>
      </c>
      <c r="M99" s="27" t="e">
        <f t="shared" si="44"/>
        <v>#REF!</v>
      </c>
      <c r="N99" s="39"/>
      <c r="O99" s="36" t="str">
        <f t="shared" si="45"/>
        <v>Northern</v>
      </c>
      <c r="P99" s="26" t="e">
        <f t="shared" si="46"/>
        <v>#REF!</v>
      </c>
      <c r="Q99" s="27" t="e">
        <f t="shared" si="47"/>
        <v>#VALUE!</v>
      </c>
      <c r="R99" s="27"/>
      <c r="S99" s="26">
        <f t="shared" si="48"/>
        <v>6118</v>
      </c>
      <c r="T99" s="26" t="e">
        <f t="shared" si="49"/>
        <v>#REF!</v>
      </c>
      <c r="U99" s="27" t="e">
        <f t="shared" si="50"/>
        <v>#REF!</v>
      </c>
      <c r="V99" s="27"/>
      <c r="W99" s="26">
        <f t="shared" si="51"/>
        <v>2193</v>
      </c>
      <c r="X99" s="26" t="e">
        <f t="shared" si="52"/>
        <v>#REF!</v>
      </c>
      <c r="Y99" s="27" t="e">
        <f t="shared" si="53"/>
        <v>#REF!</v>
      </c>
    </row>
    <row r="100" spans="1:25" ht="16.5" customHeight="1">
      <c r="A100" s="16" t="s">
        <v>35</v>
      </c>
      <c r="B100" s="17" t="s">
        <v>36</v>
      </c>
      <c r="C100" s="25">
        <f t="shared" ref="C100:C123" si="54">VLOOKUP(A100,SNAP_Demo,10,FALSE)</f>
        <v>400</v>
      </c>
      <c r="D100" s="25" t="e">
        <f t="shared" ref="D100:D123" si="55">VLOOKUP(A100,Pop,14,FALSE)</f>
        <v>#REF!</v>
      </c>
      <c r="E100" s="27" t="e">
        <f t="shared" ref="E100:E123" si="56">+C100/D100</f>
        <v>#REF!</v>
      </c>
      <c r="F100" s="27"/>
      <c r="G100" s="25">
        <f t="shared" ref="G100:G123" si="57">VLOOKUP(A100,SNAP_Demo,11,FALSE)</f>
        <v>151</v>
      </c>
      <c r="H100" s="25" t="e">
        <f t="shared" ref="H100:H123" si="58">VLOOKUP(A100,Pop,15,FALSE)</f>
        <v>#REF!</v>
      </c>
      <c r="I100" s="27" t="e">
        <f t="shared" ref="I100:I123" si="59">+G100/H100</f>
        <v>#REF!</v>
      </c>
      <c r="J100" s="27"/>
      <c r="K100" s="25">
        <f t="shared" ref="K100:K123" si="60">VLOOKUP(A100,SNAP_Demo,12,FALSE)</f>
        <v>325</v>
      </c>
      <c r="L100" s="25" t="e">
        <f t="shared" ref="L100:L123" si="61">VLOOKUP(A100,Pop,16,FALSE)</f>
        <v>#REF!</v>
      </c>
      <c r="M100" s="27" t="e">
        <f t="shared" ref="M100:M123" si="62">+K100/L100</f>
        <v>#REF!</v>
      </c>
      <c r="N100" s="39"/>
      <c r="O100" s="36" t="str">
        <f t="shared" ref="O100:O123" si="63">VLOOKUP(A100,SNAP_Demo,3,FALSE)</f>
        <v>Western</v>
      </c>
      <c r="P100" s="26" t="e">
        <f t="shared" ref="P100:P123" si="64">VLOOKUP(A100,Pop,8,FALSE)</f>
        <v>#REF!</v>
      </c>
      <c r="Q100" s="27" t="e">
        <f t="shared" ref="Q100:Q123" si="65">+O100/P100</f>
        <v>#VALUE!</v>
      </c>
      <c r="R100" s="27"/>
      <c r="S100" s="26">
        <f t="shared" ref="S100:S123" si="66">VLOOKUP(A100,SNAP_Demo,4,FALSE)</f>
        <v>2480</v>
      </c>
      <c r="T100" s="26" t="e">
        <f t="shared" ref="T100:T123" si="67">VLOOKUP(A100,Pop,9,FALSE)</f>
        <v>#REF!</v>
      </c>
      <c r="U100" s="27" t="e">
        <f t="shared" ref="U100:U123" si="68">+S100/T100</f>
        <v>#REF!</v>
      </c>
      <c r="V100" s="27"/>
      <c r="W100" s="26">
        <f t="shared" ref="W100:W123" si="69">VLOOKUP(A100,SNAP_Demo,5,FALSE)</f>
        <v>1929</v>
      </c>
      <c r="X100" s="26" t="e">
        <f t="shared" ref="X100:X123" si="70">VLOOKUP(A100,Pop,10,FALSE)</f>
        <v>#REF!</v>
      </c>
      <c r="Y100" s="27" t="e">
        <f t="shared" ref="Y100:Y123" si="71">+W100/X100</f>
        <v>#REF!</v>
      </c>
    </row>
    <row r="101" spans="1:25" ht="16.5" customHeight="1">
      <c r="A101" s="16" t="s">
        <v>53</v>
      </c>
      <c r="B101" s="17" t="s">
        <v>54</v>
      </c>
      <c r="C101" s="25">
        <f t="shared" si="54"/>
        <v>2757</v>
      </c>
      <c r="D101" s="25" t="e">
        <f t="shared" si="55"/>
        <v>#REF!</v>
      </c>
      <c r="E101" s="27" t="e">
        <f t="shared" si="56"/>
        <v>#REF!</v>
      </c>
      <c r="F101" s="27"/>
      <c r="G101" s="25">
        <f t="shared" si="57"/>
        <v>654</v>
      </c>
      <c r="H101" s="25" t="e">
        <f t="shared" si="58"/>
        <v>#REF!</v>
      </c>
      <c r="I101" s="27" t="e">
        <f t="shared" si="59"/>
        <v>#REF!</v>
      </c>
      <c r="J101" s="27"/>
      <c r="K101" s="25">
        <f t="shared" si="60"/>
        <v>336</v>
      </c>
      <c r="L101" s="25" t="e">
        <f t="shared" si="61"/>
        <v>#REF!</v>
      </c>
      <c r="M101" s="27" t="e">
        <f t="shared" si="62"/>
        <v>#REF!</v>
      </c>
      <c r="N101" s="39"/>
      <c r="O101" s="36" t="str">
        <f t="shared" si="63"/>
        <v>Piedmont</v>
      </c>
      <c r="P101" s="26" t="e">
        <f t="shared" si="64"/>
        <v>#REF!</v>
      </c>
      <c r="Q101" s="27" t="e">
        <f t="shared" si="65"/>
        <v>#VALUE!</v>
      </c>
      <c r="R101" s="27"/>
      <c r="S101" s="26">
        <f t="shared" si="66"/>
        <v>3104</v>
      </c>
      <c r="T101" s="26" t="e">
        <f t="shared" si="67"/>
        <v>#REF!</v>
      </c>
      <c r="U101" s="27" t="e">
        <f t="shared" si="68"/>
        <v>#REF!</v>
      </c>
      <c r="V101" s="27"/>
      <c r="W101" s="26">
        <f t="shared" si="69"/>
        <v>727</v>
      </c>
      <c r="X101" s="26" t="e">
        <f t="shared" si="70"/>
        <v>#REF!</v>
      </c>
      <c r="Y101" s="27" t="e">
        <f t="shared" si="71"/>
        <v>#REF!</v>
      </c>
    </row>
    <row r="102" spans="1:25" ht="16.5" customHeight="1">
      <c r="A102" s="16" t="s">
        <v>55</v>
      </c>
      <c r="B102" s="17" t="s">
        <v>56</v>
      </c>
      <c r="C102" s="25">
        <f t="shared" si="54"/>
        <v>10312</v>
      </c>
      <c r="D102" s="25" t="e">
        <f t="shared" si="55"/>
        <v>#REF!</v>
      </c>
      <c r="E102" s="27" t="e">
        <f t="shared" si="56"/>
        <v>#REF!</v>
      </c>
      <c r="F102" s="27"/>
      <c r="G102" s="25">
        <f t="shared" si="57"/>
        <v>1569</v>
      </c>
      <c r="H102" s="25" t="e">
        <f t="shared" si="58"/>
        <v>#REF!</v>
      </c>
      <c r="I102" s="27" t="e">
        <f t="shared" si="59"/>
        <v>#REF!</v>
      </c>
      <c r="J102" s="27"/>
      <c r="K102" s="25">
        <f t="shared" si="60"/>
        <v>1165</v>
      </c>
      <c r="L102" s="25" t="e">
        <f t="shared" si="61"/>
        <v>#REF!</v>
      </c>
      <c r="M102" s="27" t="e">
        <f t="shared" si="62"/>
        <v>#REF!</v>
      </c>
      <c r="N102" s="39"/>
      <c r="O102" s="36" t="str">
        <f t="shared" si="63"/>
        <v>Eastern</v>
      </c>
      <c r="P102" s="26" t="e">
        <f t="shared" si="64"/>
        <v>#REF!</v>
      </c>
      <c r="Q102" s="27" t="e">
        <f t="shared" si="65"/>
        <v>#VALUE!</v>
      </c>
      <c r="R102" s="27"/>
      <c r="S102" s="26">
        <f t="shared" si="66"/>
        <v>15373</v>
      </c>
      <c r="T102" s="26" t="e">
        <f t="shared" si="67"/>
        <v>#REF!</v>
      </c>
      <c r="U102" s="27" t="e">
        <f t="shared" si="68"/>
        <v>#REF!</v>
      </c>
      <c r="V102" s="27"/>
      <c r="W102" s="26">
        <f t="shared" si="69"/>
        <v>4118</v>
      </c>
      <c r="X102" s="26" t="e">
        <f t="shared" si="70"/>
        <v>#REF!</v>
      </c>
      <c r="Y102" s="27" t="e">
        <f t="shared" si="71"/>
        <v>#REF!</v>
      </c>
    </row>
    <row r="103" spans="1:25" ht="16.5" customHeight="1">
      <c r="A103" s="16" t="s">
        <v>67</v>
      </c>
      <c r="B103" s="32" t="s">
        <v>68</v>
      </c>
      <c r="C103" s="25">
        <f t="shared" si="54"/>
        <v>6598</v>
      </c>
      <c r="D103" s="25" t="e">
        <f t="shared" si="55"/>
        <v>#REF!</v>
      </c>
      <c r="E103" s="27" t="e">
        <f t="shared" si="56"/>
        <v>#REF!</v>
      </c>
      <c r="F103" s="27"/>
      <c r="G103" s="25">
        <f t="shared" si="57"/>
        <v>1357</v>
      </c>
      <c r="H103" s="25" t="e">
        <f t="shared" si="58"/>
        <v>#REF!</v>
      </c>
      <c r="I103" s="27" t="e">
        <f t="shared" si="59"/>
        <v>#REF!</v>
      </c>
      <c r="J103" s="27"/>
      <c r="K103" s="25">
        <f t="shared" si="60"/>
        <v>870</v>
      </c>
      <c r="L103" s="25" t="e">
        <f t="shared" si="61"/>
        <v>#REF!</v>
      </c>
      <c r="M103" s="27" t="e">
        <f t="shared" si="62"/>
        <v>#REF!</v>
      </c>
      <c r="N103" s="39"/>
      <c r="O103" s="36" t="str">
        <f t="shared" si="63"/>
        <v>Piedmont</v>
      </c>
      <c r="P103" s="26" t="e">
        <f t="shared" si="64"/>
        <v>#REF!</v>
      </c>
      <c r="Q103" s="27" t="e">
        <f t="shared" si="65"/>
        <v>#VALUE!</v>
      </c>
      <c r="R103" s="27"/>
      <c r="S103" s="26">
        <f t="shared" si="66"/>
        <v>6863</v>
      </c>
      <c r="T103" s="26" t="e">
        <f t="shared" si="67"/>
        <v>#REF!</v>
      </c>
      <c r="U103" s="27" t="e">
        <f t="shared" si="68"/>
        <v>#REF!</v>
      </c>
      <c r="V103" s="27"/>
      <c r="W103" s="26">
        <f t="shared" si="69"/>
        <v>1330</v>
      </c>
      <c r="X103" s="26" t="e">
        <f t="shared" si="70"/>
        <v>#REF!</v>
      </c>
      <c r="Y103" s="27" t="e">
        <f t="shared" si="71"/>
        <v>#REF!</v>
      </c>
    </row>
    <row r="104" spans="1:25" ht="16.5" customHeight="1">
      <c r="A104" s="16" t="s">
        <v>83</v>
      </c>
      <c r="B104" s="32" t="s">
        <v>333</v>
      </c>
      <c r="C104" s="25">
        <f t="shared" si="54"/>
        <v>1688</v>
      </c>
      <c r="D104" s="25" t="e">
        <f t="shared" si="55"/>
        <v>#REF!</v>
      </c>
      <c r="E104" s="27" t="e">
        <f t="shared" si="56"/>
        <v>#REF!</v>
      </c>
      <c r="F104" s="27"/>
      <c r="G104" s="25">
        <f t="shared" si="57"/>
        <v>148</v>
      </c>
      <c r="H104" s="25" t="e">
        <f t="shared" si="58"/>
        <v>#REF!</v>
      </c>
      <c r="I104" s="27" t="e">
        <f t="shared" si="59"/>
        <v>#REF!</v>
      </c>
      <c r="J104" s="27"/>
      <c r="K104" s="25">
        <f t="shared" si="60"/>
        <v>159</v>
      </c>
      <c r="L104" s="25" t="e">
        <f t="shared" si="61"/>
        <v>#REF!</v>
      </c>
      <c r="M104" s="27" t="e">
        <f t="shared" si="62"/>
        <v>#REF!</v>
      </c>
      <c r="N104" s="39"/>
      <c r="O104" s="36" t="str">
        <f t="shared" si="63"/>
        <v>Eastern</v>
      </c>
      <c r="P104" s="26" t="e">
        <f t="shared" si="64"/>
        <v>#REF!</v>
      </c>
      <c r="Q104" s="27" t="e">
        <f t="shared" si="65"/>
        <v>#VALUE!</v>
      </c>
      <c r="R104" s="27"/>
      <c r="S104" s="26">
        <f t="shared" si="66"/>
        <v>1474</v>
      </c>
      <c r="T104" s="26" t="e">
        <f t="shared" si="67"/>
        <v>#REF!</v>
      </c>
      <c r="U104" s="27" t="e">
        <f t="shared" si="68"/>
        <v>#REF!</v>
      </c>
      <c r="V104" s="27"/>
      <c r="W104" s="26">
        <f t="shared" si="69"/>
        <v>105</v>
      </c>
      <c r="X104" s="26" t="e">
        <f t="shared" si="70"/>
        <v>#REF!</v>
      </c>
      <c r="Y104" s="27" t="e">
        <f t="shared" si="71"/>
        <v>#REF!</v>
      </c>
    </row>
    <row r="105" spans="1:25" ht="16.5" customHeight="1">
      <c r="A105" s="16" t="s">
        <v>89</v>
      </c>
      <c r="B105" s="17" t="s">
        <v>90</v>
      </c>
      <c r="C105" s="25">
        <f t="shared" si="54"/>
        <v>1759</v>
      </c>
      <c r="D105" s="25" t="e">
        <f t="shared" si="55"/>
        <v>#REF!</v>
      </c>
      <c r="E105" s="27" t="e">
        <f t="shared" si="56"/>
        <v>#REF!</v>
      </c>
      <c r="F105" s="27"/>
      <c r="G105" s="25">
        <f t="shared" si="57"/>
        <v>729</v>
      </c>
      <c r="H105" s="25" t="e">
        <f t="shared" si="58"/>
        <v>#REF!</v>
      </c>
      <c r="I105" s="27" t="e">
        <f t="shared" si="59"/>
        <v>#REF!</v>
      </c>
      <c r="J105" s="27"/>
      <c r="K105" s="25">
        <f t="shared" si="60"/>
        <v>244</v>
      </c>
      <c r="L105" s="25" t="e">
        <f t="shared" si="61"/>
        <v>#REF!</v>
      </c>
      <c r="M105" s="27" t="e">
        <f t="shared" si="62"/>
        <v>#REF!</v>
      </c>
      <c r="N105" s="39"/>
      <c r="O105" s="36" t="str">
        <f t="shared" si="63"/>
        <v>Northern</v>
      </c>
      <c r="P105" s="26" t="e">
        <f t="shared" si="64"/>
        <v>#REF!</v>
      </c>
      <c r="Q105" s="27" t="e">
        <f t="shared" si="65"/>
        <v>#VALUE!</v>
      </c>
      <c r="R105" s="27"/>
      <c r="S105" s="26">
        <f t="shared" si="66"/>
        <v>3023</v>
      </c>
      <c r="T105" s="26" t="e">
        <f t="shared" si="67"/>
        <v>#REF!</v>
      </c>
      <c r="U105" s="27" t="e">
        <f t="shared" si="68"/>
        <v>#REF!</v>
      </c>
      <c r="V105" s="27"/>
      <c r="W105" s="26">
        <f t="shared" si="69"/>
        <v>918</v>
      </c>
      <c r="X105" s="26" t="e">
        <f t="shared" si="70"/>
        <v>#REF!</v>
      </c>
      <c r="Y105" s="27" t="e">
        <f t="shared" si="71"/>
        <v>#REF!</v>
      </c>
    </row>
    <row r="106" spans="1:25" ht="16.5" customHeight="1">
      <c r="A106" s="16" t="s">
        <v>91</v>
      </c>
      <c r="B106" s="17" t="s">
        <v>92</v>
      </c>
      <c r="C106" s="25">
        <f t="shared" si="54"/>
        <v>156</v>
      </c>
      <c r="D106" s="25" t="e">
        <f t="shared" si="55"/>
        <v>#REF!</v>
      </c>
      <c r="E106" s="27" t="e">
        <f t="shared" si="56"/>
        <v>#REF!</v>
      </c>
      <c r="F106" s="27"/>
      <c r="G106" s="25">
        <f t="shared" si="57"/>
        <v>174</v>
      </c>
      <c r="H106" s="25" t="e">
        <f t="shared" si="58"/>
        <v>#REF!</v>
      </c>
      <c r="I106" s="27" t="e">
        <f t="shared" si="59"/>
        <v>#REF!</v>
      </c>
      <c r="J106" s="27"/>
      <c r="K106" s="25">
        <f t="shared" si="60"/>
        <v>184</v>
      </c>
      <c r="L106" s="25" t="e">
        <f t="shared" si="61"/>
        <v>#REF!</v>
      </c>
      <c r="M106" s="27" t="e">
        <f t="shared" si="62"/>
        <v>#REF!</v>
      </c>
      <c r="N106" s="39"/>
      <c r="O106" s="36" t="str">
        <f t="shared" si="63"/>
        <v>Western</v>
      </c>
      <c r="P106" s="26" t="e">
        <f t="shared" si="64"/>
        <v>#REF!</v>
      </c>
      <c r="Q106" s="27" t="e">
        <f t="shared" si="65"/>
        <v>#VALUE!</v>
      </c>
      <c r="R106" s="27"/>
      <c r="S106" s="26">
        <f t="shared" si="66"/>
        <v>1074</v>
      </c>
      <c r="T106" s="26" t="e">
        <f t="shared" si="67"/>
        <v>#REF!</v>
      </c>
      <c r="U106" s="27" t="e">
        <f t="shared" si="68"/>
        <v>#REF!</v>
      </c>
      <c r="V106" s="27"/>
      <c r="W106" s="26">
        <f t="shared" si="69"/>
        <v>875</v>
      </c>
      <c r="X106" s="26" t="e">
        <f t="shared" si="70"/>
        <v>#REF!</v>
      </c>
      <c r="Y106" s="27" t="e">
        <f t="shared" si="71"/>
        <v>#REF!</v>
      </c>
    </row>
    <row r="107" spans="1:25" ht="16.5" customHeight="1">
      <c r="A107" s="16" t="s">
        <v>107</v>
      </c>
      <c r="B107" s="17" t="s">
        <v>108</v>
      </c>
      <c r="C107" s="25">
        <f t="shared" si="54"/>
        <v>11983</v>
      </c>
      <c r="D107" s="25" t="e">
        <f t="shared" si="55"/>
        <v>#REF!</v>
      </c>
      <c r="E107" s="27" t="e">
        <f t="shared" si="56"/>
        <v>#REF!</v>
      </c>
      <c r="F107" s="27"/>
      <c r="G107" s="25">
        <f t="shared" si="57"/>
        <v>1925</v>
      </c>
      <c r="H107" s="25" t="e">
        <f t="shared" si="58"/>
        <v>#REF!</v>
      </c>
      <c r="I107" s="27" t="e">
        <f t="shared" si="59"/>
        <v>#REF!</v>
      </c>
      <c r="J107" s="27"/>
      <c r="K107" s="25">
        <f t="shared" si="60"/>
        <v>934</v>
      </c>
      <c r="L107" s="25" t="e">
        <f t="shared" si="61"/>
        <v>#REF!</v>
      </c>
      <c r="M107" s="27" t="e">
        <f t="shared" si="62"/>
        <v>#REF!</v>
      </c>
      <c r="N107" s="39"/>
      <c r="O107" s="36" t="str">
        <f t="shared" si="63"/>
        <v>Eastern</v>
      </c>
      <c r="P107" s="26" t="e">
        <f t="shared" si="64"/>
        <v>#REF!</v>
      </c>
      <c r="Q107" s="27" t="e">
        <f t="shared" si="65"/>
        <v>#VALUE!</v>
      </c>
      <c r="R107" s="27"/>
      <c r="S107" s="26">
        <f t="shared" si="66"/>
        <v>13799</v>
      </c>
      <c r="T107" s="26" t="e">
        <f t="shared" si="67"/>
        <v>#REF!</v>
      </c>
      <c r="U107" s="27" t="e">
        <f t="shared" si="68"/>
        <v>#REF!</v>
      </c>
      <c r="V107" s="27"/>
      <c r="W107" s="26">
        <f t="shared" si="69"/>
        <v>2431</v>
      </c>
      <c r="X107" s="26" t="e">
        <f t="shared" si="70"/>
        <v>#REF!</v>
      </c>
      <c r="Y107" s="27" t="e">
        <f t="shared" si="71"/>
        <v>#REF!</v>
      </c>
    </row>
    <row r="108" spans="1:25" ht="16.5" customHeight="1">
      <c r="A108" s="16" t="s">
        <v>117</v>
      </c>
      <c r="B108" s="32" t="s">
        <v>118</v>
      </c>
      <c r="C108" s="25">
        <f t="shared" si="54"/>
        <v>2695</v>
      </c>
      <c r="D108" s="25" t="e">
        <f t="shared" si="55"/>
        <v>#REF!</v>
      </c>
      <c r="E108" s="27" t="e">
        <f t="shared" si="56"/>
        <v>#REF!</v>
      </c>
      <c r="F108" s="27"/>
      <c r="G108" s="25">
        <f t="shared" si="57"/>
        <v>626</v>
      </c>
      <c r="H108" s="25" t="e">
        <f t="shared" si="58"/>
        <v>#REF!</v>
      </c>
      <c r="I108" s="27" t="e">
        <f t="shared" si="59"/>
        <v>#REF!</v>
      </c>
      <c r="J108" s="27"/>
      <c r="K108" s="25">
        <f t="shared" si="60"/>
        <v>246</v>
      </c>
      <c r="L108" s="25" t="e">
        <f t="shared" si="61"/>
        <v>#REF!</v>
      </c>
      <c r="M108" s="27" t="e">
        <f t="shared" si="62"/>
        <v>#REF!</v>
      </c>
      <c r="N108" s="39"/>
      <c r="O108" s="36" t="str">
        <f t="shared" si="63"/>
        <v>Central</v>
      </c>
      <c r="P108" s="26" t="e">
        <f t="shared" si="64"/>
        <v>#REF!</v>
      </c>
      <c r="Q108" s="27" t="e">
        <f t="shared" si="65"/>
        <v>#VALUE!</v>
      </c>
      <c r="R108" s="27"/>
      <c r="S108" s="26">
        <f t="shared" si="66"/>
        <v>4147</v>
      </c>
      <c r="T108" s="26" t="e">
        <f t="shared" si="67"/>
        <v>#REF!</v>
      </c>
      <c r="U108" s="27" t="e">
        <f t="shared" si="68"/>
        <v>#REF!</v>
      </c>
      <c r="V108" s="27"/>
      <c r="W108" s="26">
        <f t="shared" si="69"/>
        <v>1333</v>
      </c>
      <c r="X108" s="26" t="e">
        <f t="shared" si="70"/>
        <v>#REF!</v>
      </c>
      <c r="Y108" s="27" t="e">
        <f t="shared" si="71"/>
        <v>#REF!</v>
      </c>
    </row>
    <row r="109" spans="1:25" ht="16.5" customHeight="1">
      <c r="A109" s="16" t="s">
        <v>139</v>
      </c>
      <c r="B109" s="17" t="s">
        <v>140</v>
      </c>
      <c r="C109" s="25">
        <f t="shared" si="54"/>
        <v>6081</v>
      </c>
      <c r="D109" s="25" t="e">
        <f t="shared" si="55"/>
        <v>#REF!</v>
      </c>
      <c r="E109" s="27" t="e">
        <f t="shared" si="56"/>
        <v>#REF!</v>
      </c>
      <c r="F109" s="27"/>
      <c r="G109" s="25">
        <f t="shared" si="57"/>
        <v>1278</v>
      </c>
      <c r="H109" s="25" t="e">
        <f t="shared" si="58"/>
        <v>#REF!</v>
      </c>
      <c r="I109" s="27" t="e">
        <f t="shared" si="59"/>
        <v>#REF!</v>
      </c>
      <c r="J109" s="27"/>
      <c r="K109" s="25">
        <f t="shared" si="60"/>
        <v>691</v>
      </c>
      <c r="L109" s="25" t="e">
        <f t="shared" si="61"/>
        <v>#REF!</v>
      </c>
      <c r="M109" s="27" t="e">
        <f t="shared" si="62"/>
        <v>#REF!</v>
      </c>
      <c r="N109" s="39"/>
      <c r="O109" s="36" t="str">
        <f t="shared" si="63"/>
        <v>Piedmont</v>
      </c>
      <c r="P109" s="26" t="e">
        <f t="shared" si="64"/>
        <v>#REF!</v>
      </c>
      <c r="Q109" s="27" t="e">
        <f t="shared" si="65"/>
        <v>#VALUE!</v>
      </c>
      <c r="R109" s="27"/>
      <c r="S109" s="26">
        <f t="shared" si="66"/>
        <v>7567</v>
      </c>
      <c r="T109" s="26" t="e">
        <f t="shared" si="67"/>
        <v>#REF!</v>
      </c>
      <c r="U109" s="27" t="e">
        <f t="shared" si="68"/>
        <v>#REF!</v>
      </c>
      <c r="V109" s="27"/>
      <c r="W109" s="26">
        <f t="shared" si="69"/>
        <v>1849</v>
      </c>
      <c r="X109" s="26" t="e">
        <f t="shared" si="70"/>
        <v>#REF!</v>
      </c>
      <c r="Y109" s="27" t="e">
        <f t="shared" si="71"/>
        <v>#REF!</v>
      </c>
    </row>
    <row r="110" spans="1:25" ht="16.5" customHeight="1">
      <c r="A110" s="16" t="s">
        <v>143</v>
      </c>
      <c r="B110" s="32" t="s">
        <v>144</v>
      </c>
      <c r="C110" s="25">
        <f t="shared" si="54"/>
        <v>903</v>
      </c>
      <c r="D110" s="25" t="e">
        <f t="shared" si="55"/>
        <v>#REF!</v>
      </c>
      <c r="E110" s="27" t="e">
        <f t="shared" si="56"/>
        <v>#REF!</v>
      </c>
      <c r="F110" s="27"/>
      <c r="G110" s="25">
        <f t="shared" si="57"/>
        <v>1070</v>
      </c>
      <c r="H110" s="25" t="e">
        <f t="shared" si="58"/>
        <v>#REF!</v>
      </c>
      <c r="I110" s="27" t="e">
        <f t="shared" si="59"/>
        <v>#REF!</v>
      </c>
      <c r="J110" s="27"/>
      <c r="K110" s="25">
        <f t="shared" si="60"/>
        <v>175</v>
      </c>
      <c r="L110" s="25" t="e">
        <f t="shared" si="61"/>
        <v>#REF!</v>
      </c>
      <c r="M110" s="27" t="e">
        <f t="shared" si="62"/>
        <v>#REF!</v>
      </c>
      <c r="N110" s="39"/>
      <c r="O110" s="36" t="str">
        <f t="shared" si="63"/>
        <v>Northern</v>
      </c>
      <c r="P110" s="26" t="e">
        <f t="shared" si="64"/>
        <v>#REF!</v>
      </c>
      <c r="Q110" s="27" t="e">
        <f t="shared" si="65"/>
        <v>#VALUE!</v>
      </c>
      <c r="R110" s="27"/>
      <c r="S110" s="26">
        <f t="shared" si="66"/>
        <v>3775</v>
      </c>
      <c r="T110" s="26" t="e">
        <f t="shared" si="67"/>
        <v>#REF!</v>
      </c>
      <c r="U110" s="27" t="e">
        <f t="shared" si="68"/>
        <v>#REF!</v>
      </c>
      <c r="V110" s="27"/>
      <c r="W110" s="26">
        <f t="shared" si="69"/>
        <v>1517</v>
      </c>
      <c r="X110" s="26" t="e">
        <f t="shared" si="70"/>
        <v>#REF!</v>
      </c>
      <c r="Y110" s="27" t="e">
        <f t="shared" si="71"/>
        <v>#REF!</v>
      </c>
    </row>
    <row r="111" spans="1:25" ht="16.5" customHeight="1">
      <c r="A111" s="16" t="s">
        <v>145</v>
      </c>
      <c r="B111" s="17" t="s">
        <v>146</v>
      </c>
      <c r="C111" s="25">
        <f t="shared" si="54"/>
        <v>161</v>
      </c>
      <c r="D111" s="25" t="e">
        <f t="shared" si="55"/>
        <v>#REF!</v>
      </c>
      <c r="E111" s="27" t="e">
        <f t="shared" si="56"/>
        <v>#REF!</v>
      </c>
      <c r="F111" s="27"/>
      <c r="G111" s="25">
        <f t="shared" si="57"/>
        <v>376</v>
      </c>
      <c r="H111" s="25" t="e">
        <f t="shared" si="58"/>
        <v>#REF!</v>
      </c>
      <c r="I111" s="27" t="e">
        <f t="shared" si="59"/>
        <v>#REF!</v>
      </c>
      <c r="J111" s="27"/>
      <c r="K111" s="25">
        <f t="shared" si="60"/>
        <v>83</v>
      </c>
      <c r="L111" s="25" t="e">
        <f t="shared" si="61"/>
        <v>#REF!</v>
      </c>
      <c r="M111" s="27" t="e">
        <f t="shared" si="62"/>
        <v>#REF!</v>
      </c>
      <c r="N111" s="39"/>
      <c r="O111" s="36" t="str">
        <f t="shared" si="63"/>
        <v>Northern</v>
      </c>
      <c r="P111" s="26" t="e">
        <f t="shared" si="64"/>
        <v>#REF!</v>
      </c>
      <c r="Q111" s="27" t="e">
        <f t="shared" si="65"/>
        <v>#VALUE!</v>
      </c>
      <c r="R111" s="27"/>
      <c r="S111" s="26">
        <f t="shared" si="66"/>
        <v>1092</v>
      </c>
      <c r="T111" s="26" t="e">
        <f t="shared" si="67"/>
        <v>#REF!</v>
      </c>
      <c r="U111" s="27" t="e">
        <f t="shared" si="68"/>
        <v>#REF!</v>
      </c>
      <c r="V111" s="27"/>
      <c r="W111" s="26">
        <f t="shared" si="69"/>
        <v>451</v>
      </c>
      <c r="X111" s="26" t="e">
        <f t="shared" si="70"/>
        <v>#REF!</v>
      </c>
      <c r="Y111" s="27" t="e">
        <f t="shared" si="71"/>
        <v>#REF!</v>
      </c>
    </row>
    <row r="112" spans="1:25" ht="16.5" customHeight="1">
      <c r="A112" s="16" t="s">
        <v>159</v>
      </c>
      <c r="B112" s="17" t="s">
        <v>160</v>
      </c>
      <c r="C112" s="25">
        <f t="shared" si="54"/>
        <v>18802</v>
      </c>
      <c r="D112" s="25" t="e">
        <f t="shared" si="55"/>
        <v>#REF!</v>
      </c>
      <c r="E112" s="27" t="e">
        <f t="shared" si="56"/>
        <v>#REF!</v>
      </c>
      <c r="F112" s="27"/>
      <c r="G112" s="25">
        <f t="shared" si="57"/>
        <v>3972</v>
      </c>
      <c r="H112" s="25" t="e">
        <f t="shared" si="58"/>
        <v>#REF!</v>
      </c>
      <c r="I112" s="27" t="e">
        <f t="shared" si="59"/>
        <v>#REF!</v>
      </c>
      <c r="J112" s="27"/>
      <c r="K112" s="25">
        <f t="shared" si="60"/>
        <v>1385</v>
      </c>
      <c r="L112" s="25" t="e">
        <f t="shared" si="61"/>
        <v>#REF!</v>
      </c>
      <c r="M112" s="27" t="e">
        <f t="shared" si="62"/>
        <v>#REF!</v>
      </c>
      <c r="N112" s="39"/>
      <c r="O112" s="36" t="str">
        <f t="shared" si="63"/>
        <v>Eastern</v>
      </c>
      <c r="P112" s="26" t="e">
        <f t="shared" si="64"/>
        <v>#REF!</v>
      </c>
      <c r="Q112" s="27" t="e">
        <f t="shared" si="65"/>
        <v>#VALUE!</v>
      </c>
      <c r="R112" s="27"/>
      <c r="S112" s="26">
        <f t="shared" si="66"/>
        <v>21475</v>
      </c>
      <c r="T112" s="26" t="e">
        <f t="shared" si="67"/>
        <v>#REF!</v>
      </c>
      <c r="U112" s="27" t="e">
        <f t="shared" si="68"/>
        <v>#REF!</v>
      </c>
      <c r="V112" s="27"/>
      <c r="W112" s="26">
        <f t="shared" si="69"/>
        <v>3248</v>
      </c>
      <c r="X112" s="26" t="e">
        <f t="shared" si="70"/>
        <v>#REF!</v>
      </c>
      <c r="Y112" s="27" t="e">
        <f t="shared" si="71"/>
        <v>#REF!</v>
      </c>
    </row>
    <row r="113" spans="1:25" ht="16.5" customHeight="1">
      <c r="A113" s="16" t="s">
        <v>161</v>
      </c>
      <c r="B113" s="17" t="s">
        <v>162</v>
      </c>
      <c r="C113" s="25">
        <f t="shared" si="54"/>
        <v>27086</v>
      </c>
      <c r="D113" s="25" t="e">
        <f t="shared" si="55"/>
        <v>#REF!</v>
      </c>
      <c r="E113" s="27" t="e">
        <f t="shared" si="56"/>
        <v>#REF!</v>
      </c>
      <c r="F113" s="27"/>
      <c r="G113" s="25">
        <f t="shared" si="57"/>
        <v>4159</v>
      </c>
      <c r="H113" s="25" t="e">
        <f t="shared" si="58"/>
        <v>#REF!</v>
      </c>
      <c r="I113" s="27" t="e">
        <f t="shared" si="59"/>
        <v>#REF!</v>
      </c>
      <c r="J113" s="27"/>
      <c r="K113" s="25">
        <f t="shared" si="60"/>
        <v>2360</v>
      </c>
      <c r="L113" s="25" t="e">
        <f t="shared" si="61"/>
        <v>#REF!</v>
      </c>
      <c r="M113" s="27" t="e">
        <f t="shared" si="62"/>
        <v>#REF!</v>
      </c>
      <c r="N113" s="39"/>
      <c r="O113" s="36" t="str">
        <f t="shared" si="63"/>
        <v>Eastern</v>
      </c>
      <c r="P113" s="26" t="e">
        <f t="shared" si="64"/>
        <v>#REF!</v>
      </c>
      <c r="Q113" s="27" t="e">
        <f t="shared" si="65"/>
        <v>#VALUE!</v>
      </c>
      <c r="R113" s="27"/>
      <c r="S113" s="26">
        <f t="shared" si="66"/>
        <v>27882</v>
      </c>
      <c r="T113" s="26" t="e">
        <f t="shared" si="67"/>
        <v>#REF!</v>
      </c>
      <c r="U113" s="27" t="e">
        <f t="shared" si="68"/>
        <v>#REF!</v>
      </c>
      <c r="V113" s="27"/>
      <c r="W113" s="26">
        <f t="shared" si="69"/>
        <v>3532</v>
      </c>
      <c r="X113" s="26" t="e">
        <f t="shared" si="70"/>
        <v>#REF!</v>
      </c>
      <c r="Y113" s="27" t="e">
        <f t="shared" si="71"/>
        <v>#REF!</v>
      </c>
    </row>
    <row r="114" spans="1:25" ht="16.5" customHeight="1">
      <c r="A114" s="16" t="s">
        <v>167</v>
      </c>
      <c r="B114" s="32" t="s">
        <v>168</v>
      </c>
      <c r="C114" s="25">
        <f t="shared" si="54"/>
        <v>79</v>
      </c>
      <c r="D114" s="25" t="e">
        <f t="shared" si="55"/>
        <v>#REF!</v>
      </c>
      <c r="E114" s="27" t="e">
        <f t="shared" si="56"/>
        <v>#REF!</v>
      </c>
      <c r="F114" s="27"/>
      <c r="G114" s="25">
        <f t="shared" si="57"/>
        <v>102</v>
      </c>
      <c r="H114" s="25" t="e">
        <f t="shared" si="58"/>
        <v>#REF!</v>
      </c>
      <c r="I114" s="27" t="e">
        <f t="shared" si="59"/>
        <v>#REF!</v>
      </c>
      <c r="J114" s="27"/>
      <c r="K114" s="25">
        <f t="shared" si="60"/>
        <v>72</v>
      </c>
      <c r="L114" s="25" t="e">
        <f t="shared" si="61"/>
        <v>#REF!</v>
      </c>
      <c r="M114" s="27" t="e">
        <f t="shared" si="62"/>
        <v>#REF!</v>
      </c>
      <c r="N114" s="39"/>
      <c r="O114" s="36" t="str">
        <f t="shared" si="63"/>
        <v>Western</v>
      </c>
      <c r="P114" s="26" t="e">
        <f t="shared" si="64"/>
        <v>#REF!</v>
      </c>
      <c r="Q114" s="27" t="e">
        <f t="shared" si="65"/>
        <v>#VALUE!</v>
      </c>
      <c r="R114" s="27"/>
      <c r="S114" s="26">
        <f t="shared" si="66"/>
        <v>554</v>
      </c>
      <c r="T114" s="26" t="e">
        <f t="shared" si="67"/>
        <v>#REF!</v>
      </c>
      <c r="U114" s="27" t="e">
        <f t="shared" si="68"/>
        <v>#REF!</v>
      </c>
      <c r="V114" s="27"/>
      <c r="W114" s="26">
        <f t="shared" si="69"/>
        <v>418</v>
      </c>
      <c r="X114" s="26" t="e">
        <f t="shared" si="70"/>
        <v>#REF!</v>
      </c>
      <c r="Y114" s="27" t="e">
        <f t="shared" si="71"/>
        <v>#REF!</v>
      </c>
    </row>
    <row r="115" spans="1:25" ht="16.5" customHeight="1">
      <c r="A115" s="16" t="s">
        <v>177</v>
      </c>
      <c r="B115" s="32" t="s">
        <v>178</v>
      </c>
      <c r="C115" s="25">
        <f t="shared" si="54"/>
        <v>7451</v>
      </c>
      <c r="D115" s="25" t="e">
        <f t="shared" si="55"/>
        <v>#REF!</v>
      </c>
      <c r="E115" s="27" t="e">
        <f t="shared" si="56"/>
        <v>#REF!</v>
      </c>
      <c r="F115" s="27"/>
      <c r="G115" s="25">
        <f t="shared" si="57"/>
        <v>939</v>
      </c>
      <c r="H115" s="25" t="e">
        <f t="shared" si="58"/>
        <v>#REF!</v>
      </c>
      <c r="I115" s="27" t="e">
        <f t="shared" si="59"/>
        <v>#REF!</v>
      </c>
      <c r="J115" s="27"/>
      <c r="K115" s="25">
        <f t="shared" si="60"/>
        <v>635</v>
      </c>
      <c r="L115" s="25" t="e">
        <f t="shared" si="61"/>
        <v>#REF!</v>
      </c>
      <c r="M115" s="27" t="e">
        <f t="shared" si="62"/>
        <v>#REF!</v>
      </c>
      <c r="N115" s="39"/>
      <c r="O115" s="36" t="str">
        <f t="shared" si="63"/>
        <v>Central</v>
      </c>
      <c r="P115" s="26" t="e">
        <f t="shared" si="64"/>
        <v>#REF!</v>
      </c>
      <c r="Q115" s="27" t="e">
        <f t="shared" si="65"/>
        <v>#VALUE!</v>
      </c>
      <c r="R115" s="27"/>
      <c r="S115" s="26">
        <f t="shared" si="66"/>
        <v>5523</v>
      </c>
      <c r="T115" s="26" t="e">
        <f t="shared" si="67"/>
        <v>#REF!</v>
      </c>
      <c r="U115" s="27" t="e">
        <f t="shared" si="68"/>
        <v>#REF!</v>
      </c>
      <c r="V115" s="27"/>
      <c r="W115" s="26">
        <f t="shared" si="69"/>
        <v>351</v>
      </c>
      <c r="X115" s="26" t="e">
        <f t="shared" si="70"/>
        <v>#REF!</v>
      </c>
      <c r="Y115" s="27" t="e">
        <f t="shared" si="71"/>
        <v>#REF!</v>
      </c>
    </row>
    <row r="116" spans="1:25" ht="16.5" customHeight="1">
      <c r="A116" s="16" t="s">
        <v>181</v>
      </c>
      <c r="B116" s="17" t="s">
        <v>182</v>
      </c>
      <c r="C116" s="25">
        <f t="shared" si="54"/>
        <v>12901</v>
      </c>
      <c r="D116" s="25" t="e">
        <f t="shared" si="55"/>
        <v>#REF!</v>
      </c>
      <c r="E116" s="27" t="e">
        <f t="shared" si="56"/>
        <v>#REF!</v>
      </c>
      <c r="F116" s="27"/>
      <c r="G116" s="25">
        <f t="shared" si="57"/>
        <v>1836</v>
      </c>
      <c r="H116" s="25" t="e">
        <f t="shared" si="58"/>
        <v>#REF!</v>
      </c>
      <c r="I116" s="27" t="e">
        <f t="shared" si="59"/>
        <v>#REF!</v>
      </c>
      <c r="J116" s="27"/>
      <c r="K116" s="25">
        <f t="shared" si="60"/>
        <v>1063</v>
      </c>
      <c r="L116" s="25" t="e">
        <f t="shared" si="61"/>
        <v>#REF!</v>
      </c>
      <c r="M116" s="27" t="e">
        <f t="shared" si="62"/>
        <v>#REF!</v>
      </c>
      <c r="N116" s="39"/>
      <c r="O116" s="36" t="str">
        <f t="shared" si="63"/>
        <v>Eastern</v>
      </c>
      <c r="P116" s="26" t="e">
        <f t="shared" si="64"/>
        <v>#REF!</v>
      </c>
      <c r="Q116" s="27" t="e">
        <f t="shared" si="65"/>
        <v>#VALUE!</v>
      </c>
      <c r="R116" s="27"/>
      <c r="S116" s="26">
        <f t="shared" si="66"/>
        <v>13530</v>
      </c>
      <c r="T116" s="26" t="e">
        <f t="shared" si="67"/>
        <v>#REF!</v>
      </c>
      <c r="U116" s="27" t="e">
        <f t="shared" si="68"/>
        <v>#REF!</v>
      </c>
      <c r="V116" s="27"/>
      <c r="W116" s="26">
        <f t="shared" si="69"/>
        <v>1746</v>
      </c>
      <c r="X116" s="26" t="e">
        <f t="shared" si="70"/>
        <v>#REF!</v>
      </c>
      <c r="Y116" s="27" t="e">
        <f t="shared" si="71"/>
        <v>#REF!</v>
      </c>
    </row>
    <row r="117" spans="1:25" ht="16.5" customHeight="1">
      <c r="A117" s="16" t="s">
        <v>193</v>
      </c>
      <c r="B117" s="17" t="s">
        <v>194</v>
      </c>
      <c r="C117" s="25">
        <f t="shared" si="54"/>
        <v>292</v>
      </c>
      <c r="D117" s="25" t="e">
        <f t="shared" si="55"/>
        <v>#REF!</v>
      </c>
      <c r="E117" s="27" t="e">
        <f t="shared" si="56"/>
        <v>#REF!</v>
      </c>
      <c r="F117" s="27"/>
      <c r="G117" s="25">
        <f t="shared" si="57"/>
        <v>79</v>
      </c>
      <c r="H117" s="25" t="e">
        <f t="shared" si="58"/>
        <v>#REF!</v>
      </c>
      <c r="I117" s="27" t="e">
        <f t="shared" si="59"/>
        <v>#REF!</v>
      </c>
      <c r="J117" s="27"/>
      <c r="K117" s="25">
        <f t="shared" si="60"/>
        <v>74</v>
      </c>
      <c r="L117" s="25" t="e">
        <f t="shared" si="61"/>
        <v>#REF!</v>
      </c>
      <c r="M117" s="27" t="e">
        <f t="shared" si="62"/>
        <v>#REF!</v>
      </c>
      <c r="N117" s="39"/>
      <c r="O117" s="36" t="str">
        <f t="shared" si="63"/>
        <v>Western</v>
      </c>
      <c r="P117" s="26" t="e">
        <f t="shared" si="64"/>
        <v>#REF!</v>
      </c>
      <c r="Q117" s="27" t="e">
        <f t="shared" si="65"/>
        <v>#VALUE!</v>
      </c>
      <c r="R117" s="27"/>
      <c r="S117" s="26">
        <f t="shared" si="66"/>
        <v>1036</v>
      </c>
      <c r="T117" s="26" t="e">
        <f t="shared" si="67"/>
        <v>#REF!</v>
      </c>
      <c r="U117" s="27" t="e">
        <f t="shared" si="68"/>
        <v>#REF!</v>
      </c>
      <c r="V117" s="27"/>
      <c r="W117" s="26">
        <f t="shared" si="69"/>
        <v>674</v>
      </c>
      <c r="X117" s="26" t="e">
        <f t="shared" si="70"/>
        <v>#REF!</v>
      </c>
      <c r="Y117" s="27" t="e">
        <f t="shared" si="71"/>
        <v>#REF!</v>
      </c>
    </row>
    <row r="118" spans="1:25" ht="16.5" customHeight="1">
      <c r="A118" s="16" t="s">
        <v>197</v>
      </c>
      <c r="B118" s="32" t="s">
        <v>334</v>
      </c>
      <c r="C118" s="25">
        <f t="shared" si="54"/>
        <v>32555</v>
      </c>
      <c r="D118" s="25" t="e">
        <f t="shared" si="55"/>
        <v>#REF!</v>
      </c>
      <c r="E118" s="27" t="e">
        <f t="shared" si="56"/>
        <v>#REF!</v>
      </c>
      <c r="F118" s="27"/>
      <c r="G118" s="25">
        <f t="shared" si="57"/>
        <v>6121</v>
      </c>
      <c r="H118" s="25" t="e">
        <f t="shared" si="58"/>
        <v>#REF!</v>
      </c>
      <c r="I118" s="27" t="e">
        <f t="shared" si="59"/>
        <v>#REF!</v>
      </c>
      <c r="J118" s="27"/>
      <c r="K118" s="25">
        <f t="shared" si="60"/>
        <v>2672</v>
      </c>
      <c r="L118" s="25" t="e">
        <f t="shared" si="61"/>
        <v>#REF!</v>
      </c>
      <c r="M118" s="27" t="e">
        <f t="shared" si="62"/>
        <v>#REF!</v>
      </c>
      <c r="N118" s="39"/>
      <c r="O118" s="36" t="str">
        <f t="shared" si="63"/>
        <v>Central</v>
      </c>
      <c r="P118" s="26" t="e">
        <f t="shared" si="64"/>
        <v>#REF!</v>
      </c>
      <c r="Q118" s="27" t="e">
        <f t="shared" si="65"/>
        <v>#VALUE!</v>
      </c>
      <c r="R118" s="27"/>
      <c r="S118" s="26">
        <f t="shared" si="66"/>
        <v>26963</v>
      </c>
      <c r="T118" s="26" t="e">
        <f t="shared" si="67"/>
        <v>#REF!</v>
      </c>
      <c r="U118" s="27" t="e">
        <f t="shared" si="68"/>
        <v>#REF!</v>
      </c>
      <c r="V118" s="27"/>
      <c r="W118" s="26">
        <f t="shared" si="69"/>
        <v>1751</v>
      </c>
      <c r="X118" s="26" t="e">
        <f t="shared" si="70"/>
        <v>#REF!</v>
      </c>
      <c r="Y118" s="27" t="e">
        <f t="shared" si="71"/>
        <v>#REF!</v>
      </c>
    </row>
    <row r="119" spans="1:25" ht="16.5" customHeight="1">
      <c r="A119" s="16" t="s">
        <v>201</v>
      </c>
      <c r="B119" s="32" t="s">
        <v>335</v>
      </c>
      <c r="C119" s="25">
        <f t="shared" si="54"/>
        <v>7873</v>
      </c>
      <c r="D119" s="25" t="e">
        <f t="shared" si="55"/>
        <v>#REF!</v>
      </c>
      <c r="E119" s="27" t="e">
        <f t="shared" si="56"/>
        <v>#REF!</v>
      </c>
      <c r="F119" s="27"/>
      <c r="G119" s="25">
        <f t="shared" si="57"/>
        <v>2411</v>
      </c>
      <c r="H119" s="25" t="e">
        <f t="shared" si="58"/>
        <v>#REF!</v>
      </c>
      <c r="I119" s="27" t="e">
        <f t="shared" si="59"/>
        <v>#REF!</v>
      </c>
      <c r="J119" s="27"/>
      <c r="K119" s="25">
        <f t="shared" si="60"/>
        <v>1189</v>
      </c>
      <c r="L119" s="25" t="e">
        <f t="shared" si="61"/>
        <v>#REF!</v>
      </c>
      <c r="M119" s="27" t="e">
        <f t="shared" si="62"/>
        <v>#REF!</v>
      </c>
      <c r="N119" s="39"/>
      <c r="O119" s="36" t="str">
        <f t="shared" si="63"/>
        <v>Piedmont</v>
      </c>
      <c r="P119" s="26" t="e">
        <f t="shared" si="64"/>
        <v>#REF!</v>
      </c>
      <c r="Q119" s="27" t="e">
        <f t="shared" si="65"/>
        <v>#VALUE!</v>
      </c>
      <c r="R119" s="27"/>
      <c r="S119" s="26">
        <f t="shared" si="66"/>
        <v>13324</v>
      </c>
      <c r="T119" s="26" t="e">
        <f t="shared" si="67"/>
        <v>#REF!</v>
      </c>
      <c r="U119" s="27" t="e">
        <f t="shared" si="68"/>
        <v>#REF!</v>
      </c>
      <c r="V119" s="27"/>
      <c r="W119" s="26">
        <f t="shared" si="69"/>
        <v>4991</v>
      </c>
      <c r="X119" s="26" t="e">
        <f t="shared" si="70"/>
        <v>#REF!</v>
      </c>
      <c r="Y119" s="27" t="e">
        <f t="shared" si="71"/>
        <v>#REF!</v>
      </c>
    </row>
    <row r="120" spans="1:25" ht="16.5" customHeight="1">
      <c r="A120" s="16" t="s">
        <v>223</v>
      </c>
      <c r="B120" s="17" t="s">
        <v>224</v>
      </c>
      <c r="C120" s="25">
        <f t="shared" si="54"/>
        <v>6669</v>
      </c>
      <c r="D120" s="25" t="e">
        <f t="shared" si="55"/>
        <v>#REF!</v>
      </c>
      <c r="E120" s="27" t="e">
        <f t="shared" si="56"/>
        <v>#REF!</v>
      </c>
      <c r="F120" s="27"/>
      <c r="G120" s="25">
        <f t="shared" si="57"/>
        <v>1057</v>
      </c>
      <c r="H120" s="25" t="e">
        <f t="shared" si="58"/>
        <v>#REF!</v>
      </c>
      <c r="I120" s="27" t="e">
        <f t="shared" si="59"/>
        <v>#REF!</v>
      </c>
      <c r="J120" s="27"/>
      <c r="K120" s="25">
        <f t="shared" si="60"/>
        <v>775</v>
      </c>
      <c r="L120" s="25" t="e">
        <f t="shared" si="61"/>
        <v>#REF!</v>
      </c>
      <c r="M120" s="27" t="e">
        <f t="shared" si="62"/>
        <v>#REF!</v>
      </c>
      <c r="N120" s="39"/>
      <c r="O120" s="36" t="str">
        <f t="shared" si="63"/>
        <v>Eastern</v>
      </c>
      <c r="P120" s="26" t="e">
        <f t="shared" si="64"/>
        <v>#REF!</v>
      </c>
      <c r="Q120" s="27" t="e">
        <f t="shared" si="65"/>
        <v>#VALUE!</v>
      </c>
      <c r="R120" s="27"/>
      <c r="S120" s="26">
        <f t="shared" si="66"/>
        <v>7240</v>
      </c>
      <c r="T120" s="26" t="e">
        <f t="shared" si="67"/>
        <v>#REF!</v>
      </c>
      <c r="U120" s="27" t="e">
        <f t="shared" si="68"/>
        <v>#REF!</v>
      </c>
      <c r="V120" s="27"/>
      <c r="W120" s="26">
        <f t="shared" si="69"/>
        <v>1307</v>
      </c>
      <c r="X120" s="26" t="e">
        <f t="shared" si="70"/>
        <v>#REF!</v>
      </c>
      <c r="Y120" s="27" t="e">
        <f t="shared" si="71"/>
        <v>#REF!</v>
      </c>
    </row>
    <row r="121" spans="1:25" ht="16.5" customHeight="1">
      <c r="A121" s="16" t="s">
        <v>231</v>
      </c>
      <c r="B121" s="17" t="s">
        <v>232</v>
      </c>
      <c r="C121" s="25">
        <f t="shared" si="54"/>
        <v>12026</v>
      </c>
      <c r="D121" s="25" t="e">
        <f t="shared" si="55"/>
        <v>#REF!</v>
      </c>
      <c r="E121" s="27" t="e">
        <f t="shared" si="56"/>
        <v>#REF!</v>
      </c>
      <c r="F121" s="27"/>
      <c r="G121" s="25">
        <f t="shared" si="57"/>
        <v>5612</v>
      </c>
      <c r="H121" s="25" t="e">
        <f t="shared" si="58"/>
        <v>#REF!</v>
      </c>
      <c r="I121" s="27" t="e">
        <f t="shared" si="59"/>
        <v>#REF!</v>
      </c>
      <c r="J121" s="27"/>
      <c r="K121" s="25">
        <f t="shared" si="60"/>
        <v>1915</v>
      </c>
      <c r="L121" s="25" t="e">
        <f t="shared" si="61"/>
        <v>#REF!</v>
      </c>
      <c r="M121" s="27" t="e">
        <f t="shared" si="62"/>
        <v>#REF!</v>
      </c>
      <c r="N121" s="39"/>
      <c r="O121" s="36" t="str">
        <f t="shared" si="63"/>
        <v>Eastern</v>
      </c>
      <c r="P121" s="26" t="e">
        <f t="shared" si="64"/>
        <v>#REF!</v>
      </c>
      <c r="Q121" s="27" t="e">
        <f t="shared" si="65"/>
        <v>#VALUE!</v>
      </c>
      <c r="R121" s="27"/>
      <c r="S121" s="26">
        <f t="shared" si="66"/>
        <v>22670</v>
      </c>
      <c r="T121" s="26" t="e">
        <f t="shared" si="67"/>
        <v>#REF!</v>
      </c>
      <c r="U121" s="27" t="e">
        <f t="shared" si="68"/>
        <v>#REF!</v>
      </c>
      <c r="V121" s="27"/>
      <c r="W121" s="26">
        <f t="shared" si="69"/>
        <v>6528</v>
      </c>
      <c r="X121" s="26" t="e">
        <f t="shared" si="70"/>
        <v>#REF!</v>
      </c>
      <c r="Y121" s="27" t="e">
        <f t="shared" si="71"/>
        <v>#REF!</v>
      </c>
    </row>
    <row r="122" spans="1:25" ht="16.5" customHeight="1">
      <c r="A122" s="16" t="s">
        <v>239</v>
      </c>
      <c r="B122" s="17" t="s">
        <v>240</v>
      </c>
      <c r="C122" s="25">
        <f t="shared" si="54"/>
        <v>517</v>
      </c>
      <c r="D122" s="25" t="e">
        <f t="shared" si="55"/>
        <v>#REF!</v>
      </c>
      <c r="E122" s="27" t="e">
        <f t="shared" si="56"/>
        <v>#REF!</v>
      </c>
      <c r="F122" s="27"/>
      <c r="G122" s="25">
        <f t="shared" si="57"/>
        <v>143</v>
      </c>
      <c r="H122" s="25" t="e">
        <f t="shared" si="58"/>
        <v>#REF!</v>
      </c>
      <c r="I122" s="27" t="e">
        <f t="shared" si="59"/>
        <v>#REF!</v>
      </c>
      <c r="J122" s="27"/>
      <c r="K122" s="25">
        <f t="shared" si="60"/>
        <v>52</v>
      </c>
      <c r="L122" s="25" t="e">
        <f t="shared" si="61"/>
        <v>#REF!</v>
      </c>
      <c r="M122" s="27" t="e">
        <f t="shared" si="62"/>
        <v>#REF!</v>
      </c>
      <c r="N122" s="39"/>
      <c r="O122" s="36" t="str">
        <f t="shared" si="63"/>
        <v>Eastern</v>
      </c>
      <c r="P122" s="26" t="e">
        <f t="shared" si="64"/>
        <v>#REF!</v>
      </c>
      <c r="Q122" s="27" t="e">
        <f t="shared" si="65"/>
        <v>#VALUE!</v>
      </c>
      <c r="R122" s="27"/>
      <c r="S122" s="26">
        <f t="shared" si="66"/>
        <v>803</v>
      </c>
      <c r="T122" s="26" t="e">
        <f t="shared" si="67"/>
        <v>#REF!</v>
      </c>
      <c r="U122" s="27" t="e">
        <f t="shared" si="68"/>
        <v>#REF!</v>
      </c>
      <c r="V122" s="27"/>
      <c r="W122" s="26">
        <f t="shared" si="69"/>
        <v>265</v>
      </c>
      <c r="X122" s="26" t="e">
        <f t="shared" si="70"/>
        <v>#REF!</v>
      </c>
      <c r="Y122" s="27" t="e">
        <f t="shared" si="71"/>
        <v>#REF!</v>
      </c>
    </row>
    <row r="123" spans="1:25" ht="16.5" customHeight="1">
      <c r="A123" s="16" t="s">
        <v>241</v>
      </c>
      <c r="B123" s="32" t="s">
        <v>242</v>
      </c>
      <c r="C123" s="25">
        <f t="shared" si="54"/>
        <v>725</v>
      </c>
      <c r="D123" s="25" t="e">
        <f t="shared" si="55"/>
        <v>#REF!</v>
      </c>
      <c r="E123" s="27" t="e">
        <f t="shared" si="56"/>
        <v>#REF!</v>
      </c>
      <c r="F123" s="27"/>
      <c r="G123" s="25">
        <f t="shared" si="57"/>
        <v>807</v>
      </c>
      <c r="H123" s="25" t="e">
        <f t="shared" si="58"/>
        <v>#REF!</v>
      </c>
      <c r="I123" s="27" t="e">
        <f t="shared" si="59"/>
        <v>#REF!</v>
      </c>
      <c r="J123" s="27"/>
      <c r="K123" s="25">
        <f t="shared" si="60"/>
        <v>239</v>
      </c>
      <c r="L123" s="25" t="e">
        <f t="shared" si="61"/>
        <v>#REF!</v>
      </c>
      <c r="M123" s="27" t="e">
        <f t="shared" si="62"/>
        <v>#REF!</v>
      </c>
      <c r="N123" s="39"/>
      <c r="O123" s="36" t="str">
        <f t="shared" si="63"/>
        <v>Northern</v>
      </c>
      <c r="P123" s="26" t="e">
        <f t="shared" si="64"/>
        <v>#REF!</v>
      </c>
      <c r="Q123" s="27" t="e">
        <f t="shared" si="65"/>
        <v>#VALUE!</v>
      </c>
      <c r="R123" s="27"/>
      <c r="S123" s="26">
        <f t="shared" si="66"/>
        <v>3139</v>
      </c>
      <c r="T123" s="26" t="e">
        <f t="shared" si="67"/>
        <v>#REF!</v>
      </c>
      <c r="U123" s="27" t="e">
        <f t="shared" si="68"/>
        <v>#REF!</v>
      </c>
      <c r="V123" s="27"/>
      <c r="W123" s="26">
        <f t="shared" si="69"/>
        <v>1907</v>
      </c>
      <c r="X123" s="26" t="e">
        <f t="shared" si="70"/>
        <v>#REF!</v>
      </c>
      <c r="Y123" s="27" t="e">
        <f t="shared" si="71"/>
        <v>#REF!</v>
      </c>
    </row>
    <row r="124" spans="1:25">
      <c r="C124" s="28">
        <f>SUM(C4:C123)</f>
        <v>292134</v>
      </c>
      <c r="D124" s="28"/>
      <c r="E124" s="28"/>
      <c r="F124" s="28"/>
      <c r="G124" s="28"/>
      <c r="H124" s="28"/>
      <c r="I124" s="28"/>
      <c r="J124" s="28"/>
      <c r="K124" s="28"/>
      <c r="L124" s="28"/>
    </row>
    <row r="125" spans="1:25">
      <c r="C125" s="28">
        <f>+C124/12</f>
        <v>24344.5</v>
      </c>
      <c r="D125" s="28"/>
      <c r="E125" s="28"/>
      <c r="F125" s="28"/>
      <c r="G125" s="28"/>
      <c r="H125" s="28"/>
      <c r="I125" s="28"/>
      <c r="J125" s="28"/>
      <c r="K125" s="28"/>
      <c r="L125" s="28"/>
    </row>
    <row r="126" spans="1:25" ht="12.75" customHeight="1">
      <c r="A126" s="1680" t="s">
        <v>747</v>
      </c>
      <c r="B126" s="1680"/>
      <c r="C126" s="1681"/>
      <c r="D126" s="19"/>
      <c r="E126" s="19"/>
      <c r="F126" s="19"/>
      <c r="G126" s="19"/>
      <c r="H126" s="19"/>
      <c r="I126" s="19"/>
      <c r="J126" s="19"/>
      <c r="K126" s="19"/>
      <c r="L126" s="19"/>
    </row>
    <row r="127" spans="1:25">
      <c r="A127" s="18" t="s">
        <v>748</v>
      </c>
    </row>
  </sheetData>
  <mergeCells count="9">
    <mergeCell ref="C1:M1"/>
    <mergeCell ref="W2:Y2"/>
    <mergeCell ref="O1:Y1"/>
    <mergeCell ref="A126:C126"/>
    <mergeCell ref="C2:E2"/>
    <mergeCell ref="G2:I2"/>
    <mergeCell ref="K2:M2"/>
    <mergeCell ref="O2:Q2"/>
    <mergeCell ref="S2:U2"/>
  </mergeCells>
  <conditionalFormatting sqref="Q4:R123 E4:F123">
    <cfRule type="cellIs" dxfId="3" priority="20" stopIfTrue="1" operator="greaterThan">
      <formula>"&gt;1"</formula>
    </cfRule>
  </conditionalFormatting>
  <conditionalFormatting sqref="Y4:Y123 M4:N123 U4:V123 Q4:R123 I4:J123 E4:F123">
    <cfRule type="cellIs" dxfId="2" priority="19" stopIfTrue="1" operator="greaterThan">
      <formula>1</formula>
    </cfRule>
  </conditionalFormatting>
  <pageMargins left="0.75" right="0.75" top="1" bottom="1" header="0.5" footer="0.5"/>
  <pageSetup orientation="portrait" r:id="rId1"/>
</worksheet>
</file>

<file path=xl/worksheets/sheet24.xml><?xml version="1.0" encoding="utf-8"?>
<worksheet xmlns="http://schemas.openxmlformats.org/spreadsheetml/2006/main" xmlns:r="http://schemas.openxmlformats.org/officeDocument/2006/relationships">
  <dimension ref="A1:Y127"/>
  <sheetViews>
    <sheetView zoomScaleNormal="106" zoomScaleSheetLayoutView="116" workbookViewId="0">
      <pane xSplit="2" ySplit="3" topLeftCell="C4" activePane="bottomRight" state="frozen"/>
      <selection pane="topRight" activeCell="C1" sqref="C1"/>
      <selection pane="bottomLeft" activeCell="A4" sqref="A4"/>
      <selection pane="bottomRight" activeCell="E7" sqref="E7"/>
    </sheetView>
  </sheetViews>
  <sheetFormatPr defaultRowHeight="12.75"/>
  <cols>
    <col min="1" max="1" width="12.25" style="18" customWidth="1"/>
    <col min="2" max="2" width="21.5" style="18" customWidth="1"/>
    <col min="3" max="3" width="10.5" style="18" customWidth="1"/>
    <col min="4" max="4" width="10.625" style="18" customWidth="1"/>
    <col min="5" max="5" width="9.75" style="18" customWidth="1"/>
    <col min="6" max="6" width="2.625" style="18" customWidth="1"/>
    <col min="7" max="7" width="10.25" style="18" customWidth="1"/>
    <col min="8" max="8" width="10.125" style="18" customWidth="1"/>
    <col min="9" max="9" width="10.875" style="18" customWidth="1"/>
    <col min="10" max="10" width="2.625" style="18" customWidth="1"/>
    <col min="11" max="11" width="11.625" style="18" customWidth="1"/>
    <col min="12" max="12" width="11.375" style="18" customWidth="1"/>
    <col min="13" max="13" width="10.25" style="18" customWidth="1"/>
    <col min="14" max="14" width="2.625" style="18" customWidth="1"/>
    <col min="15" max="15" width="10.125" style="18" customWidth="1"/>
    <col min="16" max="17" width="10" style="18" customWidth="1"/>
    <col min="18" max="18" width="2.625" style="18" customWidth="1"/>
    <col min="19" max="19" width="10.625" style="18" customWidth="1"/>
    <col min="20" max="20" width="10.5" style="18" customWidth="1"/>
    <col min="21" max="21" width="10.125" style="18" customWidth="1"/>
    <col min="22" max="22" width="2.625" style="18" customWidth="1"/>
    <col min="23" max="23" width="10.125" style="18" customWidth="1"/>
    <col min="24" max="24" width="11.5" style="18" customWidth="1"/>
    <col min="25" max="25" width="11" style="18" customWidth="1"/>
    <col min="26" max="16384" width="9" style="18"/>
  </cols>
  <sheetData>
    <row r="1" spans="1:25" ht="15.75">
      <c r="C1" s="1682" t="s">
        <v>754</v>
      </c>
      <c r="D1" s="1682"/>
      <c r="E1" s="1682"/>
      <c r="F1" s="1682"/>
      <c r="G1" s="1682"/>
      <c r="H1" s="1682"/>
      <c r="I1" s="1682"/>
      <c r="J1" s="1682"/>
      <c r="K1" s="1682"/>
      <c r="L1" s="1682"/>
      <c r="M1" s="1682"/>
      <c r="O1" s="1682" t="s">
        <v>755</v>
      </c>
      <c r="P1" s="1682"/>
      <c r="Q1" s="1682"/>
      <c r="R1" s="1682"/>
      <c r="S1" s="1682"/>
      <c r="T1" s="1682"/>
      <c r="U1" s="1682"/>
      <c r="V1" s="1682"/>
      <c r="W1" s="1682"/>
      <c r="X1" s="1682"/>
      <c r="Y1" s="1682"/>
    </row>
    <row r="2" spans="1:25">
      <c r="C2" s="1678" t="s">
        <v>2</v>
      </c>
      <c r="D2" s="1678"/>
      <c r="E2" s="1678"/>
      <c r="G2" s="1678" t="s">
        <v>608</v>
      </c>
      <c r="H2" s="1678"/>
      <c r="I2" s="1678"/>
      <c r="K2" s="1678" t="s">
        <v>611</v>
      </c>
      <c r="L2" s="1678"/>
      <c r="M2" s="1678"/>
      <c r="N2" s="46"/>
      <c r="O2" s="1678" t="s">
        <v>2</v>
      </c>
      <c r="P2" s="1678"/>
      <c r="Q2" s="1678"/>
      <c r="S2" s="1678" t="s">
        <v>608</v>
      </c>
      <c r="T2" s="1678"/>
      <c r="U2" s="1678"/>
      <c r="W2" s="1678" t="s">
        <v>611</v>
      </c>
      <c r="X2" s="1678"/>
      <c r="Y2" s="1678"/>
    </row>
    <row r="3" spans="1:25" s="21" customFormat="1" ht="71.25" customHeight="1">
      <c r="A3" s="20" t="s">
        <v>315</v>
      </c>
      <c r="B3" s="20" t="s">
        <v>316</v>
      </c>
      <c r="C3" s="23" t="s">
        <v>756</v>
      </c>
      <c r="D3" s="23" t="s">
        <v>757</v>
      </c>
      <c r="E3" s="34" t="s">
        <v>758</v>
      </c>
      <c r="F3" s="38"/>
      <c r="G3" s="23" t="s">
        <v>756</v>
      </c>
      <c r="H3" s="23" t="s">
        <v>757</v>
      </c>
      <c r="I3" s="34" t="s">
        <v>758</v>
      </c>
      <c r="J3" s="38"/>
      <c r="K3" s="23" t="s">
        <v>756</v>
      </c>
      <c r="L3" s="23" t="s">
        <v>757</v>
      </c>
      <c r="M3" s="34" t="s">
        <v>758</v>
      </c>
      <c r="N3" s="38"/>
      <c r="O3" s="23" t="s">
        <v>756</v>
      </c>
      <c r="P3" s="23" t="s">
        <v>757</v>
      </c>
      <c r="Q3" s="34" t="s">
        <v>758</v>
      </c>
      <c r="R3" s="38"/>
      <c r="S3" s="23" t="s">
        <v>756</v>
      </c>
      <c r="T3" s="23" t="s">
        <v>757</v>
      </c>
      <c r="U3" s="34" t="s">
        <v>758</v>
      </c>
      <c r="V3" s="38"/>
      <c r="W3" s="23" t="s">
        <v>756</v>
      </c>
      <c r="X3" s="23" t="s">
        <v>757</v>
      </c>
      <c r="Y3" s="34" t="s">
        <v>758</v>
      </c>
    </row>
    <row r="4" spans="1:25" ht="16.5" customHeight="1">
      <c r="A4" s="16" t="s">
        <v>10</v>
      </c>
      <c r="B4" s="16" t="s">
        <v>11</v>
      </c>
      <c r="C4" s="25">
        <f t="shared" ref="C4:C35" si="0">VLOOKUP(A4,TANF_Demo,7,FALSE)</f>
        <v>26</v>
      </c>
      <c r="D4" s="25" t="e">
        <f t="shared" ref="D4:D35" si="1">VLOOKUP(A4,Pop,14,FALSE)</f>
        <v>#REF!</v>
      </c>
      <c r="E4" s="27" t="e">
        <f t="shared" ref="E4:E35" si="2">+C4/D4</f>
        <v>#REF!</v>
      </c>
      <c r="F4" s="42"/>
      <c r="G4" s="25">
        <f t="shared" ref="G4:G35" si="3">VLOOKUP(A4,TANF_Demo,8,FALSE)</f>
        <v>410</v>
      </c>
      <c r="H4" s="25" t="e">
        <f t="shared" ref="H4:H35" si="4">VLOOKUP(A4,Pop,15,FALSE)</f>
        <v>#REF!</v>
      </c>
      <c r="I4" s="27" t="e">
        <f t="shared" ref="I4:I35" si="5">+G4/H4</f>
        <v>#REF!</v>
      </c>
      <c r="J4" s="42"/>
      <c r="K4" s="25">
        <f t="shared" ref="K4:K35" si="6">VLOOKUP(A4,TANF_Demo,9,FALSE)</f>
        <v>173</v>
      </c>
      <c r="L4" s="25" t="e">
        <f t="shared" ref="L4:L35" si="7">VLOOKUP(A4,Pop,16,FALSE)</f>
        <v>#REF!</v>
      </c>
      <c r="M4" s="27" t="e">
        <f t="shared" ref="M4:M35" si="8">+K4/L4</f>
        <v>#REF!</v>
      </c>
      <c r="N4" s="27"/>
      <c r="O4" s="26" t="str">
        <f t="shared" ref="O4:O35" si="9">VLOOKUP(A4,TANF_Demo,3,FALSE)</f>
        <v>Eastern</v>
      </c>
      <c r="P4" s="26" t="e">
        <f t="shared" ref="P4:P35" si="10">VLOOKUP(A4,Pop,8,FALSE)</f>
        <v>#REF!</v>
      </c>
      <c r="Q4" s="27" t="e">
        <f t="shared" ref="Q4:Q35" si="11">+O4/P4</f>
        <v>#VALUE!</v>
      </c>
      <c r="R4" s="27"/>
      <c r="S4" s="26">
        <f t="shared" ref="S4:S35" si="12">VLOOKUP(A4,TANF_Demo,4,FALSE)</f>
        <v>717</v>
      </c>
      <c r="T4" s="26" t="e">
        <f t="shared" ref="T4:T35" si="13">VLOOKUP(A4,Pop,9,FALSE)</f>
        <v>#REF!</v>
      </c>
      <c r="U4" s="27" t="e">
        <f t="shared" ref="U4:U35" si="14">+S4/T4</f>
        <v>#REF!</v>
      </c>
      <c r="V4" s="27"/>
      <c r="W4" s="26">
        <f t="shared" ref="W4:W35" si="15">VLOOKUP(A4,TANF_Demo,5,FALSE)</f>
        <v>274</v>
      </c>
      <c r="X4" s="26" t="e">
        <f t="shared" ref="X4:X35" si="16">VLOOKUP(A4,Pop,10,FALSE)</f>
        <v>#REF!</v>
      </c>
      <c r="Y4" s="27" t="e">
        <f t="shared" ref="Y4:Y35" si="17">+W4/X4</f>
        <v>#REF!</v>
      </c>
    </row>
    <row r="5" spans="1:25" ht="16.5" customHeight="1">
      <c r="A5" s="16" t="s">
        <v>12</v>
      </c>
      <c r="B5" s="16" t="s">
        <v>13</v>
      </c>
      <c r="C5" s="25">
        <f t="shared" si="0"/>
        <v>106</v>
      </c>
      <c r="D5" s="25" t="e">
        <f t="shared" si="1"/>
        <v>#REF!</v>
      </c>
      <c r="E5" s="27" t="e">
        <f t="shared" si="2"/>
        <v>#REF!</v>
      </c>
      <c r="F5" s="25"/>
      <c r="G5" s="25">
        <f t="shared" si="3"/>
        <v>283</v>
      </c>
      <c r="H5" s="25" t="e">
        <f t="shared" si="4"/>
        <v>#REF!</v>
      </c>
      <c r="I5" s="27" t="e">
        <f t="shared" si="5"/>
        <v>#REF!</v>
      </c>
      <c r="J5" s="25"/>
      <c r="K5" s="25">
        <f t="shared" si="6"/>
        <v>137</v>
      </c>
      <c r="L5" s="25" t="e">
        <f t="shared" si="7"/>
        <v>#REF!</v>
      </c>
      <c r="M5" s="27" t="e">
        <f t="shared" si="8"/>
        <v>#REF!</v>
      </c>
      <c r="N5" s="27"/>
      <c r="O5" s="26" t="str">
        <f t="shared" si="9"/>
        <v>Piedmont</v>
      </c>
      <c r="P5" s="26" t="e">
        <f t="shared" si="10"/>
        <v>#REF!</v>
      </c>
      <c r="Q5" s="27" t="e">
        <f t="shared" si="11"/>
        <v>#VALUE!</v>
      </c>
      <c r="R5" s="27"/>
      <c r="S5" s="26">
        <f t="shared" si="12"/>
        <v>463</v>
      </c>
      <c r="T5" s="26" t="e">
        <f t="shared" si="13"/>
        <v>#REF!</v>
      </c>
      <c r="U5" s="27" t="e">
        <f t="shared" si="14"/>
        <v>#REF!</v>
      </c>
      <c r="V5" s="27"/>
      <c r="W5" s="26">
        <f t="shared" si="15"/>
        <v>192</v>
      </c>
      <c r="X5" s="26" t="e">
        <f t="shared" si="16"/>
        <v>#REF!</v>
      </c>
      <c r="Y5" s="27" t="e">
        <f t="shared" si="17"/>
        <v>#REF!</v>
      </c>
    </row>
    <row r="6" spans="1:25" ht="16.5" customHeight="1">
      <c r="A6" s="16" t="s">
        <v>16</v>
      </c>
      <c r="B6" s="16" t="s">
        <v>307</v>
      </c>
      <c r="C6" s="25">
        <f t="shared" si="0"/>
        <v>79</v>
      </c>
      <c r="D6" s="25" t="e">
        <f t="shared" si="1"/>
        <v>#REF!</v>
      </c>
      <c r="E6" s="27" t="e">
        <f t="shared" si="2"/>
        <v>#REF!</v>
      </c>
      <c r="F6" s="25"/>
      <c r="G6" s="25">
        <f t="shared" si="3"/>
        <v>212</v>
      </c>
      <c r="H6" s="25" t="e">
        <f t="shared" si="4"/>
        <v>#REF!</v>
      </c>
      <c r="I6" s="27" t="e">
        <f t="shared" si="5"/>
        <v>#REF!</v>
      </c>
      <c r="J6" s="25"/>
      <c r="K6" s="25">
        <f t="shared" si="6"/>
        <v>180</v>
      </c>
      <c r="L6" s="25" t="e">
        <f t="shared" si="7"/>
        <v>#REF!</v>
      </c>
      <c r="M6" s="27" t="e">
        <f t="shared" si="8"/>
        <v>#REF!</v>
      </c>
      <c r="N6" s="27"/>
      <c r="O6" s="26" t="str">
        <f t="shared" si="9"/>
        <v>Piedmont</v>
      </c>
      <c r="P6" s="26" t="e">
        <f t="shared" si="10"/>
        <v>#REF!</v>
      </c>
      <c r="Q6" s="27" t="e">
        <f t="shared" si="11"/>
        <v>#VALUE!</v>
      </c>
      <c r="R6" s="27"/>
      <c r="S6" s="26">
        <f t="shared" si="12"/>
        <v>316</v>
      </c>
      <c r="T6" s="26" t="e">
        <f t="shared" si="13"/>
        <v>#REF!</v>
      </c>
      <c r="U6" s="27" t="e">
        <f t="shared" si="14"/>
        <v>#REF!</v>
      </c>
      <c r="V6" s="27"/>
      <c r="W6" s="26">
        <f t="shared" si="15"/>
        <v>202</v>
      </c>
      <c r="X6" s="26" t="e">
        <f t="shared" si="16"/>
        <v>#REF!</v>
      </c>
      <c r="Y6" s="27" t="e">
        <f t="shared" si="17"/>
        <v>#REF!</v>
      </c>
    </row>
    <row r="7" spans="1:25" ht="16.5" customHeight="1">
      <c r="A7" s="49" t="s">
        <v>18</v>
      </c>
      <c r="B7" s="48" t="s">
        <v>19</v>
      </c>
      <c r="C7" s="25">
        <f t="shared" si="0"/>
        <v>16</v>
      </c>
      <c r="D7" s="25" t="e">
        <f t="shared" si="1"/>
        <v>#REF!</v>
      </c>
      <c r="E7" s="27" t="e">
        <f t="shared" si="2"/>
        <v>#REF!</v>
      </c>
      <c r="F7" s="25"/>
      <c r="G7" s="25">
        <f t="shared" si="3"/>
        <v>168</v>
      </c>
      <c r="H7" s="25" t="e">
        <f t="shared" si="4"/>
        <v>#REF!</v>
      </c>
      <c r="I7" s="27" t="e">
        <f t="shared" si="5"/>
        <v>#REF!</v>
      </c>
      <c r="J7" s="25"/>
      <c r="K7" s="25">
        <f t="shared" si="6"/>
        <v>105</v>
      </c>
      <c r="L7" s="25" t="e">
        <f t="shared" si="7"/>
        <v>#REF!</v>
      </c>
      <c r="M7" s="27" t="e">
        <f t="shared" si="8"/>
        <v>#REF!</v>
      </c>
      <c r="N7" s="27"/>
      <c r="O7" s="26" t="str">
        <f t="shared" si="9"/>
        <v>Central</v>
      </c>
      <c r="P7" s="26" t="e">
        <f t="shared" si="10"/>
        <v>#REF!</v>
      </c>
      <c r="Q7" s="27" t="e">
        <f t="shared" si="11"/>
        <v>#VALUE!</v>
      </c>
      <c r="R7" s="27"/>
      <c r="S7" s="26">
        <f t="shared" si="12"/>
        <v>237</v>
      </c>
      <c r="T7" s="26" t="e">
        <f t="shared" si="13"/>
        <v>#REF!</v>
      </c>
      <c r="U7" s="27" t="e">
        <f t="shared" si="14"/>
        <v>#REF!</v>
      </c>
      <c r="V7" s="27"/>
      <c r="W7" s="26">
        <f t="shared" si="15"/>
        <v>143</v>
      </c>
      <c r="X7" s="26" t="e">
        <f t="shared" si="16"/>
        <v>#REF!</v>
      </c>
      <c r="Y7" s="27" t="e">
        <f t="shared" si="17"/>
        <v>#REF!</v>
      </c>
    </row>
    <row r="8" spans="1:25" ht="16.5" customHeight="1">
      <c r="A8" s="16" t="s">
        <v>20</v>
      </c>
      <c r="B8" s="16" t="s">
        <v>21</v>
      </c>
      <c r="C8" s="25">
        <f t="shared" si="0"/>
        <v>49</v>
      </c>
      <c r="D8" s="25" t="e">
        <f t="shared" si="1"/>
        <v>#REF!</v>
      </c>
      <c r="E8" s="27" t="e">
        <f t="shared" si="2"/>
        <v>#REF!</v>
      </c>
      <c r="F8" s="25"/>
      <c r="G8" s="25">
        <f t="shared" si="3"/>
        <v>190</v>
      </c>
      <c r="H8" s="25" t="e">
        <f t="shared" si="4"/>
        <v>#REF!</v>
      </c>
      <c r="I8" s="27" t="e">
        <f t="shared" si="5"/>
        <v>#REF!</v>
      </c>
      <c r="J8" s="25"/>
      <c r="K8" s="25">
        <f t="shared" si="6"/>
        <v>122</v>
      </c>
      <c r="L8" s="25" t="e">
        <f t="shared" si="7"/>
        <v>#REF!</v>
      </c>
      <c r="M8" s="27" t="e">
        <f t="shared" si="8"/>
        <v>#REF!</v>
      </c>
      <c r="N8" s="27"/>
      <c r="O8" s="26" t="str">
        <f t="shared" si="9"/>
        <v>Piedmont</v>
      </c>
      <c r="P8" s="26" t="e">
        <f t="shared" si="10"/>
        <v>#REF!</v>
      </c>
      <c r="Q8" s="27" t="e">
        <f t="shared" si="11"/>
        <v>#VALUE!</v>
      </c>
      <c r="R8" s="27"/>
      <c r="S8" s="26">
        <f t="shared" si="12"/>
        <v>348</v>
      </c>
      <c r="T8" s="26" t="e">
        <f t="shared" si="13"/>
        <v>#REF!</v>
      </c>
      <c r="U8" s="27" t="e">
        <f t="shared" si="14"/>
        <v>#REF!</v>
      </c>
      <c r="V8" s="27"/>
      <c r="W8" s="26">
        <f t="shared" si="15"/>
        <v>175</v>
      </c>
      <c r="X8" s="26" t="e">
        <f t="shared" si="16"/>
        <v>#REF!</v>
      </c>
      <c r="Y8" s="27" t="e">
        <f t="shared" si="17"/>
        <v>#REF!</v>
      </c>
    </row>
    <row r="9" spans="1:25" ht="16.5" customHeight="1">
      <c r="A9" s="16" t="s">
        <v>22</v>
      </c>
      <c r="B9" s="16" t="s">
        <v>23</v>
      </c>
      <c r="C9" s="25">
        <f t="shared" si="0"/>
        <v>12</v>
      </c>
      <c r="D9" s="25" t="e">
        <f t="shared" si="1"/>
        <v>#REF!</v>
      </c>
      <c r="E9" s="27" t="e">
        <f t="shared" si="2"/>
        <v>#REF!</v>
      </c>
      <c r="F9" s="25"/>
      <c r="G9" s="25">
        <f t="shared" si="3"/>
        <v>179</v>
      </c>
      <c r="H9" s="25" t="e">
        <f t="shared" si="4"/>
        <v>#REF!</v>
      </c>
      <c r="I9" s="27" t="e">
        <f t="shared" si="5"/>
        <v>#REF!</v>
      </c>
      <c r="J9" s="25"/>
      <c r="K9" s="25">
        <f t="shared" si="6"/>
        <v>107</v>
      </c>
      <c r="L9" s="25" t="e">
        <f t="shared" si="7"/>
        <v>#REF!</v>
      </c>
      <c r="M9" s="27" t="e">
        <f t="shared" si="8"/>
        <v>#REF!</v>
      </c>
      <c r="N9" s="27"/>
      <c r="O9" s="26" t="str">
        <f t="shared" si="9"/>
        <v>Piedmont</v>
      </c>
      <c r="P9" s="26" t="e">
        <f t="shared" si="10"/>
        <v>#REF!</v>
      </c>
      <c r="Q9" s="27" t="e">
        <f t="shared" si="11"/>
        <v>#VALUE!</v>
      </c>
      <c r="R9" s="27"/>
      <c r="S9" s="26">
        <f t="shared" si="12"/>
        <v>297</v>
      </c>
      <c r="T9" s="26" t="e">
        <f t="shared" si="13"/>
        <v>#REF!</v>
      </c>
      <c r="U9" s="27" t="e">
        <f t="shared" si="14"/>
        <v>#REF!</v>
      </c>
      <c r="V9" s="27"/>
      <c r="W9" s="26">
        <f t="shared" si="15"/>
        <v>134</v>
      </c>
      <c r="X9" s="26" t="e">
        <f t="shared" si="16"/>
        <v>#REF!</v>
      </c>
      <c r="Y9" s="27" t="e">
        <f t="shared" si="17"/>
        <v>#REF!</v>
      </c>
    </row>
    <row r="10" spans="1:25" ht="16.5" customHeight="1">
      <c r="A10" s="16" t="s">
        <v>24</v>
      </c>
      <c r="B10" s="16" t="s">
        <v>25</v>
      </c>
      <c r="C10" s="25">
        <f t="shared" si="0"/>
        <v>210</v>
      </c>
      <c r="D10" s="25" t="e">
        <f t="shared" si="1"/>
        <v>#REF!</v>
      </c>
      <c r="E10" s="27" t="e">
        <f t="shared" si="2"/>
        <v>#REF!</v>
      </c>
      <c r="F10" s="25"/>
      <c r="G10" s="25">
        <f t="shared" si="3"/>
        <v>625</v>
      </c>
      <c r="H10" s="25" t="e">
        <f t="shared" si="4"/>
        <v>#REF!</v>
      </c>
      <c r="I10" s="27" t="e">
        <f t="shared" si="5"/>
        <v>#REF!</v>
      </c>
      <c r="J10" s="25"/>
      <c r="K10" s="25">
        <f t="shared" si="6"/>
        <v>249</v>
      </c>
      <c r="L10" s="25" t="e">
        <f t="shared" si="7"/>
        <v>#REF!</v>
      </c>
      <c r="M10" s="27" t="e">
        <f t="shared" si="8"/>
        <v>#REF!</v>
      </c>
      <c r="N10" s="27"/>
      <c r="O10" s="26" t="str">
        <f t="shared" si="9"/>
        <v>Northern</v>
      </c>
      <c r="P10" s="26" t="e">
        <f t="shared" si="10"/>
        <v>#REF!</v>
      </c>
      <c r="Q10" s="27" t="e">
        <f t="shared" si="11"/>
        <v>#VALUE!</v>
      </c>
      <c r="R10" s="27"/>
      <c r="S10" s="26">
        <f t="shared" si="12"/>
        <v>883</v>
      </c>
      <c r="T10" s="26" t="e">
        <f t="shared" si="13"/>
        <v>#REF!</v>
      </c>
      <c r="U10" s="27" t="e">
        <f t="shared" si="14"/>
        <v>#REF!</v>
      </c>
      <c r="V10" s="27"/>
      <c r="W10" s="26">
        <f t="shared" si="15"/>
        <v>315</v>
      </c>
      <c r="X10" s="26" t="e">
        <f t="shared" si="16"/>
        <v>#REF!</v>
      </c>
      <c r="Y10" s="27" t="e">
        <f t="shared" si="17"/>
        <v>#REF!</v>
      </c>
    </row>
    <row r="11" spans="1:25" ht="16.5" customHeight="1">
      <c r="A11" s="16" t="s">
        <v>26</v>
      </c>
      <c r="B11" s="16" t="s">
        <v>308</v>
      </c>
      <c r="C11" s="25">
        <f t="shared" si="0"/>
        <v>172</v>
      </c>
      <c r="D11" s="25" t="e">
        <f t="shared" si="1"/>
        <v>#REF!</v>
      </c>
      <c r="E11" s="27" t="e">
        <f t="shared" si="2"/>
        <v>#REF!</v>
      </c>
      <c r="F11" s="25"/>
      <c r="G11" s="25">
        <f t="shared" si="3"/>
        <v>1170</v>
      </c>
      <c r="H11" s="25" t="e">
        <f t="shared" si="4"/>
        <v>#REF!</v>
      </c>
      <c r="I11" s="27" t="e">
        <f t="shared" si="5"/>
        <v>#REF!</v>
      </c>
      <c r="J11" s="25"/>
      <c r="K11" s="25">
        <f t="shared" si="6"/>
        <v>866</v>
      </c>
      <c r="L11" s="25" t="e">
        <f t="shared" si="7"/>
        <v>#REF!</v>
      </c>
      <c r="M11" s="27" t="e">
        <f t="shared" si="8"/>
        <v>#REF!</v>
      </c>
      <c r="N11" s="27"/>
      <c r="O11" s="26" t="str">
        <f t="shared" si="9"/>
        <v>Piedmont</v>
      </c>
      <c r="P11" s="26" t="e">
        <f t="shared" si="10"/>
        <v>#REF!</v>
      </c>
      <c r="Q11" s="27" t="e">
        <f t="shared" si="11"/>
        <v>#VALUE!</v>
      </c>
      <c r="R11" s="27"/>
      <c r="S11" s="26">
        <f t="shared" si="12"/>
        <v>1954</v>
      </c>
      <c r="T11" s="26" t="e">
        <f t="shared" si="13"/>
        <v>#REF!</v>
      </c>
      <c r="U11" s="27" t="e">
        <f t="shared" si="14"/>
        <v>#REF!</v>
      </c>
      <c r="V11" s="27"/>
      <c r="W11" s="26">
        <f t="shared" si="15"/>
        <v>1329</v>
      </c>
      <c r="X11" s="26" t="e">
        <f t="shared" si="16"/>
        <v>#REF!</v>
      </c>
      <c r="Y11" s="27" t="e">
        <f t="shared" si="17"/>
        <v>#REF!</v>
      </c>
    </row>
    <row r="12" spans="1:25" ht="16.5" customHeight="1">
      <c r="A12" s="16" t="s">
        <v>27</v>
      </c>
      <c r="B12" s="16" t="s">
        <v>28</v>
      </c>
      <c r="C12" s="25">
        <f t="shared" si="0"/>
        <v>6</v>
      </c>
      <c r="D12" s="25" t="e">
        <f t="shared" si="1"/>
        <v>#REF!</v>
      </c>
      <c r="E12" s="27" t="e">
        <f t="shared" si="2"/>
        <v>#REF!</v>
      </c>
      <c r="F12" s="25"/>
      <c r="G12" s="25">
        <f t="shared" si="3"/>
        <v>13</v>
      </c>
      <c r="H12" s="25" t="e">
        <f t="shared" si="4"/>
        <v>#REF!</v>
      </c>
      <c r="I12" s="27" t="e">
        <f t="shared" si="5"/>
        <v>#REF!</v>
      </c>
      <c r="J12" s="25"/>
      <c r="K12" s="25">
        <f t="shared" si="6"/>
        <v>13</v>
      </c>
      <c r="L12" s="25" t="e">
        <f t="shared" si="7"/>
        <v>#REF!</v>
      </c>
      <c r="M12" s="27" t="e">
        <f t="shared" si="8"/>
        <v>#REF!</v>
      </c>
      <c r="N12" s="27"/>
      <c r="O12" s="26" t="str">
        <f t="shared" si="9"/>
        <v>Piedmont</v>
      </c>
      <c r="P12" s="26" t="e">
        <f t="shared" si="10"/>
        <v>#REF!</v>
      </c>
      <c r="Q12" s="27" t="e">
        <f t="shared" si="11"/>
        <v>#VALUE!</v>
      </c>
      <c r="R12" s="27"/>
      <c r="S12" s="26">
        <f t="shared" si="12"/>
        <v>29</v>
      </c>
      <c r="T12" s="26" t="e">
        <f t="shared" si="13"/>
        <v>#REF!</v>
      </c>
      <c r="U12" s="27" t="e">
        <f t="shared" si="14"/>
        <v>#REF!</v>
      </c>
      <c r="V12" s="27"/>
      <c r="W12" s="26">
        <f t="shared" si="15"/>
        <v>21</v>
      </c>
      <c r="X12" s="26" t="e">
        <f t="shared" si="16"/>
        <v>#REF!</v>
      </c>
      <c r="Y12" s="27" t="e">
        <f t="shared" si="17"/>
        <v>#REF!</v>
      </c>
    </row>
    <row r="13" spans="1:25" ht="16.5" customHeight="1">
      <c r="A13" s="16" t="s">
        <v>29</v>
      </c>
      <c r="B13" s="16" t="s">
        <v>329</v>
      </c>
      <c r="C13" s="25">
        <f t="shared" si="0"/>
        <v>47</v>
      </c>
      <c r="D13" s="25" t="e">
        <f t="shared" si="1"/>
        <v>#REF!</v>
      </c>
      <c r="E13" s="27" t="e">
        <f t="shared" si="2"/>
        <v>#REF!</v>
      </c>
      <c r="F13" s="25"/>
      <c r="G13" s="25">
        <f t="shared" si="3"/>
        <v>435</v>
      </c>
      <c r="H13" s="25" t="e">
        <f t="shared" si="4"/>
        <v>#REF!</v>
      </c>
      <c r="I13" s="27" t="e">
        <f t="shared" si="5"/>
        <v>#REF!</v>
      </c>
      <c r="J13" s="25"/>
      <c r="K13" s="25">
        <f t="shared" si="6"/>
        <v>346</v>
      </c>
      <c r="L13" s="25" t="e">
        <f t="shared" si="7"/>
        <v>#REF!</v>
      </c>
      <c r="M13" s="27" t="e">
        <f t="shared" si="8"/>
        <v>#REF!</v>
      </c>
      <c r="N13" s="27"/>
      <c r="O13" s="26" t="str">
        <f t="shared" si="9"/>
        <v>Piedmont</v>
      </c>
      <c r="P13" s="26" t="e">
        <f t="shared" si="10"/>
        <v>#REF!</v>
      </c>
      <c r="Q13" s="27" t="e">
        <f t="shared" si="11"/>
        <v>#VALUE!</v>
      </c>
      <c r="R13" s="27"/>
      <c r="S13" s="26">
        <f t="shared" si="12"/>
        <v>728</v>
      </c>
      <c r="T13" s="26" t="e">
        <f t="shared" si="13"/>
        <v>#REF!</v>
      </c>
      <c r="U13" s="27" t="e">
        <f t="shared" si="14"/>
        <v>#REF!</v>
      </c>
      <c r="V13" s="27"/>
      <c r="W13" s="26">
        <f t="shared" si="15"/>
        <v>545</v>
      </c>
      <c r="X13" s="26" t="e">
        <f t="shared" si="16"/>
        <v>#REF!</v>
      </c>
      <c r="Y13" s="27" t="e">
        <f t="shared" si="17"/>
        <v>#REF!</v>
      </c>
    </row>
    <row r="14" spans="1:25" ht="16.5" customHeight="1">
      <c r="A14" s="16" t="s">
        <v>31</v>
      </c>
      <c r="B14" s="16" t="s">
        <v>32</v>
      </c>
      <c r="C14" s="25">
        <f t="shared" si="0"/>
        <v>0</v>
      </c>
      <c r="D14" s="25" t="e">
        <f t="shared" si="1"/>
        <v>#REF!</v>
      </c>
      <c r="E14" s="27" t="e">
        <f t="shared" si="2"/>
        <v>#REF!</v>
      </c>
      <c r="F14" s="25"/>
      <c r="G14" s="25">
        <f t="shared" si="3"/>
        <v>42</v>
      </c>
      <c r="H14" s="25" t="e">
        <f t="shared" si="4"/>
        <v>#REF!</v>
      </c>
      <c r="I14" s="27" t="e">
        <f t="shared" si="5"/>
        <v>#REF!</v>
      </c>
      <c r="J14" s="25"/>
      <c r="K14" s="25">
        <f t="shared" si="6"/>
        <v>39</v>
      </c>
      <c r="L14" s="25" t="e">
        <f t="shared" si="7"/>
        <v>#REF!</v>
      </c>
      <c r="M14" s="27" t="e">
        <f t="shared" si="8"/>
        <v>#REF!</v>
      </c>
      <c r="N14" s="27"/>
      <c r="O14" s="26" t="str">
        <f t="shared" si="9"/>
        <v>Western</v>
      </c>
      <c r="P14" s="26" t="e">
        <f t="shared" si="10"/>
        <v>#REF!</v>
      </c>
      <c r="Q14" s="27" t="e">
        <f t="shared" si="11"/>
        <v>#VALUE!</v>
      </c>
      <c r="R14" s="27"/>
      <c r="S14" s="26">
        <f t="shared" si="12"/>
        <v>60</v>
      </c>
      <c r="T14" s="26" t="e">
        <f t="shared" si="13"/>
        <v>#REF!</v>
      </c>
      <c r="U14" s="27" t="e">
        <f t="shared" si="14"/>
        <v>#REF!</v>
      </c>
      <c r="V14" s="27"/>
      <c r="W14" s="26">
        <f t="shared" si="15"/>
        <v>58</v>
      </c>
      <c r="X14" s="26" t="e">
        <f t="shared" si="16"/>
        <v>#REF!</v>
      </c>
      <c r="Y14" s="27" t="e">
        <f t="shared" si="17"/>
        <v>#REF!</v>
      </c>
    </row>
    <row r="15" spans="1:25" ht="16.5" customHeight="1">
      <c r="A15" s="16" t="s">
        <v>33</v>
      </c>
      <c r="B15" s="16" t="s">
        <v>34</v>
      </c>
      <c r="C15" s="25">
        <f t="shared" si="0"/>
        <v>12</v>
      </c>
      <c r="D15" s="25" t="e">
        <f t="shared" si="1"/>
        <v>#REF!</v>
      </c>
      <c r="E15" s="27" t="e">
        <f t="shared" si="2"/>
        <v>#REF!</v>
      </c>
      <c r="F15" s="25"/>
      <c r="G15" s="25">
        <f t="shared" si="3"/>
        <v>89</v>
      </c>
      <c r="H15" s="25" t="e">
        <f t="shared" si="4"/>
        <v>#REF!</v>
      </c>
      <c r="I15" s="27" t="e">
        <f t="shared" si="5"/>
        <v>#REF!</v>
      </c>
      <c r="J15" s="25"/>
      <c r="K15" s="25">
        <f t="shared" si="6"/>
        <v>80</v>
      </c>
      <c r="L15" s="25" t="e">
        <f t="shared" si="7"/>
        <v>#REF!</v>
      </c>
      <c r="M15" s="27" t="e">
        <f t="shared" si="8"/>
        <v>#REF!</v>
      </c>
      <c r="N15" s="27"/>
      <c r="O15" s="26" t="str">
        <f t="shared" si="9"/>
        <v>Piedmont</v>
      </c>
      <c r="P15" s="26" t="e">
        <f t="shared" si="10"/>
        <v>#REF!</v>
      </c>
      <c r="Q15" s="27" t="e">
        <f t="shared" si="11"/>
        <v>#VALUE!</v>
      </c>
      <c r="R15" s="27"/>
      <c r="S15" s="26">
        <f t="shared" si="12"/>
        <v>149</v>
      </c>
      <c r="T15" s="26" t="e">
        <f t="shared" si="13"/>
        <v>#REF!</v>
      </c>
      <c r="U15" s="27" t="e">
        <f t="shared" si="14"/>
        <v>#REF!</v>
      </c>
      <c r="V15" s="27"/>
      <c r="W15" s="26">
        <f t="shared" si="15"/>
        <v>123</v>
      </c>
      <c r="X15" s="26" t="e">
        <f t="shared" si="16"/>
        <v>#REF!</v>
      </c>
      <c r="Y15" s="27" t="e">
        <f t="shared" si="17"/>
        <v>#REF!</v>
      </c>
    </row>
    <row r="16" spans="1:25" ht="16.5" customHeight="1">
      <c r="A16" s="16" t="s">
        <v>37</v>
      </c>
      <c r="B16" s="16" t="s">
        <v>38</v>
      </c>
      <c r="C16" s="25">
        <f t="shared" si="0"/>
        <v>15</v>
      </c>
      <c r="D16" s="25" t="e">
        <f t="shared" si="1"/>
        <v>#REF!</v>
      </c>
      <c r="E16" s="27" t="e">
        <f t="shared" si="2"/>
        <v>#REF!</v>
      </c>
      <c r="F16" s="25"/>
      <c r="G16" s="25">
        <f t="shared" si="3"/>
        <v>209</v>
      </c>
      <c r="H16" s="25" t="e">
        <f t="shared" si="4"/>
        <v>#REF!</v>
      </c>
      <c r="I16" s="27" t="e">
        <f t="shared" si="5"/>
        <v>#REF!</v>
      </c>
      <c r="J16" s="25"/>
      <c r="K16" s="25">
        <f t="shared" si="6"/>
        <v>32</v>
      </c>
      <c r="L16" s="25" t="e">
        <f t="shared" si="7"/>
        <v>#REF!</v>
      </c>
      <c r="M16" s="27" t="e">
        <f t="shared" si="8"/>
        <v>#REF!</v>
      </c>
      <c r="N16" s="27"/>
      <c r="O16" s="26" t="str">
        <f t="shared" si="9"/>
        <v>Eastern</v>
      </c>
      <c r="P16" s="26" t="e">
        <f t="shared" si="10"/>
        <v>#REF!</v>
      </c>
      <c r="Q16" s="27" t="e">
        <f t="shared" si="11"/>
        <v>#VALUE!</v>
      </c>
      <c r="R16" s="27"/>
      <c r="S16" s="26">
        <f t="shared" si="12"/>
        <v>386</v>
      </c>
      <c r="T16" s="26" t="e">
        <f t="shared" si="13"/>
        <v>#REF!</v>
      </c>
      <c r="U16" s="27" t="e">
        <f t="shared" si="14"/>
        <v>#REF!</v>
      </c>
      <c r="V16" s="27"/>
      <c r="W16" s="26">
        <f t="shared" si="15"/>
        <v>43</v>
      </c>
      <c r="X16" s="26" t="e">
        <f t="shared" si="16"/>
        <v>#REF!</v>
      </c>
      <c r="Y16" s="27" t="e">
        <f t="shared" si="17"/>
        <v>#REF!</v>
      </c>
    </row>
    <row r="17" spans="1:25" ht="16.5" customHeight="1">
      <c r="A17" s="16" t="s">
        <v>39</v>
      </c>
      <c r="B17" s="16" t="s">
        <v>40</v>
      </c>
      <c r="C17" s="25">
        <f t="shared" si="0"/>
        <v>21</v>
      </c>
      <c r="D17" s="25" t="e">
        <f t="shared" si="1"/>
        <v>#REF!</v>
      </c>
      <c r="E17" s="27" t="e">
        <f t="shared" si="2"/>
        <v>#REF!</v>
      </c>
      <c r="F17" s="25"/>
      <c r="G17" s="25">
        <f t="shared" si="3"/>
        <v>264</v>
      </c>
      <c r="H17" s="25" t="e">
        <f t="shared" si="4"/>
        <v>#REF!</v>
      </c>
      <c r="I17" s="27" t="e">
        <f t="shared" si="5"/>
        <v>#REF!</v>
      </c>
      <c r="J17" s="25"/>
      <c r="K17" s="25">
        <f t="shared" si="6"/>
        <v>253</v>
      </c>
      <c r="L17" s="25" t="e">
        <f t="shared" si="7"/>
        <v>#REF!</v>
      </c>
      <c r="M17" s="27" t="e">
        <f t="shared" si="8"/>
        <v>#REF!</v>
      </c>
      <c r="N17" s="27"/>
      <c r="O17" s="26" t="str">
        <f t="shared" si="9"/>
        <v>Western</v>
      </c>
      <c r="P17" s="26" t="e">
        <f t="shared" si="10"/>
        <v>#REF!</v>
      </c>
      <c r="Q17" s="27" t="e">
        <f t="shared" si="11"/>
        <v>#VALUE!</v>
      </c>
      <c r="R17" s="27"/>
      <c r="S17" s="26">
        <f t="shared" si="12"/>
        <v>344</v>
      </c>
      <c r="T17" s="26" t="e">
        <f t="shared" si="13"/>
        <v>#REF!</v>
      </c>
      <c r="U17" s="27" t="e">
        <f t="shared" si="14"/>
        <v>#REF!</v>
      </c>
      <c r="V17" s="27"/>
      <c r="W17" s="26">
        <f t="shared" si="15"/>
        <v>320</v>
      </c>
      <c r="X17" s="26" t="e">
        <f t="shared" si="16"/>
        <v>#REF!</v>
      </c>
      <c r="Y17" s="27" t="e">
        <f t="shared" si="17"/>
        <v>#REF!</v>
      </c>
    </row>
    <row r="18" spans="1:25" ht="16.5" customHeight="1">
      <c r="A18" s="16" t="s">
        <v>41</v>
      </c>
      <c r="B18" s="16" t="s">
        <v>42</v>
      </c>
      <c r="C18" s="25">
        <f t="shared" si="0"/>
        <v>26</v>
      </c>
      <c r="D18" s="25" t="e">
        <f t="shared" si="1"/>
        <v>#REF!</v>
      </c>
      <c r="E18" s="27" t="e">
        <f t="shared" si="2"/>
        <v>#REF!</v>
      </c>
      <c r="F18" s="25"/>
      <c r="G18" s="25">
        <f t="shared" si="3"/>
        <v>176</v>
      </c>
      <c r="H18" s="25" t="e">
        <f t="shared" si="4"/>
        <v>#REF!</v>
      </c>
      <c r="I18" s="27" t="e">
        <f t="shared" si="5"/>
        <v>#REF!</v>
      </c>
      <c r="J18" s="25"/>
      <c r="K18" s="25">
        <f t="shared" si="6"/>
        <v>52</v>
      </c>
      <c r="L18" s="25" t="e">
        <f t="shared" si="7"/>
        <v>#REF!</v>
      </c>
      <c r="M18" s="27" t="e">
        <f t="shared" si="8"/>
        <v>#REF!</v>
      </c>
      <c r="N18" s="27"/>
      <c r="O18" s="26" t="str">
        <f t="shared" si="9"/>
        <v>Central</v>
      </c>
      <c r="P18" s="26" t="e">
        <f t="shared" si="10"/>
        <v>#REF!</v>
      </c>
      <c r="Q18" s="27" t="e">
        <f t="shared" si="11"/>
        <v>#VALUE!</v>
      </c>
      <c r="R18" s="27"/>
      <c r="S18" s="26">
        <f t="shared" si="12"/>
        <v>254</v>
      </c>
      <c r="T18" s="26" t="e">
        <f t="shared" si="13"/>
        <v>#REF!</v>
      </c>
      <c r="U18" s="27" t="e">
        <f t="shared" si="14"/>
        <v>#REF!</v>
      </c>
      <c r="V18" s="27"/>
      <c r="W18" s="26">
        <f t="shared" si="15"/>
        <v>75</v>
      </c>
      <c r="X18" s="26" t="e">
        <f t="shared" si="16"/>
        <v>#REF!</v>
      </c>
      <c r="Y18" s="27" t="e">
        <f t="shared" si="17"/>
        <v>#REF!</v>
      </c>
    </row>
    <row r="19" spans="1:25" ht="16.5" customHeight="1">
      <c r="A19" s="16" t="s">
        <v>43</v>
      </c>
      <c r="B19" s="16" t="s">
        <v>44</v>
      </c>
      <c r="C19" s="25">
        <f t="shared" si="0"/>
        <v>119</v>
      </c>
      <c r="D19" s="25" t="e">
        <f t="shared" si="1"/>
        <v>#REF!</v>
      </c>
      <c r="E19" s="27" t="e">
        <f t="shared" si="2"/>
        <v>#REF!</v>
      </c>
      <c r="F19" s="25"/>
      <c r="G19" s="25">
        <f t="shared" si="3"/>
        <v>634</v>
      </c>
      <c r="H19" s="25" t="e">
        <f t="shared" si="4"/>
        <v>#REF!</v>
      </c>
      <c r="I19" s="27" t="e">
        <f t="shared" si="5"/>
        <v>#REF!</v>
      </c>
      <c r="J19" s="25"/>
      <c r="K19" s="25">
        <f t="shared" si="6"/>
        <v>423</v>
      </c>
      <c r="L19" s="25" t="e">
        <f t="shared" si="7"/>
        <v>#REF!</v>
      </c>
      <c r="M19" s="27" t="e">
        <f t="shared" si="8"/>
        <v>#REF!</v>
      </c>
      <c r="N19" s="27"/>
      <c r="O19" s="26" t="str">
        <f t="shared" si="9"/>
        <v>Piedmont</v>
      </c>
      <c r="P19" s="26" t="e">
        <f t="shared" si="10"/>
        <v>#REF!</v>
      </c>
      <c r="Q19" s="27" t="e">
        <f t="shared" si="11"/>
        <v>#VALUE!</v>
      </c>
      <c r="R19" s="27"/>
      <c r="S19" s="26">
        <f t="shared" si="12"/>
        <v>928</v>
      </c>
      <c r="T19" s="26" t="e">
        <f t="shared" si="13"/>
        <v>#REF!</v>
      </c>
      <c r="U19" s="27" t="e">
        <f t="shared" si="14"/>
        <v>#REF!</v>
      </c>
      <c r="V19" s="27"/>
      <c r="W19" s="26">
        <f t="shared" si="15"/>
        <v>538</v>
      </c>
      <c r="X19" s="26" t="e">
        <f t="shared" si="16"/>
        <v>#REF!</v>
      </c>
      <c r="Y19" s="27" t="e">
        <f t="shared" si="17"/>
        <v>#REF!</v>
      </c>
    </row>
    <row r="20" spans="1:25" ht="16.5" customHeight="1">
      <c r="A20" s="16" t="s">
        <v>45</v>
      </c>
      <c r="B20" s="16" t="s">
        <v>46</v>
      </c>
      <c r="C20" s="25">
        <f t="shared" si="0"/>
        <v>114</v>
      </c>
      <c r="D20" s="25" t="e">
        <f t="shared" si="1"/>
        <v>#REF!</v>
      </c>
      <c r="E20" s="27" t="e">
        <f t="shared" si="2"/>
        <v>#REF!</v>
      </c>
      <c r="F20" s="25"/>
      <c r="G20" s="25">
        <f t="shared" si="3"/>
        <v>391</v>
      </c>
      <c r="H20" s="25" t="e">
        <f t="shared" si="4"/>
        <v>#REF!</v>
      </c>
      <c r="I20" s="27" t="e">
        <f t="shared" si="5"/>
        <v>#REF!</v>
      </c>
      <c r="J20" s="25"/>
      <c r="K20" s="25">
        <f t="shared" si="6"/>
        <v>191</v>
      </c>
      <c r="L20" s="25" t="e">
        <f t="shared" si="7"/>
        <v>#REF!</v>
      </c>
      <c r="M20" s="27" t="e">
        <f t="shared" si="8"/>
        <v>#REF!</v>
      </c>
      <c r="N20" s="27"/>
      <c r="O20" s="26" t="str">
        <f t="shared" si="9"/>
        <v>Central</v>
      </c>
      <c r="P20" s="26" t="e">
        <f t="shared" si="10"/>
        <v>#REF!</v>
      </c>
      <c r="Q20" s="27" t="e">
        <f t="shared" si="11"/>
        <v>#VALUE!</v>
      </c>
      <c r="R20" s="27"/>
      <c r="S20" s="26">
        <f t="shared" si="12"/>
        <v>656</v>
      </c>
      <c r="T20" s="26" t="e">
        <f t="shared" si="13"/>
        <v>#REF!</v>
      </c>
      <c r="U20" s="27" t="e">
        <f t="shared" si="14"/>
        <v>#REF!</v>
      </c>
      <c r="V20" s="27"/>
      <c r="W20" s="26">
        <f t="shared" si="15"/>
        <v>268</v>
      </c>
      <c r="X20" s="26" t="e">
        <f t="shared" si="16"/>
        <v>#REF!</v>
      </c>
      <c r="Y20" s="27" t="e">
        <f t="shared" si="17"/>
        <v>#REF!</v>
      </c>
    </row>
    <row r="21" spans="1:25" ht="16.5" customHeight="1">
      <c r="A21" s="16" t="s">
        <v>47</v>
      </c>
      <c r="B21" s="16" t="s">
        <v>48</v>
      </c>
      <c r="C21" s="25">
        <f t="shared" si="0"/>
        <v>35</v>
      </c>
      <c r="D21" s="25" t="e">
        <f t="shared" si="1"/>
        <v>#REF!</v>
      </c>
      <c r="E21" s="27" t="e">
        <f t="shared" si="2"/>
        <v>#REF!</v>
      </c>
      <c r="F21" s="25"/>
      <c r="G21" s="25">
        <f t="shared" si="3"/>
        <v>274</v>
      </c>
      <c r="H21" s="25" t="e">
        <f t="shared" si="4"/>
        <v>#REF!</v>
      </c>
      <c r="I21" s="27" t="e">
        <f t="shared" si="5"/>
        <v>#REF!</v>
      </c>
      <c r="J21" s="25"/>
      <c r="K21" s="25">
        <f t="shared" si="6"/>
        <v>252</v>
      </c>
      <c r="L21" s="25" t="e">
        <f t="shared" si="7"/>
        <v>#REF!</v>
      </c>
      <c r="M21" s="27" t="e">
        <f t="shared" si="8"/>
        <v>#REF!</v>
      </c>
      <c r="N21" s="27"/>
      <c r="O21" s="26" t="str">
        <f t="shared" si="9"/>
        <v>Western</v>
      </c>
      <c r="P21" s="26" t="e">
        <f t="shared" si="10"/>
        <v>#REF!</v>
      </c>
      <c r="Q21" s="27" t="e">
        <f t="shared" si="11"/>
        <v>#VALUE!</v>
      </c>
      <c r="R21" s="27"/>
      <c r="S21" s="26">
        <f t="shared" si="12"/>
        <v>428</v>
      </c>
      <c r="T21" s="26" t="e">
        <f t="shared" si="13"/>
        <v>#REF!</v>
      </c>
      <c r="U21" s="27" t="e">
        <f t="shared" si="14"/>
        <v>#REF!</v>
      </c>
      <c r="V21" s="27"/>
      <c r="W21" s="26">
        <f t="shared" si="15"/>
        <v>379</v>
      </c>
      <c r="X21" s="26" t="e">
        <f t="shared" si="16"/>
        <v>#REF!</v>
      </c>
      <c r="Y21" s="27" t="e">
        <f t="shared" si="17"/>
        <v>#REF!</v>
      </c>
    </row>
    <row r="22" spans="1:25" ht="16.5" customHeight="1">
      <c r="A22" s="16" t="s">
        <v>49</v>
      </c>
      <c r="B22" s="16" t="s">
        <v>276</v>
      </c>
      <c r="C22" s="25">
        <f t="shared" si="0"/>
        <v>15</v>
      </c>
      <c r="D22" s="25" t="e">
        <f t="shared" si="1"/>
        <v>#REF!</v>
      </c>
      <c r="E22" s="27" t="e">
        <f t="shared" si="2"/>
        <v>#REF!</v>
      </c>
      <c r="F22" s="25"/>
      <c r="G22" s="25">
        <f t="shared" si="3"/>
        <v>47</v>
      </c>
      <c r="H22" s="25" t="e">
        <f t="shared" si="4"/>
        <v>#REF!</v>
      </c>
      <c r="I22" s="27" t="e">
        <f t="shared" si="5"/>
        <v>#REF!</v>
      </c>
      <c r="J22" s="25"/>
      <c r="K22" s="25">
        <f t="shared" si="6"/>
        <v>13</v>
      </c>
      <c r="L22" s="25" t="e">
        <f t="shared" si="7"/>
        <v>#REF!</v>
      </c>
      <c r="M22" s="27" t="e">
        <f t="shared" si="8"/>
        <v>#REF!</v>
      </c>
      <c r="N22" s="27"/>
      <c r="O22" s="26" t="str">
        <f t="shared" si="9"/>
        <v>Central</v>
      </c>
      <c r="P22" s="26" t="e">
        <f t="shared" si="10"/>
        <v>#REF!</v>
      </c>
      <c r="Q22" s="27" t="e">
        <f t="shared" si="11"/>
        <v>#VALUE!</v>
      </c>
      <c r="R22" s="27"/>
      <c r="S22" s="26">
        <f t="shared" si="12"/>
        <v>78</v>
      </c>
      <c r="T22" s="26" t="e">
        <f t="shared" si="13"/>
        <v>#REF!</v>
      </c>
      <c r="U22" s="27" t="e">
        <f t="shared" si="14"/>
        <v>#REF!</v>
      </c>
      <c r="V22" s="27"/>
      <c r="W22" s="26">
        <f t="shared" si="15"/>
        <v>13</v>
      </c>
      <c r="X22" s="26" t="e">
        <f t="shared" si="16"/>
        <v>#REF!</v>
      </c>
      <c r="Y22" s="27" t="e">
        <f t="shared" si="17"/>
        <v>#REF!</v>
      </c>
    </row>
    <row r="23" spans="1:25" ht="16.5" customHeight="1">
      <c r="A23" s="16" t="s">
        <v>51</v>
      </c>
      <c r="B23" s="16" t="s">
        <v>52</v>
      </c>
      <c r="C23" s="25">
        <f t="shared" si="0"/>
        <v>26</v>
      </c>
      <c r="D23" s="25" t="e">
        <f t="shared" si="1"/>
        <v>#REF!</v>
      </c>
      <c r="E23" s="27" t="e">
        <f t="shared" si="2"/>
        <v>#REF!</v>
      </c>
      <c r="F23" s="25"/>
      <c r="G23" s="25">
        <f t="shared" si="3"/>
        <v>192</v>
      </c>
      <c r="H23" s="25" t="e">
        <f t="shared" si="4"/>
        <v>#REF!</v>
      </c>
      <c r="I23" s="27" t="e">
        <f t="shared" si="5"/>
        <v>#REF!</v>
      </c>
      <c r="J23" s="25"/>
      <c r="K23" s="25">
        <f t="shared" si="6"/>
        <v>87</v>
      </c>
      <c r="L23" s="25" t="e">
        <f t="shared" si="7"/>
        <v>#REF!</v>
      </c>
      <c r="M23" s="27" t="e">
        <f t="shared" si="8"/>
        <v>#REF!</v>
      </c>
      <c r="N23" s="27"/>
      <c r="O23" s="26" t="str">
        <f t="shared" si="9"/>
        <v>Piedmont</v>
      </c>
      <c r="P23" s="26" t="e">
        <f t="shared" si="10"/>
        <v>#REF!</v>
      </c>
      <c r="Q23" s="27" t="e">
        <f t="shared" si="11"/>
        <v>#VALUE!</v>
      </c>
      <c r="R23" s="27"/>
      <c r="S23" s="26">
        <f t="shared" si="12"/>
        <v>316</v>
      </c>
      <c r="T23" s="26" t="e">
        <f t="shared" si="13"/>
        <v>#REF!</v>
      </c>
      <c r="U23" s="27" t="e">
        <f t="shared" si="14"/>
        <v>#REF!</v>
      </c>
      <c r="V23" s="27"/>
      <c r="W23" s="26">
        <f t="shared" si="15"/>
        <v>105</v>
      </c>
      <c r="X23" s="26" t="e">
        <f t="shared" si="16"/>
        <v>#REF!</v>
      </c>
      <c r="Y23" s="27" t="e">
        <f t="shared" si="17"/>
        <v>#REF!</v>
      </c>
    </row>
    <row r="24" spans="1:25" ht="16.5" customHeight="1">
      <c r="A24" s="16" t="s">
        <v>57</v>
      </c>
      <c r="B24" s="16" t="s">
        <v>305</v>
      </c>
      <c r="C24" s="25">
        <f t="shared" si="0"/>
        <v>688</v>
      </c>
      <c r="D24" s="25" t="e">
        <f t="shared" si="1"/>
        <v>#REF!</v>
      </c>
      <c r="E24" s="27" t="e">
        <f t="shared" si="2"/>
        <v>#REF!</v>
      </c>
      <c r="F24" s="25"/>
      <c r="G24" s="25">
        <f t="shared" si="3"/>
        <v>2078</v>
      </c>
      <c r="H24" s="25" t="e">
        <f t="shared" si="4"/>
        <v>#REF!</v>
      </c>
      <c r="I24" s="27" t="e">
        <f t="shared" si="5"/>
        <v>#REF!</v>
      </c>
      <c r="J24" s="25"/>
      <c r="K24" s="25">
        <f t="shared" si="6"/>
        <v>861</v>
      </c>
      <c r="L24" s="25" t="e">
        <f t="shared" si="7"/>
        <v>#REF!</v>
      </c>
      <c r="M24" s="27" t="e">
        <f t="shared" si="8"/>
        <v>#REF!</v>
      </c>
      <c r="N24" s="27"/>
      <c r="O24" s="26" t="str">
        <f t="shared" si="9"/>
        <v>Central</v>
      </c>
      <c r="P24" s="26" t="e">
        <f t="shared" si="10"/>
        <v>#REF!</v>
      </c>
      <c r="Q24" s="27" t="e">
        <f t="shared" si="11"/>
        <v>#VALUE!</v>
      </c>
      <c r="R24" s="27"/>
      <c r="S24" s="26">
        <f t="shared" si="12"/>
        <v>3684</v>
      </c>
      <c r="T24" s="26" t="e">
        <f t="shared" si="13"/>
        <v>#REF!</v>
      </c>
      <c r="U24" s="27" t="e">
        <f t="shared" si="14"/>
        <v>#REF!</v>
      </c>
      <c r="V24" s="27"/>
      <c r="W24" s="26">
        <f t="shared" si="15"/>
        <v>1256</v>
      </c>
      <c r="X24" s="26" t="e">
        <f t="shared" si="16"/>
        <v>#REF!</v>
      </c>
      <c r="Y24" s="27" t="e">
        <f t="shared" si="17"/>
        <v>#REF!</v>
      </c>
    </row>
    <row r="25" spans="1:25" ht="16.5" customHeight="1">
      <c r="A25" s="16" t="s">
        <v>59</v>
      </c>
      <c r="B25" s="16" t="s">
        <v>60</v>
      </c>
      <c r="C25" s="25">
        <f t="shared" si="0"/>
        <v>5</v>
      </c>
      <c r="D25" s="25" t="e">
        <f t="shared" si="1"/>
        <v>#REF!</v>
      </c>
      <c r="E25" s="27" t="e">
        <f t="shared" si="2"/>
        <v>#REF!</v>
      </c>
      <c r="F25" s="25"/>
      <c r="G25" s="25">
        <f t="shared" si="3"/>
        <v>40</v>
      </c>
      <c r="H25" s="25" t="e">
        <f t="shared" si="4"/>
        <v>#REF!</v>
      </c>
      <c r="I25" s="27" t="e">
        <f t="shared" si="5"/>
        <v>#REF!</v>
      </c>
      <c r="J25" s="25"/>
      <c r="K25" s="25">
        <f t="shared" si="6"/>
        <v>30</v>
      </c>
      <c r="L25" s="25" t="e">
        <f t="shared" si="7"/>
        <v>#REF!</v>
      </c>
      <c r="M25" s="27" t="e">
        <f t="shared" si="8"/>
        <v>#REF!</v>
      </c>
      <c r="N25" s="27"/>
      <c r="O25" s="26" t="str">
        <f t="shared" si="9"/>
        <v>Northern</v>
      </c>
      <c r="P25" s="26" t="e">
        <f t="shared" si="10"/>
        <v>#REF!</v>
      </c>
      <c r="Q25" s="27" t="e">
        <f t="shared" si="11"/>
        <v>#VALUE!</v>
      </c>
      <c r="R25" s="27"/>
      <c r="S25" s="26">
        <f t="shared" si="12"/>
        <v>77</v>
      </c>
      <c r="T25" s="26" t="e">
        <f t="shared" si="13"/>
        <v>#REF!</v>
      </c>
      <c r="U25" s="27" t="e">
        <f t="shared" si="14"/>
        <v>#REF!</v>
      </c>
      <c r="V25" s="27"/>
      <c r="W25" s="26">
        <f t="shared" si="15"/>
        <v>59</v>
      </c>
      <c r="X25" s="26" t="e">
        <f t="shared" si="16"/>
        <v>#REF!</v>
      </c>
      <c r="Y25" s="27" t="e">
        <f t="shared" si="17"/>
        <v>#REF!</v>
      </c>
    </row>
    <row r="26" spans="1:25" ht="16.5" customHeight="1">
      <c r="A26" s="16" t="s">
        <v>61</v>
      </c>
      <c r="B26" s="16" t="s">
        <v>62</v>
      </c>
      <c r="C26" s="25">
        <f t="shared" si="0"/>
        <v>0</v>
      </c>
      <c r="D26" s="25" t="e">
        <f t="shared" si="1"/>
        <v>#REF!</v>
      </c>
      <c r="E26" s="27" t="e">
        <f t="shared" si="2"/>
        <v>#REF!</v>
      </c>
      <c r="F26" s="25"/>
      <c r="G26" s="25">
        <f t="shared" si="3"/>
        <v>28</v>
      </c>
      <c r="H26" s="25" t="e">
        <f t="shared" si="4"/>
        <v>#REF!</v>
      </c>
      <c r="I26" s="27" t="e">
        <f t="shared" si="5"/>
        <v>#REF!</v>
      </c>
      <c r="J26" s="25"/>
      <c r="K26" s="25">
        <f t="shared" si="6"/>
        <v>28</v>
      </c>
      <c r="L26" s="25" t="e">
        <f t="shared" si="7"/>
        <v>#REF!</v>
      </c>
      <c r="M26" s="27" t="e">
        <f t="shared" si="8"/>
        <v>#REF!</v>
      </c>
      <c r="N26" s="27"/>
      <c r="O26" s="26" t="str">
        <f t="shared" si="9"/>
        <v>Piedmont</v>
      </c>
      <c r="P26" s="26" t="e">
        <f t="shared" si="10"/>
        <v>#REF!</v>
      </c>
      <c r="Q26" s="27" t="e">
        <f t="shared" si="11"/>
        <v>#VALUE!</v>
      </c>
      <c r="R26" s="27"/>
      <c r="S26" s="26">
        <f t="shared" si="12"/>
        <v>50</v>
      </c>
      <c r="T26" s="26" t="e">
        <f t="shared" si="13"/>
        <v>#REF!</v>
      </c>
      <c r="U26" s="27" t="e">
        <f t="shared" si="14"/>
        <v>#REF!</v>
      </c>
      <c r="V26" s="27"/>
      <c r="W26" s="26">
        <f t="shared" si="15"/>
        <v>50</v>
      </c>
      <c r="X26" s="26" t="e">
        <f t="shared" si="16"/>
        <v>#REF!</v>
      </c>
      <c r="Y26" s="27" t="e">
        <f t="shared" si="17"/>
        <v>#REF!</v>
      </c>
    </row>
    <row r="27" spans="1:25" ht="16.5" customHeight="1">
      <c r="A27" s="16" t="s">
        <v>63</v>
      </c>
      <c r="B27" s="16" t="s">
        <v>64</v>
      </c>
      <c r="C27" s="25">
        <f t="shared" si="0"/>
        <v>97</v>
      </c>
      <c r="D27" s="25" t="e">
        <f t="shared" si="1"/>
        <v>#REF!</v>
      </c>
      <c r="E27" s="27" t="e">
        <f t="shared" si="2"/>
        <v>#REF!</v>
      </c>
      <c r="F27" s="25"/>
      <c r="G27" s="25">
        <f t="shared" si="3"/>
        <v>345</v>
      </c>
      <c r="H27" s="25" t="e">
        <f t="shared" si="4"/>
        <v>#REF!</v>
      </c>
      <c r="I27" s="27" t="e">
        <f t="shared" si="5"/>
        <v>#REF!</v>
      </c>
      <c r="J27" s="25"/>
      <c r="K27" s="25">
        <f t="shared" si="6"/>
        <v>156</v>
      </c>
      <c r="L27" s="25" t="e">
        <f t="shared" si="7"/>
        <v>#REF!</v>
      </c>
      <c r="M27" s="27" t="e">
        <f t="shared" si="8"/>
        <v>#REF!</v>
      </c>
      <c r="N27" s="27"/>
      <c r="O27" s="26" t="str">
        <f t="shared" si="9"/>
        <v>Northern</v>
      </c>
      <c r="P27" s="26" t="e">
        <f t="shared" si="10"/>
        <v>#REF!</v>
      </c>
      <c r="Q27" s="27" t="e">
        <f t="shared" si="11"/>
        <v>#VALUE!</v>
      </c>
      <c r="R27" s="27"/>
      <c r="S27" s="26">
        <f t="shared" si="12"/>
        <v>586</v>
      </c>
      <c r="T27" s="26" t="e">
        <f t="shared" si="13"/>
        <v>#REF!</v>
      </c>
      <c r="U27" s="27" t="e">
        <f t="shared" si="14"/>
        <v>#REF!</v>
      </c>
      <c r="V27" s="27"/>
      <c r="W27" s="26">
        <f t="shared" si="15"/>
        <v>222</v>
      </c>
      <c r="X27" s="26" t="e">
        <f t="shared" si="16"/>
        <v>#REF!</v>
      </c>
      <c r="Y27" s="27" t="e">
        <f t="shared" si="17"/>
        <v>#REF!</v>
      </c>
    </row>
    <row r="28" spans="1:25" ht="16.5" customHeight="1">
      <c r="A28" s="16" t="s">
        <v>65</v>
      </c>
      <c r="B28" s="16" t="s">
        <v>66</v>
      </c>
      <c r="C28" s="25">
        <f t="shared" si="0"/>
        <v>9</v>
      </c>
      <c r="D28" s="25" t="e">
        <f t="shared" si="1"/>
        <v>#REF!</v>
      </c>
      <c r="E28" s="27" t="e">
        <f t="shared" si="2"/>
        <v>#REF!</v>
      </c>
      <c r="F28" s="25"/>
      <c r="G28" s="25">
        <f t="shared" si="3"/>
        <v>134</v>
      </c>
      <c r="H28" s="25" t="e">
        <f t="shared" si="4"/>
        <v>#REF!</v>
      </c>
      <c r="I28" s="27" t="e">
        <f t="shared" si="5"/>
        <v>#REF!</v>
      </c>
      <c r="J28" s="25"/>
      <c r="K28" s="25">
        <f t="shared" si="6"/>
        <v>57</v>
      </c>
      <c r="L28" s="25" t="e">
        <f t="shared" si="7"/>
        <v>#REF!</v>
      </c>
      <c r="M28" s="27" t="e">
        <f t="shared" si="8"/>
        <v>#REF!</v>
      </c>
      <c r="N28" s="27"/>
      <c r="O28" s="26" t="str">
        <f t="shared" si="9"/>
        <v>Central</v>
      </c>
      <c r="P28" s="26" t="e">
        <f t="shared" si="10"/>
        <v>#REF!</v>
      </c>
      <c r="Q28" s="27" t="e">
        <f t="shared" si="11"/>
        <v>#VALUE!</v>
      </c>
      <c r="R28" s="27"/>
      <c r="S28" s="26">
        <f t="shared" si="12"/>
        <v>202</v>
      </c>
      <c r="T28" s="26" t="e">
        <f t="shared" si="13"/>
        <v>#REF!</v>
      </c>
      <c r="U28" s="27" t="e">
        <f t="shared" si="14"/>
        <v>#REF!</v>
      </c>
      <c r="V28" s="27"/>
      <c r="W28" s="26">
        <f t="shared" si="15"/>
        <v>69</v>
      </c>
      <c r="X28" s="26" t="e">
        <f t="shared" si="16"/>
        <v>#REF!</v>
      </c>
      <c r="Y28" s="27" t="e">
        <f t="shared" si="17"/>
        <v>#REF!</v>
      </c>
    </row>
    <row r="29" spans="1:25" ht="16.5" customHeight="1">
      <c r="A29" s="16" t="s">
        <v>69</v>
      </c>
      <c r="B29" s="16" t="s">
        <v>70</v>
      </c>
      <c r="C29" s="25">
        <f t="shared" si="0"/>
        <v>3</v>
      </c>
      <c r="D29" s="25" t="e">
        <f t="shared" si="1"/>
        <v>#REF!</v>
      </c>
      <c r="E29" s="27" t="e">
        <f t="shared" si="2"/>
        <v>#REF!</v>
      </c>
      <c r="F29" s="25"/>
      <c r="G29" s="25">
        <f t="shared" si="3"/>
        <v>193</v>
      </c>
      <c r="H29" s="25" t="e">
        <f t="shared" si="4"/>
        <v>#REF!</v>
      </c>
      <c r="I29" s="27" t="e">
        <f t="shared" si="5"/>
        <v>#REF!</v>
      </c>
      <c r="J29" s="25"/>
      <c r="K29" s="25">
        <f t="shared" si="6"/>
        <v>192</v>
      </c>
      <c r="L29" s="25" t="e">
        <f t="shared" si="7"/>
        <v>#REF!</v>
      </c>
      <c r="M29" s="27" t="e">
        <f t="shared" si="8"/>
        <v>#REF!</v>
      </c>
      <c r="N29" s="27"/>
      <c r="O29" s="26" t="str">
        <f t="shared" si="9"/>
        <v>Western</v>
      </c>
      <c r="P29" s="26" t="e">
        <f t="shared" si="10"/>
        <v>#REF!</v>
      </c>
      <c r="Q29" s="27" t="e">
        <f t="shared" si="11"/>
        <v>#VALUE!</v>
      </c>
      <c r="R29" s="27"/>
      <c r="S29" s="26">
        <f t="shared" si="12"/>
        <v>246</v>
      </c>
      <c r="T29" s="26" t="e">
        <f t="shared" si="13"/>
        <v>#REF!</v>
      </c>
      <c r="U29" s="27" t="e">
        <f t="shared" si="14"/>
        <v>#REF!</v>
      </c>
      <c r="V29" s="27"/>
      <c r="W29" s="26">
        <f t="shared" si="15"/>
        <v>240</v>
      </c>
      <c r="X29" s="26" t="e">
        <f t="shared" si="16"/>
        <v>#REF!</v>
      </c>
      <c r="Y29" s="27" t="e">
        <f t="shared" si="17"/>
        <v>#REF!</v>
      </c>
    </row>
    <row r="30" spans="1:25" ht="16.5" customHeight="1">
      <c r="A30" s="16" t="s">
        <v>71</v>
      </c>
      <c r="B30" s="16" t="s">
        <v>72</v>
      </c>
      <c r="C30" s="25">
        <f t="shared" si="0"/>
        <v>67</v>
      </c>
      <c r="D30" s="25" t="e">
        <f t="shared" si="1"/>
        <v>#REF!</v>
      </c>
      <c r="E30" s="27" t="e">
        <f t="shared" si="2"/>
        <v>#REF!</v>
      </c>
      <c r="F30" s="25"/>
      <c r="G30" s="25">
        <f t="shared" si="3"/>
        <v>253</v>
      </c>
      <c r="H30" s="25" t="e">
        <f t="shared" si="4"/>
        <v>#REF!</v>
      </c>
      <c r="I30" s="27" t="e">
        <f t="shared" si="5"/>
        <v>#REF!</v>
      </c>
      <c r="J30" s="25"/>
      <c r="K30" s="25">
        <f t="shared" si="6"/>
        <v>118</v>
      </c>
      <c r="L30" s="25" t="e">
        <f t="shared" si="7"/>
        <v>#REF!</v>
      </c>
      <c r="M30" s="27" t="e">
        <f t="shared" si="8"/>
        <v>#REF!</v>
      </c>
      <c r="N30" s="27"/>
      <c r="O30" s="26" t="str">
        <f t="shared" si="9"/>
        <v>Eastern</v>
      </c>
      <c r="P30" s="26" t="e">
        <f t="shared" si="10"/>
        <v>#REF!</v>
      </c>
      <c r="Q30" s="27" t="e">
        <f t="shared" si="11"/>
        <v>#VALUE!</v>
      </c>
      <c r="R30" s="27"/>
      <c r="S30" s="26">
        <f t="shared" si="12"/>
        <v>473</v>
      </c>
      <c r="T30" s="26" t="e">
        <f t="shared" si="13"/>
        <v>#REF!</v>
      </c>
      <c r="U30" s="27" t="e">
        <f t="shared" si="14"/>
        <v>#REF!</v>
      </c>
      <c r="V30" s="27"/>
      <c r="W30" s="26">
        <f t="shared" si="15"/>
        <v>189</v>
      </c>
      <c r="X30" s="26" t="e">
        <f t="shared" si="16"/>
        <v>#REF!</v>
      </c>
      <c r="Y30" s="27" t="e">
        <f t="shared" si="17"/>
        <v>#REF!</v>
      </c>
    </row>
    <row r="31" spans="1:25" ht="16.5" customHeight="1">
      <c r="A31" s="16" t="s">
        <v>73</v>
      </c>
      <c r="B31" s="16" t="s">
        <v>74</v>
      </c>
      <c r="C31" s="25">
        <f t="shared" si="0"/>
        <v>65</v>
      </c>
      <c r="D31" s="25" t="e">
        <f t="shared" si="1"/>
        <v>#REF!</v>
      </c>
      <c r="E31" s="27" t="e">
        <f t="shared" si="2"/>
        <v>#REF!</v>
      </c>
      <c r="F31" s="25"/>
      <c r="G31" s="25">
        <f t="shared" si="3"/>
        <v>178</v>
      </c>
      <c r="H31" s="25" t="e">
        <f t="shared" si="4"/>
        <v>#REF!</v>
      </c>
      <c r="I31" s="27" t="e">
        <f t="shared" si="5"/>
        <v>#REF!</v>
      </c>
      <c r="J31" s="25"/>
      <c r="K31" s="25">
        <f t="shared" si="6"/>
        <v>32</v>
      </c>
      <c r="L31" s="25" t="e">
        <f t="shared" si="7"/>
        <v>#REF!</v>
      </c>
      <c r="M31" s="27" t="e">
        <f t="shared" si="8"/>
        <v>#REF!</v>
      </c>
      <c r="N31" s="27"/>
      <c r="O31" s="26" t="str">
        <f t="shared" si="9"/>
        <v>Central</v>
      </c>
      <c r="P31" s="26" t="e">
        <f t="shared" si="10"/>
        <v>#REF!</v>
      </c>
      <c r="Q31" s="27" t="e">
        <f t="shared" si="11"/>
        <v>#VALUE!</v>
      </c>
      <c r="R31" s="27"/>
      <c r="S31" s="26">
        <f t="shared" si="12"/>
        <v>302</v>
      </c>
      <c r="T31" s="26" t="e">
        <f t="shared" si="13"/>
        <v>#REF!</v>
      </c>
      <c r="U31" s="27" t="e">
        <f t="shared" si="14"/>
        <v>#REF!</v>
      </c>
      <c r="V31" s="27"/>
      <c r="W31" s="26">
        <f t="shared" si="15"/>
        <v>53</v>
      </c>
      <c r="X31" s="26" t="e">
        <f t="shared" si="16"/>
        <v>#REF!</v>
      </c>
      <c r="Y31" s="27" t="e">
        <f t="shared" si="17"/>
        <v>#REF!</v>
      </c>
    </row>
    <row r="32" spans="1:25" ht="16.5" customHeight="1">
      <c r="A32" s="16" t="s">
        <v>75</v>
      </c>
      <c r="B32" s="16" t="s">
        <v>312</v>
      </c>
      <c r="C32" s="25">
        <f t="shared" si="0"/>
        <v>1417</v>
      </c>
      <c r="D32" s="25" t="e">
        <f t="shared" si="1"/>
        <v>#REF!</v>
      </c>
      <c r="E32" s="27" t="e">
        <f t="shared" si="2"/>
        <v>#REF!</v>
      </c>
      <c r="F32" s="25"/>
      <c r="G32" s="25">
        <f t="shared" si="3"/>
        <v>3382</v>
      </c>
      <c r="H32" s="25" t="e">
        <f t="shared" si="4"/>
        <v>#REF!</v>
      </c>
      <c r="I32" s="27" t="e">
        <f t="shared" si="5"/>
        <v>#REF!</v>
      </c>
      <c r="J32" s="25"/>
      <c r="K32" s="25">
        <f t="shared" si="6"/>
        <v>1337</v>
      </c>
      <c r="L32" s="25" t="e">
        <f t="shared" si="7"/>
        <v>#REF!</v>
      </c>
      <c r="M32" s="27" t="e">
        <f t="shared" si="8"/>
        <v>#REF!</v>
      </c>
      <c r="N32" s="27"/>
      <c r="O32" s="26" t="str">
        <f t="shared" si="9"/>
        <v>Northern</v>
      </c>
      <c r="P32" s="26" t="e">
        <f t="shared" si="10"/>
        <v>#REF!</v>
      </c>
      <c r="Q32" s="27" t="e">
        <f t="shared" si="11"/>
        <v>#VALUE!</v>
      </c>
      <c r="R32" s="27"/>
      <c r="S32" s="26">
        <f t="shared" si="12"/>
        <v>5252</v>
      </c>
      <c r="T32" s="26" t="e">
        <f t="shared" si="13"/>
        <v>#REF!</v>
      </c>
      <c r="U32" s="27" t="e">
        <f t="shared" si="14"/>
        <v>#REF!</v>
      </c>
      <c r="V32" s="27"/>
      <c r="W32" s="26">
        <f t="shared" si="15"/>
        <v>1837</v>
      </c>
      <c r="X32" s="26" t="e">
        <f t="shared" si="16"/>
        <v>#REF!</v>
      </c>
      <c r="Y32" s="27" t="e">
        <f t="shared" si="17"/>
        <v>#REF!</v>
      </c>
    </row>
    <row r="33" spans="1:25" ht="16.5" customHeight="1">
      <c r="A33" s="16" t="s">
        <v>77</v>
      </c>
      <c r="B33" s="16" t="s">
        <v>78</v>
      </c>
      <c r="C33" s="25">
        <f t="shared" si="0"/>
        <v>75</v>
      </c>
      <c r="D33" s="25" t="e">
        <f t="shared" si="1"/>
        <v>#REF!</v>
      </c>
      <c r="E33" s="27" t="e">
        <f t="shared" si="2"/>
        <v>#REF!</v>
      </c>
      <c r="F33" s="25"/>
      <c r="G33" s="25">
        <f t="shared" si="3"/>
        <v>241</v>
      </c>
      <c r="H33" s="25" t="e">
        <f t="shared" si="4"/>
        <v>#REF!</v>
      </c>
      <c r="I33" s="27" t="e">
        <f t="shared" si="5"/>
        <v>#REF!</v>
      </c>
      <c r="J33" s="25"/>
      <c r="K33" s="25">
        <f t="shared" si="6"/>
        <v>148</v>
      </c>
      <c r="L33" s="25" t="e">
        <f t="shared" si="7"/>
        <v>#REF!</v>
      </c>
      <c r="M33" s="27" t="e">
        <f t="shared" si="8"/>
        <v>#REF!</v>
      </c>
      <c r="N33" s="27"/>
      <c r="O33" s="26" t="str">
        <f t="shared" si="9"/>
        <v>Northern</v>
      </c>
      <c r="P33" s="26" t="e">
        <f t="shared" si="10"/>
        <v>#REF!</v>
      </c>
      <c r="Q33" s="27" t="e">
        <f t="shared" si="11"/>
        <v>#VALUE!</v>
      </c>
      <c r="R33" s="27"/>
      <c r="S33" s="26">
        <f t="shared" si="12"/>
        <v>389</v>
      </c>
      <c r="T33" s="26" t="e">
        <f t="shared" si="13"/>
        <v>#REF!</v>
      </c>
      <c r="U33" s="27" t="e">
        <f t="shared" si="14"/>
        <v>#REF!</v>
      </c>
      <c r="V33" s="27"/>
      <c r="W33" s="26">
        <f t="shared" si="15"/>
        <v>185</v>
      </c>
      <c r="X33" s="26" t="e">
        <f t="shared" si="16"/>
        <v>#REF!</v>
      </c>
      <c r="Y33" s="27" t="e">
        <f t="shared" si="17"/>
        <v>#REF!</v>
      </c>
    </row>
    <row r="34" spans="1:25" ht="16.5" customHeight="1">
      <c r="A34" s="16" t="s">
        <v>79</v>
      </c>
      <c r="B34" s="16" t="s">
        <v>80</v>
      </c>
      <c r="C34" s="25">
        <f t="shared" si="0"/>
        <v>14</v>
      </c>
      <c r="D34" s="25" t="e">
        <f t="shared" si="1"/>
        <v>#REF!</v>
      </c>
      <c r="E34" s="27" t="e">
        <f t="shared" si="2"/>
        <v>#REF!</v>
      </c>
      <c r="F34" s="25"/>
      <c r="G34" s="25">
        <f t="shared" si="3"/>
        <v>127</v>
      </c>
      <c r="H34" s="25" t="e">
        <f t="shared" si="4"/>
        <v>#REF!</v>
      </c>
      <c r="I34" s="27" t="e">
        <f t="shared" si="5"/>
        <v>#REF!</v>
      </c>
      <c r="J34" s="25"/>
      <c r="K34" s="25">
        <f t="shared" si="6"/>
        <v>109</v>
      </c>
      <c r="L34" s="25" t="e">
        <f t="shared" si="7"/>
        <v>#REF!</v>
      </c>
      <c r="M34" s="27" t="e">
        <f t="shared" si="8"/>
        <v>#REF!</v>
      </c>
      <c r="N34" s="27"/>
      <c r="O34" s="26" t="str">
        <f t="shared" si="9"/>
        <v>Western</v>
      </c>
      <c r="P34" s="26" t="e">
        <f t="shared" si="10"/>
        <v>#REF!</v>
      </c>
      <c r="Q34" s="27" t="e">
        <f t="shared" si="11"/>
        <v>#VALUE!</v>
      </c>
      <c r="R34" s="27"/>
      <c r="S34" s="26">
        <f t="shared" si="12"/>
        <v>209</v>
      </c>
      <c r="T34" s="26" t="e">
        <f t="shared" si="13"/>
        <v>#REF!</v>
      </c>
      <c r="U34" s="27" t="e">
        <f t="shared" si="14"/>
        <v>#REF!</v>
      </c>
      <c r="V34" s="27"/>
      <c r="W34" s="26">
        <f t="shared" si="15"/>
        <v>175</v>
      </c>
      <c r="X34" s="26" t="e">
        <f t="shared" si="16"/>
        <v>#REF!</v>
      </c>
      <c r="Y34" s="27" t="e">
        <f t="shared" si="17"/>
        <v>#REF!</v>
      </c>
    </row>
    <row r="35" spans="1:25" ht="16.5" customHeight="1">
      <c r="A35" s="16" t="s">
        <v>81</v>
      </c>
      <c r="B35" s="16" t="s">
        <v>82</v>
      </c>
      <c r="C35" s="25">
        <f t="shared" si="0"/>
        <v>8</v>
      </c>
      <c r="D35" s="25" t="e">
        <f t="shared" si="1"/>
        <v>#REF!</v>
      </c>
      <c r="E35" s="27" t="e">
        <f t="shared" si="2"/>
        <v>#REF!</v>
      </c>
      <c r="F35" s="25"/>
      <c r="G35" s="25">
        <f t="shared" si="3"/>
        <v>94</v>
      </c>
      <c r="H35" s="25" t="e">
        <f t="shared" si="4"/>
        <v>#REF!</v>
      </c>
      <c r="I35" s="27" t="e">
        <f t="shared" si="5"/>
        <v>#REF!</v>
      </c>
      <c r="J35" s="25"/>
      <c r="K35" s="25">
        <f t="shared" si="6"/>
        <v>52</v>
      </c>
      <c r="L35" s="25" t="e">
        <f t="shared" si="7"/>
        <v>#REF!</v>
      </c>
      <c r="M35" s="27" t="e">
        <f t="shared" si="8"/>
        <v>#REF!</v>
      </c>
      <c r="N35" s="27"/>
      <c r="O35" s="26" t="str">
        <f t="shared" si="9"/>
        <v>Central</v>
      </c>
      <c r="P35" s="26" t="e">
        <f t="shared" si="10"/>
        <v>#REF!</v>
      </c>
      <c r="Q35" s="27" t="e">
        <f t="shared" si="11"/>
        <v>#VALUE!</v>
      </c>
      <c r="R35" s="27"/>
      <c r="S35" s="26">
        <f t="shared" si="12"/>
        <v>192</v>
      </c>
      <c r="T35" s="26" t="e">
        <f t="shared" si="13"/>
        <v>#REF!</v>
      </c>
      <c r="U35" s="27" t="e">
        <f t="shared" si="14"/>
        <v>#REF!</v>
      </c>
      <c r="V35" s="27"/>
      <c r="W35" s="26">
        <f t="shared" si="15"/>
        <v>98</v>
      </c>
      <c r="X35" s="26" t="e">
        <f t="shared" si="16"/>
        <v>#REF!</v>
      </c>
      <c r="Y35" s="27" t="e">
        <f t="shared" si="17"/>
        <v>#REF!</v>
      </c>
    </row>
    <row r="36" spans="1:25" ht="16.5" customHeight="1">
      <c r="A36" s="16" t="s">
        <v>85</v>
      </c>
      <c r="B36" s="16" t="s">
        <v>330</v>
      </c>
      <c r="C36" s="25">
        <f t="shared" ref="C36:C67" si="18">VLOOKUP(A36,TANF_Demo,7,FALSE)</f>
        <v>116</v>
      </c>
      <c r="D36" s="25" t="e">
        <f t="shared" ref="D36:D67" si="19">VLOOKUP(A36,Pop,14,FALSE)</f>
        <v>#REF!</v>
      </c>
      <c r="E36" s="27" t="e">
        <f t="shared" ref="E36:E67" si="20">+C36/D36</f>
        <v>#REF!</v>
      </c>
      <c r="F36" s="25"/>
      <c r="G36" s="25">
        <f t="shared" ref="G36:G67" si="21">VLOOKUP(A36,TANF_Demo,8,FALSE)</f>
        <v>507</v>
      </c>
      <c r="H36" s="25" t="e">
        <f t="shared" ref="H36:H67" si="22">VLOOKUP(A36,Pop,15,FALSE)</f>
        <v>#REF!</v>
      </c>
      <c r="I36" s="27" t="e">
        <f t="shared" ref="I36:I67" si="23">+G36/H36</f>
        <v>#REF!</v>
      </c>
      <c r="J36" s="25"/>
      <c r="K36" s="25">
        <f t="shared" ref="K36:K67" si="24">VLOOKUP(A36,TANF_Demo,9,FALSE)</f>
        <v>402</v>
      </c>
      <c r="L36" s="25" t="e">
        <f t="shared" ref="L36:L67" si="25">VLOOKUP(A36,Pop,16,FALSE)</f>
        <v>#REF!</v>
      </c>
      <c r="M36" s="27" t="e">
        <f t="shared" ref="M36:M67" si="26">+K36/L36</f>
        <v>#REF!</v>
      </c>
      <c r="N36" s="27"/>
      <c r="O36" s="26" t="str">
        <f t="shared" ref="O36:O67" si="27">VLOOKUP(A36,TANF_Demo,3,FALSE)</f>
        <v>Piedmont</v>
      </c>
      <c r="P36" s="26" t="e">
        <f t="shared" ref="P36:P67" si="28">VLOOKUP(A36,Pop,8,FALSE)</f>
        <v>#REF!</v>
      </c>
      <c r="Q36" s="27" t="e">
        <f t="shared" ref="Q36:Q67" si="29">+O36/P36</f>
        <v>#VALUE!</v>
      </c>
      <c r="R36" s="27"/>
      <c r="S36" s="26">
        <f t="shared" ref="S36:S67" si="30">VLOOKUP(A36,TANF_Demo,4,FALSE)</f>
        <v>811</v>
      </c>
      <c r="T36" s="26" t="e">
        <f t="shared" ref="T36:T67" si="31">VLOOKUP(A36,Pop,9,FALSE)</f>
        <v>#REF!</v>
      </c>
      <c r="U36" s="27" t="e">
        <f t="shared" ref="U36:U67" si="32">+S36/T36</f>
        <v>#REF!</v>
      </c>
      <c r="V36" s="27"/>
      <c r="W36" s="26">
        <f t="shared" ref="W36:W67" si="33">VLOOKUP(A36,TANF_Demo,5,FALSE)</f>
        <v>567</v>
      </c>
      <c r="X36" s="26" t="e">
        <f t="shared" ref="X36:X67" si="34">VLOOKUP(A36,Pop,10,FALSE)</f>
        <v>#REF!</v>
      </c>
      <c r="Y36" s="27" t="e">
        <f t="shared" ref="Y36:Y67" si="35">+W36/X36</f>
        <v>#REF!</v>
      </c>
    </row>
    <row r="37" spans="1:25" ht="16.5" customHeight="1">
      <c r="A37" s="16" t="s">
        <v>87</v>
      </c>
      <c r="B37" s="16" t="s">
        <v>88</v>
      </c>
      <c r="C37" s="25">
        <f t="shared" si="18"/>
        <v>89</v>
      </c>
      <c r="D37" s="25" t="e">
        <f t="shared" si="19"/>
        <v>#REF!</v>
      </c>
      <c r="E37" s="27" t="e">
        <f t="shared" si="20"/>
        <v>#REF!</v>
      </c>
      <c r="F37" s="25"/>
      <c r="G37" s="25">
        <f t="shared" si="21"/>
        <v>391</v>
      </c>
      <c r="H37" s="25" t="e">
        <f t="shared" si="22"/>
        <v>#REF!</v>
      </c>
      <c r="I37" s="27" t="e">
        <f t="shared" si="23"/>
        <v>#REF!</v>
      </c>
      <c r="J37" s="25"/>
      <c r="K37" s="25">
        <f t="shared" si="24"/>
        <v>323</v>
      </c>
      <c r="L37" s="25" t="e">
        <f t="shared" si="25"/>
        <v>#REF!</v>
      </c>
      <c r="M37" s="27" t="e">
        <f t="shared" si="26"/>
        <v>#REF!</v>
      </c>
      <c r="N37" s="27"/>
      <c r="O37" s="26" t="str">
        <f t="shared" si="27"/>
        <v>Northern</v>
      </c>
      <c r="P37" s="26" t="e">
        <f t="shared" si="28"/>
        <v>#REF!</v>
      </c>
      <c r="Q37" s="27" t="e">
        <f t="shared" si="29"/>
        <v>#VALUE!</v>
      </c>
      <c r="R37" s="27"/>
      <c r="S37" s="26">
        <f t="shared" si="30"/>
        <v>657</v>
      </c>
      <c r="T37" s="26" t="e">
        <f t="shared" si="31"/>
        <v>#REF!</v>
      </c>
      <c r="U37" s="27" t="e">
        <f t="shared" si="32"/>
        <v>#REF!</v>
      </c>
      <c r="V37" s="27"/>
      <c r="W37" s="26">
        <f t="shared" si="33"/>
        <v>489</v>
      </c>
      <c r="X37" s="26" t="e">
        <f t="shared" si="34"/>
        <v>#REF!</v>
      </c>
      <c r="Y37" s="27" t="e">
        <f t="shared" si="35"/>
        <v>#REF!</v>
      </c>
    </row>
    <row r="38" spans="1:25" ht="16.5" customHeight="1">
      <c r="A38" s="16" t="s">
        <v>93</v>
      </c>
      <c r="B38" s="16" t="s">
        <v>94</v>
      </c>
      <c r="C38" s="25">
        <f t="shared" si="18"/>
        <v>8</v>
      </c>
      <c r="D38" s="25" t="e">
        <f t="shared" si="19"/>
        <v>#REF!</v>
      </c>
      <c r="E38" s="27" t="e">
        <f t="shared" si="20"/>
        <v>#REF!</v>
      </c>
      <c r="F38" s="25"/>
      <c r="G38" s="25">
        <f t="shared" si="21"/>
        <v>101</v>
      </c>
      <c r="H38" s="25" t="e">
        <f t="shared" si="22"/>
        <v>#REF!</v>
      </c>
      <c r="I38" s="27" t="e">
        <f t="shared" si="23"/>
        <v>#REF!</v>
      </c>
      <c r="J38" s="25"/>
      <c r="K38" s="25">
        <f t="shared" si="24"/>
        <v>95</v>
      </c>
      <c r="L38" s="25" t="e">
        <f t="shared" si="25"/>
        <v>#REF!</v>
      </c>
      <c r="M38" s="27" t="e">
        <f t="shared" si="26"/>
        <v>#REF!</v>
      </c>
      <c r="N38" s="27"/>
      <c r="O38" s="26" t="str">
        <f t="shared" si="27"/>
        <v>Western</v>
      </c>
      <c r="P38" s="26" t="e">
        <f t="shared" si="28"/>
        <v>#REF!</v>
      </c>
      <c r="Q38" s="27" t="e">
        <f t="shared" si="29"/>
        <v>#VALUE!</v>
      </c>
      <c r="R38" s="27"/>
      <c r="S38" s="26">
        <f t="shared" si="30"/>
        <v>183</v>
      </c>
      <c r="T38" s="26" t="e">
        <f t="shared" si="31"/>
        <v>#REF!</v>
      </c>
      <c r="U38" s="27" t="e">
        <f t="shared" si="32"/>
        <v>#REF!</v>
      </c>
      <c r="V38" s="27"/>
      <c r="W38" s="26">
        <f t="shared" si="33"/>
        <v>172</v>
      </c>
      <c r="X38" s="26" t="e">
        <f t="shared" si="34"/>
        <v>#REF!</v>
      </c>
      <c r="Y38" s="27" t="e">
        <f t="shared" si="35"/>
        <v>#REF!</v>
      </c>
    </row>
    <row r="39" spans="1:25" ht="16.5" customHeight="1">
      <c r="A39" s="16" t="s">
        <v>95</v>
      </c>
      <c r="B39" s="16" t="s">
        <v>96</v>
      </c>
      <c r="C39" s="25">
        <f t="shared" si="18"/>
        <v>18</v>
      </c>
      <c r="D39" s="25" t="e">
        <f t="shared" si="19"/>
        <v>#REF!</v>
      </c>
      <c r="E39" s="27" t="e">
        <f t="shared" si="20"/>
        <v>#REF!</v>
      </c>
      <c r="F39" s="25"/>
      <c r="G39" s="25">
        <f t="shared" si="21"/>
        <v>195</v>
      </c>
      <c r="H39" s="25" t="e">
        <f t="shared" si="22"/>
        <v>#REF!</v>
      </c>
      <c r="I39" s="27" t="e">
        <f t="shared" si="23"/>
        <v>#REF!</v>
      </c>
      <c r="J39" s="25"/>
      <c r="K39" s="25">
        <f t="shared" si="24"/>
        <v>152</v>
      </c>
      <c r="L39" s="25" t="e">
        <f t="shared" si="25"/>
        <v>#REF!</v>
      </c>
      <c r="M39" s="27" t="e">
        <f t="shared" si="26"/>
        <v>#REF!</v>
      </c>
      <c r="N39" s="27"/>
      <c r="O39" s="26" t="str">
        <f t="shared" si="27"/>
        <v>Eastern</v>
      </c>
      <c r="P39" s="26" t="e">
        <f t="shared" si="28"/>
        <v>#REF!</v>
      </c>
      <c r="Q39" s="27" t="e">
        <f t="shared" si="29"/>
        <v>#VALUE!</v>
      </c>
      <c r="R39" s="27"/>
      <c r="S39" s="26">
        <f t="shared" si="30"/>
        <v>348</v>
      </c>
      <c r="T39" s="26" t="e">
        <f t="shared" si="31"/>
        <v>#REF!</v>
      </c>
      <c r="U39" s="27" t="e">
        <f t="shared" si="32"/>
        <v>#REF!</v>
      </c>
      <c r="V39" s="27"/>
      <c r="W39" s="26">
        <f t="shared" si="33"/>
        <v>237</v>
      </c>
      <c r="X39" s="26" t="e">
        <f t="shared" si="34"/>
        <v>#REF!</v>
      </c>
      <c r="Y39" s="27" t="e">
        <f t="shared" si="35"/>
        <v>#REF!</v>
      </c>
    </row>
    <row r="40" spans="1:25" ht="16.5" customHeight="1">
      <c r="A40" s="16" t="s">
        <v>97</v>
      </c>
      <c r="B40" s="16" t="s">
        <v>98</v>
      </c>
      <c r="C40" s="25">
        <f t="shared" si="18"/>
        <v>6</v>
      </c>
      <c r="D40" s="25" t="e">
        <f t="shared" si="19"/>
        <v>#REF!</v>
      </c>
      <c r="E40" s="27" t="e">
        <f t="shared" si="20"/>
        <v>#REF!</v>
      </c>
      <c r="F40" s="25"/>
      <c r="G40" s="25">
        <f t="shared" si="21"/>
        <v>86</v>
      </c>
      <c r="H40" s="25" t="e">
        <f t="shared" si="22"/>
        <v>#REF!</v>
      </c>
      <c r="I40" s="27" t="e">
        <f t="shared" si="23"/>
        <v>#REF!</v>
      </c>
      <c r="J40" s="25"/>
      <c r="K40" s="25">
        <f t="shared" si="24"/>
        <v>35</v>
      </c>
      <c r="L40" s="25" t="e">
        <f t="shared" si="25"/>
        <v>#REF!</v>
      </c>
      <c r="M40" s="27" t="e">
        <f t="shared" si="26"/>
        <v>#REF!</v>
      </c>
      <c r="N40" s="27"/>
      <c r="O40" s="26" t="str">
        <f t="shared" si="27"/>
        <v>Central</v>
      </c>
      <c r="P40" s="26" t="e">
        <f t="shared" si="28"/>
        <v>#REF!</v>
      </c>
      <c r="Q40" s="27" t="e">
        <f t="shared" si="29"/>
        <v>#VALUE!</v>
      </c>
      <c r="R40" s="27"/>
      <c r="S40" s="26">
        <f t="shared" si="30"/>
        <v>144</v>
      </c>
      <c r="T40" s="26" t="e">
        <f t="shared" si="31"/>
        <v>#REF!</v>
      </c>
      <c r="U40" s="27" t="e">
        <f t="shared" si="32"/>
        <v>#REF!</v>
      </c>
      <c r="V40" s="27"/>
      <c r="W40" s="26">
        <f t="shared" si="33"/>
        <v>59</v>
      </c>
      <c r="X40" s="26" t="e">
        <f t="shared" si="34"/>
        <v>#REF!</v>
      </c>
      <c r="Y40" s="27" t="e">
        <f t="shared" si="35"/>
        <v>#REF!</v>
      </c>
    </row>
    <row r="41" spans="1:25" ht="16.5" customHeight="1">
      <c r="A41" s="16" t="s">
        <v>99</v>
      </c>
      <c r="B41" s="16" t="s">
        <v>100</v>
      </c>
      <c r="C41" s="25">
        <f t="shared" si="18"/>
        <v>2</v>
      </c>
      <c r="D41" s="25" t="e">
        <f t="shared" si="19"/>
        <v>#REF!</v>
      </c>
      <c r="E41" s="27" t="e">
        <f t="shared" si="20"/>
        <v>#REF!</v>
      </c>
      <c r="F41" s="25"/>
      <c r="G41" s="25">
        <f t="shared" si="21"/>
        <v>105</v>
      </c>
      <c r="H41" s="25" t="e">
        <f t="shared" si="22"/>
        <v>#REF!</v>
      </c>
      <c r="I41" s="27" t="e">
        <f t="shared" si="23"/>
        <v>#REF!</v>
      </c>
      <c r="J41" s="25"/>
      <c r="K41" s="25">
        <f t="shared" si="24"/>
        <v>99</v>
      </c>
      <c r="L41" s="25" t="e">
        <f t="shared" si="25"/>
        <v>#REF!</v>
      </c>
      <c r="M41" s="27" t="e">
        <f t="shared" si="26"/>
        <v>#REF!</v>
      </c>
      <c r="N41" s="27"/>
      <c r="O41" s="26" t="str">
        <f t="shared" si="27"/>
        <v>Western</v>
      </c>
      <c r="P41" s="26" t="e">
        <f t="shared" si="28"/>
        <v>#REF!</v>
      </c>
      <c r="Q41" s="27" t="e">
        <f t="shared" si="29"/>
        <v>#VALUE!</v>
      </c>
      <c r="R41" s="27"/>
      <c r="S41" s="26">
        <f t="shared" si="30"/>
        <v>158</v>
      </c>
      <c r="T41" s="26" t="e">
        <f t="shared" si="31"/>
        <v>#REF!</v>
      </c>
      <c r="U41" s="27" t="e">
        <f t="shared" si="32"/>
        <v>#REF!</v>
      </c>
      <c r="V41" s="27"/>
      <c r="W41" s="26">
        <f t="shared" si="33"/>
        <v>140</v>
      </c>
      <c r="X41" s="26" t="e">
        <f t="shared" si="34"/>
        <v>#REF!</v>
      </c>
      <c r="Y41" s="27" t="e">
        <f t="shared" si="35"/>
        <v>#REF!</v>
      </c>
    </row>
    <row r="42" spans="1:25" ht="16.5" customHeight="1">
      <c r="A42" s="16" t="s">
        <v>101</v>
      </c>
      <c r="B42" s="16" t="s">
        <v>102</v>
      </c>
      <c r="C42" s="25">
        <f t="shared" si="18"/>
        <v>33</v>
      </c>
      <c r="D42" s="25" t="e">
        <f t="shared" si="19"/>
        <v>#REF!</v>
      </c>
      <c r="E42" s="27" t="e">
        <f t="shared" si="20"/>
        <v>#REF!</v>
      </c>
      <c r="F42" s="25"/>
      <c r="G42" s="25">
        <f t="shared" si="21"/>
        <v>108</v>
      </c>
      <c r="H42" s="25" t="e">
        <f t="shared" si="22"/>
        <v>#REF!</v>
      </c>
      <c r="I42" s="27" t="e">
        <f t="shared" si="23"/>
        <v>#REF!</v>
      </c>
      <c r="J42" s="25"/>
      <c r="K42" s="25">
        <f t="shared" si="24"/>
        <v>74</v>
      </c>
      <c r="L42" s="25" t="e">
        <f t="shared" si="25"/>
        <v>#REF!</v>
      </c>
      <c r="M42" s="27" t="e">
        <f t="shared" si="26"/>
        <v>#REF!</v>
      </c>
      <c r="N42" s="27"/>
      <c r="O42" s="26" t="str">
        <f t="shared" si="27"/>
        <v>Northern</v>
      </c>
      <c r="P42" s="26" t="e">
        <f t="shared" si="28"/>
        <v>#REF!</v>
      </c>
      <c r="Q42" s="27" t="e">
        <f t="shared" si="29"/>
        <v>#VALUE!</v>
      </c>
      <c r="R42" s="27"/>
      <c r="S42" s="26">
        <f t="shared" si="30"/>
        <v>178</v>
      </c>
      <c r="T42" s="26" t="e">
        <f t="shared" si="31"/>
        <v>#REF!</v>
      </c>
      <c r="U42" s="27" t="e">
        <f t="shared" si="32"/>
        <v>#REF!</v>
      </c>
      <c r="V42" s="27"/>
      <c r="W42" s="26">
        <f t="shared" si="33"/>
        <v>111</v>
      </c>
      <c r="X42" s="26" t="e">
        <f t="shared" si="34"/>
        <v>#REF!</v>
      </c>
      <c r="Y42" s="27" t="e">
        <f t="shared" si="35"/>
        <v>#REF!</v>
      </c>
    </row>
    <row r="43" spans="1:25" ht="16.5" customHeight="1">
      <c r="A43" s="16" t="s">
        <v>103</v>
      </c>
      <c r="B43" s="16" t="s">
        <v>104</v>
      </c>
      <c r="C43" s="25">
        <f t="shared" si="18"/>
        <v>17</v>
      </c>
      <c r="D43" s="25" t="e">
        <f t="shared" si="19"/>
        <v>#REF!</v>
      </c>
      <c r="E43" s="27" t="e">
        <f t="shared" si="20"/>
        <v>#REF!</v>
      </c>
      <c r="F43" s="25"/>
      <c r="G43" s="25">
        <f t="shared" si="21"/>
        <v>269</v>
      </c>
      <c r="H43" s="25" t="e">
        <f t="shared" si="22"/>
        <v>#REF!</v>
      </c>
      <c r="I43" s="27" t="e">
        <f t="shared" si="23"/>
        <v>#REF!</v>
      </c>
      <c r="J43" s="25"/>
      <c r="K43" s="25">
        <f t="shared" si="24"/>
        <v>23</v>
      </c>
      <c r="L43" s="25" t="e">
        <f t="shared" si="25"/>
        <v>#REF!</v>
      </c>
      <c r="M43" s="27" t="e">
        <f t="shared" si="26"/>
        <v>#REF!</v>
      </c>
      <c r="N43" s="27"/>
      <c r="O43" s="26" t="str">
        <f t="shared" si="27"/>
        <v>Eastern</v>
      </c>
      <c r="P43" s="26" t="e">
        <f t="shared" si="28"/>
        <v>#REF!</v>
      </c>
      <c r="Q43" s="27" t="e">
        <f t="shared" si="29"/>
        <v>#VALUE!</v>
      </c>
      <c r="R43" s="27"/>
      <c r="S43" s="26">
        <f t="shared" si="30"/>
        <v>534</v>
      </c>
      <c r="T43" s="26" t="e">
        <f t="shared" si="31"/>
        <v>#REF!</v>
      </c>
      <c r="U43" s="27" t="e">
        <f t="shared" si="32"/>
        <v>#REF!</v>
      </c>
      <c r="V43" s="27"/>
      <c r="W43" s="26">
        <f t="shared" si="33"/>
        <v>28</v>
      </c>
      <c r="X43" s="26" t="e">
        <f t="shared" si="34"/>
        <v>#REF!</v>
      </c>
      <c r="Y43" s="27" t="e">
        <f t="shared" si="35"/>
        <v>#REF!</v>
      </c>
    </row>
    <row r="44" spans="1:25" ht="16.5" customHeight="1">
      <c r="A44" s="16" t="s">
        <v>105</v>
      </c>
      <c r="B44" s="16" t="s">
        <v>331</v>
      </c>
      <c r="C44" s="25">
        <f t="shared" si="18"/>
        <v>86</v>
      </c>
      <c r="D44" s="25" t="e">
        <f t="shared" si="19"/>
        <v>#REF!</v>
      </c>
      <c r="E44" s="27" t="e">
        <f t="shared" si="20"/>
        <v>#REF!</v>
      </c>
      <c r="F44" s="25"/>
      <c r="G44" s="25">
        <f t="shared" si="21"/>
        <v>425</v>
      </c>
      <c r="H44" s="25" t="e">
        <f t="shared" si="22"/>
        <v>#REF!</v>
      </c>
      <c r="I44" s="27" t="e">
        <f t="shared" si="23"/>
        <v>#REF!</v>
      </c>
      <c r="J44" s="25"/>
      <c r="K44" s="25">
        <f t="shared" si="24"/>
        <v>132</v>
      </c>
      <c r="L44" s="25" t="e">
        <f t="shared" si="25"/>
        <v>#REF!</v>
      </c>
      <c r="M44" s="27" t="e">
        <f t="shared" si="26"/>
        <v>#REF!</v>
      </c>
      <c r="N44" s="27"/>
      <c r="O44" s="26" t="str">
        <f t="shared" si="27"/>
        <v>Piedmont</v>
      </c>
      <c r="P44" s="26" t="e">
        <f t="shared" si="28"/>
        <v>#REF!</v>
      </c>
      <c r="Q44" s="27" t="e">
        <f t="shared" si="29"/>
        <v>#VALUE!</v>
      </c>
      <c r="R44" s="27"/>
      <c r="S44" s="26">
        <f t="shared" si="30"/>
        <v>722</v>
      </c>
      <c r="T44" s="26" t="e">
        <f t="shared" si="31"/>
        <v>#REF!</v>
      </c>
      <c r="U44" s="27" t="e">
        <f t="shared" si="32"/>
        <v>#REF!</v>
      </c>
      <c r="V44" s="27"/>
      <c r="W44" s="26">
        <f t="shared" si="33"/>
        <v>166</v>
      </c>
      <c r="X44" s="26" t="e">
        <f t="shared" si="34"/>
        <v>#REF!</v>
      </c>
      <c r="Y44" s="27" t="e">
        <f t="shared" si="35"/>
        <v>#REF!</v>
      </c>
    </row>
    <row r="45" spans="1:25" ht="16.5" customHeight="1">
      <c r="A45" s="16" t="s">
        <v>109</v>
      </c>
      <c r="B45" s="16" t="s">
        <v>110</v>
      </c>
      <c r="C45" s="25">
        <f t="shared" si="18"/>
        <v>79</v>
      </c>
      <c r="D45" s="25" t="e">
        <f t="shared" si="19"/>
        <v>#REF!</v>
      </c>
      <c r="E45" s="27" t="e">
        <f t="shared" si="20"/>
        <v>#REF!</v>
      </c>
      <c r="F45" s="25"/>
      <c r="G45" s="25">
        <f t="shared" si="21"/>
        <v>319</v>
      </c>
      <c r="H45" s="25" t="e">
        <f t="shared" si="22"/>
        <v>#REF!</v>
      </c>
      <c r="I45" s="27" t="e">
        <f t="shared" si="23"/>
        <v>#REF!</v>
      </c>
      <c r="J45" s="25"/>
      <c r="K45" s="25">
        <f t="shared" si="24"/>
        <v>188</v>
      </c>
      <c r="L45" s="25" t="e">
        <f t="shared" si="25"/>
        <v>#REF!</v>
      </c>
      <c r="M45" s="27" t="e">
        <f t="shared" si="26"/>
        <v>#REF!</v>
      </c>
      <c r="N45" s="27"/>
      <c r="O45" s="26" t="str">
        <f t="shared" si="27"/>
        <v>Central</v>
      </c>
      <c r="P45" s="26" t="e">
        <f t="shared" si="28"/>
        <v>#REF!</v>
      </c>
      <c r="Q45" s="27" t="e">
        <f t="shared" si="29"/>
        <v>#VALUE!</v>
      </c>
      <c r="R45" s="27"/>
      <c r="S45" s="26">
        <f t="shared" si="30"/>
        <v>515</v>
      </c>
      <c r="T45" s="26" t="e">
        <f t="shared" si="31"/>
        <v>#REF!</v>
      </c>
      <c r="U45" s="27" t="e">
        <f t="shared" si="32"/>
        <v>#REF!</v>
      </c>
      <c r="V45" s="27"/>
      <c r="W45" s="26">
        <f t="shared" si="33"/>
        <v>256</v>
      </c>
      <c r="X45" s="26" t="e">
        <f t="shared" si="34"/>
        <v>#REF!</v>
      </c>
      <c r="Y45" s="27" t="e">
        <f t="shared" si="35"/>
        <v>#REF!</v>
      </c>
    </row>
    <row r="46" spans="1:25" ht="16.5" customHeight="1">
      <c r="A46" s="16" t="s">
        <v>111</v>
      </c>
      <c r="B46" s="16" t="s">
        <v>112</v>
      </c>
      <c r="C46" s="25">
        <f t="shared" si="18"/>
        <v>1006</v>
      </c>
      <c r="D46" s="25" t="e">
        <f t="shared" si="19"/>
        <v>#REF!</v>
      </c>
      <c r="E46" s="27" t="e">
        <f t="shared" si="20"/>
        <v>#REF!</v>
      </c>
      <c r="F46" s="25"/>
      <c r="G46" s="25">
        <f t="shared" si="21"/>
        <v>2862</v>
      </c>
      <c r="H46" s="25" t="e">
        <f t="shared" si="22"/>
        <v>#REF!</v>
      </c>
      <c r="I46" s="27" t="e">
        <f t="shared" si="23"/>
        <v>#REF!</v>
      </c>
      <c r="J46" s="25"/>
      <c r="K46" s="25">
        <f t="shared" si="24"/>
        <v>529</v>
      </c>
      <c r="L46" s="25" t="e">
        <f t="shared" si="25"/>
        <v>#REF!</v>
      </c>
      <c r="M46" s="27" t="e">
        <f t="shared" si="26"/>
        <v>#REF!</v>
      </c>
      <c r="N46" s="27"/>
      <c r="O46" s="26" t="str">
        <f t="shared" si="27"/>
        <v>Central</v>
      </c>
      <c r="P46" s="26" t="e">
        <f t="shared" si="28"/>
        <v>#REF!</v>
      </c>
      <c r="Q46" s="27" t="e">
        <f t="shared" si="29"/>
        <v>#VALUE!</v>
      </c>
      <c r="R46" s="27"/>
      <c r="S46" s="26">
        <f t="shared" si="30"/>
        <v>4868</v>
      </c>
      <c r="T46" s="26" t="e">
        <f t="shared" si="31"/>
        <v>#REF!</v>
      </c>
      <c r="U46" s="27" t="e">
        <f t="shared" si="32"/>
        <v>#REF!</v>
      </c>
      <c r="V46" s="27"/>
      <c r="W46" s="26">
        <f t="shared" si="33"/>
        <v>724</v>
      </c>
      <c r="X46" s="26" t="e">
        <f t="shared" si="34"/>
        <v>#REF!</v>
      </c>
      <c r="Y46" s="27" t="e">
        <f t="shared" si="35"/>
        <v>#REF!</v>
      </c>
    </row>
    <row r="47" spans="1:25" ht="16.5" customHeight="1">
      <c r="A47" s="16" t="s">
        <v>113</v>
      </c>
      <c r="B47" s="16" t="s">
        <v>310</v>
      </c>
      <c r="C47" s="25">
        <f t="shared" si="18"/>
        <v>244</v>
      </c>
      <c r="D47" s="25" t="e">
        <f t="shared" si="19"/>
        <v>#REF!</v>
      </c>
      <c r="E47" s="27" t="e">
        <f t="shared" si="20"/>
        <v>#REF!</v>
      </c>
      <c r="F47" s="25"/>
      <c r="G47" s="25">
        <f t="shared" si="21"/>
        <v>988</v>
      </c>
      <c r="H47" s="25" t="e">
        <f t="shared" si="22"/>
        <v>#REF!</v>
      </c>
      <c r="I47" s="27" t="e">
        <f t="shared" si="23"/>
        <v>#REF!</v>
      </c>
      <c r="J47" s="25"/>
      <c r="K47" s="25">
        <f t="shared" si="24"/>
        <v>431</v>
      </c>
      <c r="L47" s="25" t="e">
        <f t="shared" si="25"/>
        <v>#REF!</v>
      </c>
      <c r="M47" s="27" t="e">
        <f t="shared" si="26"/>
        <v>#REF!</v>
      </c>
      <c r="N47" s="27"/>
      <c r="O47" s="26" t="str">
        <f t="shared" si="27"/>
        <v>Piedmont</v>
      </c>
      <c r="P47" s="26" t="e">
        <f t="shared" si="28"/>
        <v>#REF!</v>
      </c>
      <c r="Q47" s="27" t="e">
        <f t="shared" si="29"/>
        <v>#VALUE!</v>
      </c>
      <c r="R47" s="27"/>
      <c r="S47" s="26">
        <f t="shared" si="30"/>
        <v>1631</v>
      </c>
      <c r="T47" s="26" t="e">
        <f t="shared" si="31"/>
        <v>#REF!</v>
      </c>
      <c r="U47" s="27" t="e">
        <f t="shared" si="32"/>
        <v>#REF!</v>
      </c>
      <c r="V47" s="27"/>
      <c r="W47" s="26">
        <f t="shared" si="33"/>
        <v>612</v>
      </c>
      <c r="X47" s="26" t="e">
        <f t="shared" si="34"/>
        <v>#REF!</v>
      </c>
      <c r="Y47" s="27" t="e">
        <f t="shared" si="35"/>
        <v>#REF!</v>
      </c>
    </row>
    <row r="48" spans="1:25" ht="16.5" customHeight="1">
      <c r="A48" s="16" t="s">
        <v>115</v>
      </c>
      <c r="B48" s="16" t="s">
        <v>116</v>
      </c>
      <c r="C48" s="25">
        <f t="shared" si="18"/>
        <v>1</v>
      </c>
      <c r="D48" s="25" t="e">
        <f t="shared" si="19"/>
        <v>#REF!</v>
      </c>
      <c r="E48" s="27" t="e">
        <f t="shared" si="20"/>
        <v>#REF!</v>
      </c>
      <c r="F48" s="25"/>
      <c r="G48" s="25">
        <f t="shared" si="21"/>
        <v>3</v>
      </c>
      <c r="H48" s="25" t="e">
        <f t="shared" si="22"/>
        <v>#REF!</v>
      </c>
      <c r="I48" s="27" t="e">
        <f t="shared" si="23"/>
        <v>#REF!</v>
      </c>
      <c r="J48" s="25"/>
      <c r="K48" s="25">
        <f t="shared" si="24"/>
        <v>2</v>
      </c>
      <c r="L48" s="25" t="e">
        <f t="shared" si="25"/>
        <v>#REF!</v>
      </c>
      <c r="M48" s="27" t="e">
        <f t="shared" si="26"/>
        <v>#REF!</v>
      </c>
      <c r="N48" s="27"/>
      <c r="O48" s="26" t="str">
        <f t="shared" si="27"/>
        <v>Piedmont</v>
      </c>
      <c r="P48" s="26" t="e">
        <f t="shared" si="28"/>
        <v>#REF!</v>
      </c>
      <c r="Q48" s="27" t="e">
        <f t="shared" si="29"/>
        <v>#VALUE!</v>
      </c>
      <c r="R48" s="27"/>
      <c r="S48" s="26">
        <f t="shared" si="30"/>
        <v>5</v>
      </c>
      <c r="T48" s="26" t="e">
        <f t="shared" si="31"/>
        <v>#REF!</v>
      </c>
      <c r="U48" s="27" t="e">
        <f t="shared" si="32"/>
        <v>#REF!</v>
      </c>
      <c r="V48" s="27"/>
      <c r="W48" s="26">
        <f t="shared" si="33"/>
        <v>4</v>
      </c>
      <c r="X48" s="26" t="e">
        <f t="shared" si="34"/>
        <v>#REF!</v>
      </c>
      <c r="Y48" s="27" t="e">
        <f t="shared" si="35"/>
        <v>#REF!</v>
      </c>
    </row>
    <row r="49" spans="1:25" ht="16.5" customHeight="1">
      <c r="A49" s="16" t="s">
        <v>119</v>
      </c>
      <c r="B49" s="16" t="s">
        <v>120</v>
      </c>
      <c r="C49" s="25">
        <f t="shared" si="18"/>
        <v>51</v>
      </c>
      <c r="D49" s="25" t="e">
        <f t="shared" si="19"/>
        <v>#REF!</v>
      </c>
      <c r="E49" s="27" t="e">
        <f t="shared" si="20"/>
        <v>#REF!</v>
      </c>
      <c r="F49" s="25"/>
      <c r="G49" s="25">
        <f t="shared" si="21"/>
        <v>264</v>
      </c>
      <c r="H49" s="25" t="e">
        <f t="shared" si="22"/>
        <v>#REF!</v>
      </c>
      <c r="I49" s="27" t="e">
        <f t="shared" si="23"/>
        <v>#REF!</v>
      </c>
      <c r="J49" s="25"/>
      <c r="K49" s="25">
        <f t="shared" si="24"/>
        <v>103</v>
      </c>
      <c r="L49" s="25" t="e">
        <f t="shared" si="25"/>
        <v>#REF!</v>
      </c>
      <c r="M49" s="27" t="e">
        <f t="shared" si="26"/>
        <v>#REF!</v>
      </c>
      <c r="N49" s="27"/>
      <c r="O49" s="26" t="str">
        <f t="shared" si="27"/>
        <v>Eastern</v>
      </c>
      <c r="P49" s="26" t="e">
        <f t="shared" si="28"/>
        <v>#REF!</v>
      </c>
      <c r="Q49" s="27" t="e">
        <f t="shared" si="29"/>
        <v>#VALUE!</v>
      </c>
      <c r="R49" s="27"/>
      <c r="S49" s="26">
        <f t="shared" si="30"/>
        <v>443</v>
      </c>
      <c r="T49" s="26" t="e">
        <f t="shared" si="31"/>
        <v>#REF!</v>
      </c>
      <c r="U49" s="27" t="e">
        <f t="shared" si="32"/>
        <v>#REF!</v>
      </c>
      <c r="V49" s="27"/>
      <c r="W49" s="26">
        <f t="shared" si="33"/>
        <v>123</v>
      </c>
      <c r="X49" s="26" t="e">
        <f t="shared" si="34"/>
        <v>#REF!</v>
      </c>
      <c r="Y49" s="27" t="e">
        <f t="shared" si="35"/>
        <v>#REF!</v>
      </c>
    </row>
    <row r="50" spans="1:25" ht="16.5" customHeight="1">
      <c r="A50" s="16" t="s">
        <v>121</v>
      </c>
      <c r="B50" s="16" t="s">
        <v>122</v>
      </c>
      <c r="C50" s="25">
        <f t="shared" si="18"/>
        <v>85</v>
      </c>
      <c r="D50" s="25" t="e">
        <f t="shared" si="19"/>
        <v>#REF!</v>
      </c>
      <c r="E50" s="27" t="e">
        <f t="shared" si="20"/>
        <v>#REF!</v>
      </c>
      <c r="F50" s="25"/>
      <c r="G50" s="25">
        <f t="shared" si="21"/>
        <v>313</v>
      </c>
      <c r="H50" s="25" t="e">
        <f t="shared" si="22"/>
        <v>#REF!</v>
      </c>
      <c r="I50" s="27" t="e">
        <f t="shared" si="23"/>
        <v>#REF!</v>
      </c>
      <c r="J50" s="25"/>
      <c r="K50" s="25">
        <f t="shared" si="24"/>
        <v>136</v>
      </c>
      <c r="L50" s="25" t="e">
        <f t="shared" si="25"/>
        <v>#REF!</v>
      </c>
      <c r="M50" s="27" t="e">
        <f t="shared" si="26"/>
        <v>#REF!</v>
      </c>
      <c r="N50" s="27"/>
      <c r="O50" s="26" t="str">
        <f t="shared" si="27"/>
        <v>Eastern</v>
      </c>
      <c r="P50" s="26" t="e">
        <f t="shared" si="28"/>
        <v>#REF!</v>
      </c>
      <c r="Q50" s="27" t="e">
        <f t="shared" si="29"/>
        <v>#VALUE!</v>
      </c>
      <c r="R50" s="27"/>
      <c r="S50" s="26">
        <f t="shared" si="30"/>
        <v>523</v>
      </c>
      <c r="T50" s="26" t="e">
        <f t="shared" si="31"/>
        <v>#REF!</v>
      </c>
      <c r="U50" s="27" t="e">
        <f t="shared" si="32"/>
        <v>#REF!</v>
      </c>
      <c r="V50" s="27"/>
      <c r="W50" s="26">
        <f t="shared" si="33"/>
        <v>182</v>
      </c>
      <c r="X50" s="26" t="e">
        <f t="shared" si="34"/>
        <v>#REF!</v>
      </c>
      <c r="Y50" s="27" t="e">
        <f t="shared" si="35"/>
        <v>#REF!</v>
      </c>
    </row>
    <row r="51" spans="1:25" ht="16.5" customHeight="1">
      <c r="A51" s="16" t="s">
        <v>123</v>
      </c>
      <c r="B51" s="16" t="s">
        <v>278</v>
      </c>
      <c r="C51" s="25">
        <f t="shared" si="18"/>
        <v>19</v>
      </c>
      <c r="D51" s="25" t="e">
        <f t="shared" si="19"/>
        <v>#REF!</v>
      </c>
      <c r="E51" s="27" t="e">
        <f t="shared" si="20"/>
        <v>#REF!</v>
      </c>
      <c r="F51" s="25"/>
      <c r="G51" s="25">
        <f t="shared" si="21"/>
        <v>49</v>
      </c>
      <c r="H51" s="25" t="e">
        <f t="shared" si="22"/>
        <v>#REF!</v>
      </c>
      <c r="I51" s="27" t="e">
        <f t="shared" si="23"/>
        <v>#REF!</v>
      </c>
      <c r="J51" s="25"/>
      <c r="K51" s="25">
        <f t="shared" si="24"/>
        <v>18</v>
      </c>
      <c r="L51" s="25" t="e">
        <f t="shared" si="25"/>
        <v>#REF!</v>
      </c>
      <c r="M51" s="27" t="e">
        <f t="shared" si="26"/>
        <v>#REF!</v>
      </c>
      <c r="N51" s="27"/>
      <c r="O51" s="26" t="str">
        <f t="shared" si="27"/>
        <v>Central</v>
      </c>
      <c r="P51" s="26" t="e">
        <f t="shared" si="28"/>
        <v>#REF!</v>
      </c>
      <c r="Q51" s="27" t="e">
        <f t="shared" si="29"/>
        <v>#VALUE!</v>
      </c>
      <c r="R51" s="27"/>
      <c r="S51" s="26">
        <f t="shared" si="30"/>
        <v>96</v>
      </c>
      <c r="T51" s="26" t="e">
        <f t="shared" si="31"/>
        <v>#REF!</v>
      </c>
      <c r="U51" s="27" t="e">
        <f t="shared" si="32"/>
        <v>#REF!</v>
      </c>
      <c r="V51" s="27"/>
      <c r="W51" s="26">
        <f t="shared" si="33"/>
        <v>25</v>
      </c>
      <c r="X51" s="26" t="e">
        <f t="shared" si="34"/>
        <v>#REF!</v>
      </c>
      <c r="Y51" s="27" t="e">
        <f t="shared" si="35"/>
        <v>#REF!</v>
      </c>
    </row>
    <row r="52" spans="1:25" ht="16.5" customHeight="1">
      <c r="A52" s="16" t="s">
        <v>125</v>
      </c>
      <c r="B52" s="16" t="s">
        <v>126</v>
      </c>
      <c r="C52" s="25">
        <f t="shared" si="18"/>
        <v>41</v>
      </c>
      <c r="D52" s="25" t="e">
        <f t="shared" si="19"/>
        <v>#REF!</v>
      </c>
      <c r="E52" s="27" t="e">
        <f t="shared" si="20"/>
        <v>#REF!</v>
      </c>
      <c r="F52" s="25"/>
      <c r="G52" s="25">
        <f t="shared" si="21"/>
        <v>105</v>
      </c>
      <c r="H52" s="25" t="e">
        <f t="shared" si="22"/>
        <v>#REF!</v>
      </c>
      <c r="I52" s="27" t="e">
        <f t="shared" si="23"/>
        <v>#REF!</v>
      </c>
      <c r="J52" s="25"/>
      <c r="K52" s="25">
        <f t="shared" si="24"/>
        <v>48</v>
      </c>
      <c r="L52" s="25" t="e">
        <f t="shared" si="25"/>
        <v>#REF!</v>
      </c>
      <c r="M52" s="27" t="e">
        <f t="shared" si="26"/>
        <v>#REF!</v>
      </c>
      <c r="N52" s="27"/>
      <c r="O52" s="26" t="str">
        <f t="shared" si="27"/>
        <v>Northern</v>
      </c>
      <c r="P52" s="26" t="e">
        <f t="shared" si="28"/>
        <v>#REF!</v>
      </c>
      <c r="Q52" s="27" t="e">
        <f t="shared" si="29"/>
        <v>#VALUE!</v>
      </c>
      <c r="R52" s="27"/>
      <c r="S52" s="26">
        <f t="shared" si="30"/>
        <v>232</v>
      </c>
      <c r="T52" s="26" t="e">
        <f t="shared" si="31"/>
        <v>#REF!</v>
      </c>
      <c r="U52" s="27" t="e">
        <f t="shared" si="32"/>
        <v>#REF!</v>
      </c>
      <c r="V52" s="27"/>
      <c r="W52" s="26">
        <f t="shared" si="33"/>
        <v>86</v>
      </c>
      <c r="X52" s="26" t="e">
        <f t="shared" si="34"/>
        <v>#REF!</v>
      </c>
      <c r="Y52" s="27" t="e">
        <f t="shared" si="35"/>
        <v>#REF!</v>
      </c>
    </row>
    <row r="53" spans="1:25" ht="16.5" customHeight="1">
      <c r="A53" s="16" t="s">
        <v>127</v>
      </c>
      <c r="B53" s="16" t="s">
        <v>128</v>
      </c>
      <c r="C53" s="25">
        <f t="shared" si="18"/>
        <v>7</v>
      </c>
      <c r="D53" s="25" t="e">
        <f t="shared" si="19"/>
        <v>#REF!</v>
      </c>
      <c r="E53" s="27" t="e">
        <f t="shared" si="20"/>
        <v>#REF!</v>
      </c>
      <c r="F53" s="25"/>
      <c r="G53" s="25">
        <f t="shared" si="21"/>
        <v>98</v>
      </c>
      <c r="H53" s="25" t="e">
        <f t="shared" si="22"/>
        <v>#REF!</v>
      </c>
      <c r="I53" s="27" t="e">
        <f t="shared" si="23"/>
        <v>#REF!</v>
      </c>
      <c r="J53" s="25"/>
      <c r="K53" s="25">
        <f t="shared" si="24"/>
        <v>46</v>
      </c>
      <c r="L53" s="25" t="e">
        <f t="shared" si="25"/>
        <v>#REF!</v>
      </c>
      <c r="M53" s="27" t="e">
        <f t="shared" si="26"/>
        <v>#REF!</v>
      </c>
      <c r="N53" s="27"/>
      <c r="O53" s="26" t="str">
        <f t="shared" si="27"/>
        <v>Central</v>
      </c>
      <c r="P53" s="26" t="e">
        <f t="shared" si="28"/>
        <v>#REF!</v>
      </c>
      <c r="Q53" s="27" t="e">
        <f t="shared" si="29"/>
        <v>#VALUE!</v>
      </c>
      <c r="R53" s="27"/>
      <c r="S53" s="26">
        <f t="shared" si="30"/>
        <v>148</v>
      </c>
      <c r="T53" s="26" t="e">
        <f t="shared" si="31"/>
        <v>#REF!</v>
      </c>
      <c r="U53" s="27" t="e">
        <f t="shared" si="32"/>
        <v>#REF!</v>
      </c>
      <c r="V53" s="27"/>
      <c r="W53" s="26">
        <f t="shared" si="33"/>
        <v>68</v>
      </c>
      <c r="X53" s="26" t="e">
        <f t="shared" si="34"/>
        <v>#REF!</v>
      </c>
      <c r="Y53" s="27" t="e">
        <f t="shared" si="35"/>
        <v>#REF!</v>
      </c>
    </row>
    <row r="54" spans="1:25" ht="16.5" customHeight="1">
      <c r="A54" s="16" t="s">
        <v>129</v>
      </c>
      <c r="B54" s="16" t="s">
        <v>130</v>
      </c>
      <c r="C54" s="25">
        <f t="shared" si="18"/>
        <v>9</v>
      </c>
      <c r="D54" s="25" t="e">
        <f t="shared" si="19"/>
        <v>#REF!</v>
      </c>
      <c r="E54" s="27" t="e">
        <f t="shared" si="20"/>
        <v>#REF!</v>
      </c>
      <c r="F54" s="25"/>
      <c r="G54" s="25">
        <f t="shared" si="21"/>
        <v>110</v>
      </c>
      <c r="H54" s="25" t="e">
        <f t="shared" si="22"/>
        <v>#REF!</v>
      </c>
      <c r="I54" s="27" t="e">
        <f t="shared" si="23"/>
        <v>#REF!</v>
      </c>
      <c r="J54" s="25"/>
      <c r="K54" s="25">
        <f t="shared" si="24"/>
        <v>26</v>
      </c>
      <c r="L54" s="25" t="e">
        <f t="shared" si="25"/>
        <v>#REF!</v>
      </c>
      <c r="M54" s="27" t="e">
        <f t="shared" si="26"/>
        <v>#REF!</v>
      </c>
      <c r="N54" s="27"/>
      <c r="O54" s="26" t="str">
        <f t="shared" si="27"/>
        <v>Central</v>
      </c>
      <c r="P54" s="26" t="e">
        <f t="shared" si="28"/>
        <v>#REF!</v>
      </c>
      <c r="Q54" s="27" t="e">
        <f t="shared" si="29"/>
        <v>#VALUE!</v>
      </c>
      <c r="R54" s="27"/>
      <c r="S54" s="26">
        <f t="shared" si="30"/>
        <v>185</v>
      </c>
      <c r="T54" s="26" t="e">
        <f t="shared" si="31"/>
        <v>#REF!</v>
      </c>
      <c r="U54" s="27" t="e">
        <f t="shared" si="32"/>
        <v>#REF!</v>
      </c>
      <c r="V54" s="27"/>
      <c r="W54" s="26">
        <f t="shared" si="33"/>
        <v>32</v>
      </c>
      <c r="X54" s="26" t="e">
        <f t="shared" si="34"/>
        <v>#REF!</v>
      </c>
      <c r="Y54" s="27" t="e">
        <f t="shared" si="35"/>
        <v>#REF!</v>
      </c>
    </row>
    <row r="55" spans="1:25" ht="16.5" customHeight="1">
      <c r="A55" s="16" t="s">
        <v>131</v>
      </c>
      <c r="B55" s="16" t="s">
        <v>132</v>
      </c>
      <c r="C55" s="25">
        <f t="shared" si="18"/>
        <v>43</v>
      </c>
      <c r="D55" s="25" t="e">
        <f t="shared" si="19"/>
        <v>#REF!</v>
      </c>
      <c r="E55" s="27" t="e">
        <f t="shared" si="20"/>
        <v>#REF!</v>
      </c>
      <c r="F55" s="25"/>
      <c r="G55" s="25">
        <f t="shared" si="21"/>
        <v>598</v>
      </c>
      <c r="H55" s="25" t="e">
        <f t="shared" si="22"/>
        <v>#REF!</v>
      </c>
      <c r="I55" s="27" t="e">
        <f t="shared" si="23"/>
        <v>#REF!</v>
      </c>
      <c r="J55" s="25"/>
      <c r="K55" s="25">
        <f t="shared" si="24"/>
        <v>576</v>
      </c>
      <c r="L55" s="25" t="e">
        <f t="shared" si="25"/>
        <v>#REF!</v>
      </c>
      <c r="M55" s="27" t="e">
        <f t="shared" si="26"/>
        <v>#REF!</v>
      </c>
      <c r="N55" s="27"/>
      <c r="O55" s="26" t="str">
        <f t="shared" si="27"/>
        <v>Western</v>
      </c>
      <c r="P55" s="26" t="e">
        <f t="shared" si="28"/>
        <v>#REF!</v>
      </c>
      <c r="Q55" s="27" t="e">
        <f t="shared" si="29"/>
        <v>#VALUE!</v>
      </c>
      <c r="R55" s="27"/>
      <c r="S55" s="26">
        <f t="shared" si="30"/>
        <v>802</v>
      </c>
      <c r="T55" s="26" t="e">
        <f t="shared" si="31"/>
        <v>#REF!</v>
      </c>
      <c r="U55" s="27" t="e">
        <f t="shared" si="32"/>
        <v>#REF!</v>
      </c>
      <c r="V55" s="27"/>
      <c r="W55" s="26">
        <f t="shared" si="33"/>
        <v>743</v>
      </c>
      <c r="X55" s="26" t="e">
        <f t="shared" si="34"/>
        <v>#REF!</v>
      </c>
      <c r="Y55" s="27" t="e">
        <f t="shared" si="35"/>
        <v>#REF!</v>
      </c>
    </row>
    <row r="56" spans="1:25" ht="16.5" customHeight="1">
      <c r="A56" s="16" t="s">
        <v>133</v>
      </c>
      <c r="B56" s="16" t="s">
        <v>134</v>
      </c>
      <c r="C56" s="25">
        <f t="shared" si="18"/>
        <v>215</v>
      </c>
      <c r="D56" s="25" t="e">
        <f t="shared" si="19"/>
        <v>#REF!</v>
      </c>
      <c r="E56" s="27" t="e">
        <f t="shared" si="20"/>
        <v>#REF!</v>
      </c>
      <c r="F56" s="25"/>
      <c r="G56" s="25">
        <f t="shared" si="21"/>
        <v>602</v>
      </c>
      <c r="H56" s="25" t="e">
        <f t="shared" si="22"/>
        <v>#REF!</v>
      </c>
      <c r="I56" s="27" t="e">
        <f t="shared" si="23"/>
        <v>#REF!</v>
      </c>
      <c r="J56" s="25"/>
      <c r="K56" s="25">
        <f t="shared" si="24"/>
        <v>287</v>
      </c>
      <c r="L56" s="25" t="e">
        <f t="shared" si="25"/>
        <v>#REF!</v>
      </c>
      <c r="M56" s="27" t="e">
        <f t="shared" si="26"/>
        <v>#REF!</v>
      </c>
      <c r="N56" s="27"/>
      <c r="O56" s="26" t="str">
        <f t="shared" si="27"/>
        <v>Northern</v>
      </c>
      <c r="P56" s="26" t="e">
        <f t="shared" si="28"/>
        <v>#REF!</v>
      </c>
      <c r="Q56" s="27" t="e">
        <f t="shared" si="29"/>
        <v>#VALUE!</v>
      </c>
      <c r="R56" s="27"/>
      <c r="S56" s="26">
        <f t="shared" si="30"/>
        <v>920</v>
      </c>
      <c r="T56" s="26" t="e">
        <f t="shared" si="31"/>
        <v>#REF!</v>
      </c>
      <c r="U56" s="27" t="e">
        <f t="shared" si="32"/>
        <v>#REF!</v>
      </c>
      <c r="V56" s="27"/>
      <c r="W56" s="26">
        <f t="shared" si="33"/>
        <v>346</v>
      </c>
      <c r="X56" s="26" t="e">
        <f t="shared" si="34"/>
        <v>#REF!</v>
      </c>
      <c r="Y56" s="27" t="e">
        <f t="shared" si="35"/>
        <v>#REF!</v>
      </c>
    </row>
    <row r="57" spans="1:25" ht="16.5" customHeight="1">
      <c r="A57" s="16" t="s">
        <v>135</v>
      </c>
      <c r="B57" s="16" t="s">
        <v>136</v>
      </c>
      <c r="C57" s="25">
        <f t="shared" si="18"/>
        <v>43</v>
      </c>
      <c r="D57" s="25" t="e">
        <f t="shared" si="19"/>
        <v>#REF!</v>
      </c>
      <c r="E57" s="27" t="e">
        <f t="shared" si="20"/>
        <v>#REF!</v>
      </c>
      <c r="F57" s="25"/>
      <c r="G57" s="25">
        <f t="shared" si="21"/>
        <v>212</v>
      </c>
      <c r="H57" s="25" t="e">
        <f t="shared" si="22"/>
        <v>#REF!</v>
      </c>
      <c r="I57" s="27" t="e">
        <f t="shared" si="23"/>
        <v>#REF!</v>
      </c>
      <c r="J57" s="25"/>
      <c r="K57" s="25">
        <f t="shared" si="24"/>
        <v>134</v>
      </c>
      <c r="L57" s="25" t="e">
        <f t="shared" si="25"/>
        <v>#REF!</v>
      </c>
      <c r="M57" s="27" t="e">
        <f t="shared" si="26"/>
        <v>#REF!</v>
      </c>
      <c r="N57" s="27"/>
      <c r="O57" s="26" t="str">
        <f t="shared" si="27"/>
        <v>Northern</v>
      </c>
      <c r="P57" s="26" t="e">
        <f t="shared" si="28"/>
        <v>#REF!</v>
      </c>
      <c r="Q57" s="27" t="e">
        <f t="shared" si="29"/>
        <v>#VALUE!</v>
      </c>
      <c r="R57" s="27"/>
      <c r="S57" s="26">
        <f t="shared" si="30"/>
        <v>355</v>
      </c>
      <c r="T57" s="26" t="e">
        <f t="shared" si="31"/>
        <v>#REF!</v>
      </c>
      <c r="U57" s="27" t="e">
        <f t="shared" si="32"/>
        <v>#REF!</v>
      </c>
      <c r="V57" s="27"/>
      <c r="W57" s="26">
        <f t="shared" si="33"/>
        <v>194</v>
      </c>
      <c r="X57" s="26" t="e">
        <f t="shared" si="34"/>
        <v>#REF!</v>
      </c>
      <c r="Y57" s="27" t="e">
        <f t="shared" si="35"/>
        <v>#REF!</v>
      </c>
    </row>
    <row r="58" spans="1:25" ht="16.5" customHeight="1">
      <c r="A58" s="16" t="s">
        <v>137</v>
      </c>
      <c r="B58" s="16" t="s">
        <v>138</v>
      </c>
      <c r="C58" s="25">
        <f t="shared" si="18"/>
        <v>19</v>
      </c>
      <c r="D58" s="25" t="e">
        <f t="shared" si="19"/>
        <v>#REF!</v>
      </c>
      <c r="E58" s="27" t="e">
        <f t="shared" si="20"/>
        <v>#REF!</v>
      </c>
      <c r="F58" s="25"/>
      <c r="G58" s="25">
        <f t="shared" si="21"/>
        <v>148</v>
      </c>
      <c r="H58" s="25" t="e">
        <f t="shared" si="22"/>
        <v>#REF!</v>
      </c>
      <c r="I58" s="27" t="e">
        <f t="shared" si="23"/>
        <v>#REF!</v>
      </c>
      <c r="J58" s="25"/>
      <c r="K58" s="25">
        <f t="shared" si="24"/>
        <v>50</v>
      </c>
      <c r="L58" s="25" t="e">
        <f t="shared" si="25"/>
        <v>#REF!</v>
      </c>
      <c r="M58" s="27" t="e">
        <f t="shared" si="26"/>
        <v>#REF!</v>
      </c>
      <c r="N58" s="27"/>
      <c r="O58" s="26" t="str">
        <f t="shared" si="27"/>
        <v>Central</v>
      </c>
      <c r="P58" s="26" t="e">
        <f t="shared" si="28"/>
        <v>#REF!</v>
      </c>
      <c r="Q58" s="27" t="e">
        <f t="shared" si="29"/>
        <v>#VALUE!</v>
      </c>
      <c r="R58" s="27"/>
      <c r="S58" s="26">
        <f t="shared" si="30"/>
        <v>264</v>
      </c>
      <c r="T58" s="26" t="e">
        <f t="shared" si="31"/>
        <v>#REF!</v>
      </c>
      <c r="U58" s="27" t="e">
        <f t="shared" si="32"/>
        <v>#REF!</v>
      </c>
      <c r="V58" s="27"/>
      <c r="W58" s="26">
        <f t="shared" si="33"/>
        <v>65</v>
      </c>
      <c r="X58" s="26" t="e">
        <f t="shared" si="34"/>
        <v>#REF!</v>
      </c>
      <c r="Y58" s="27" t="e">
        <f t="shared" si="35"/>
        <v>#REF!</v>
      </c>
    </row>
    <row r="59" spans="1:25" ht="16.5" customHeight="1">
      <c r="A59" s="16" t="s">
        <v>141</v>
      </c>
      <c r="B59" s="16" t="s">
        <v>142</v>
      </c>
      <c r="C59" s="25">
        <f t="shared" si="18"/>
        <v>11</v>
      </c>
      <c r="D59" s="25" t="e">
        <f t="shared" si="19"/>
        <v>#REF!</v>
      </c>
      <c r="E59" s="27" t="e">
        <f t="shared" si="20"/>
        <v>#REF!</v>
      </c>
      <c r="F59" s="25"/>
      <c r="G59" s="25">
        <f t="shared" si="21"/>
        <v>52</v>
      </c>
      <c r="H59" s="25" t="e">
        <f t="shared" si="22"/>
        <v>#REF!</v>
      </c>
      <c r="I59" s="27" t="e">
        <f t="shared" si="23"/>
        <v>#REF!</v>
      </c>
      <c r="J59" s="25"/>
      <c r="K59" s="25">
        <f t="shared" si="24"/>
        <v>41</v>
      </c>
      <c r="L59" s="25" t="e">
        <f t="shared" si="25"/>
        <v>#REF!</v>
      </c>
      <c r="M59" s="27" t="e">
        <f t="shared" si="26"/>
        <v>#REF!</v>
      </c>
      <c r="N59" s="27"/>
      <c r="O59" s="26" t="str">
        <f t="shared" si="27"/>
        <v>Northern</v>
      </c>
      <c r="P59" s="26" t="e">
        <f t="shared" si="28"/>
        <v>#REF!</v>
      </c>
      <c r="Q59" s="27" t="e">
        <f t="shared" si="29"/>
        <v>#VALUE!</v>
      </c>
      <c r="R59" s="27"/>
      <c r="S59" s="26">
        <f t="shared" si="30"/>
        <v>100</v>
      </c>
      <c r="T59" s="26" t="e">
        <f t="shared" si="31"/>
        <v>#REF!</v>
      </c>
      <c r="U59" s="27" t="e">
        <f t="shared" si="32"/>
        <v>#REF!</v>
      </c>
      <c r="V59" s="27"/>
      <c r="W59" s="26">
        <f t="shared" si="33"/>
        <v>59</v>
      </c>
      <c r="X59" s="26" t="e">
        <f t="shared" si="34"/>
        <v>#REF!</v>
      </c>
      <c r="Y59" s="27" t="e">
        <f t="shared" si="35"/>
        <v>#REF!</v>
      </c>
    </row>
    <row r="60" spans="1:25" ht="16.5" customHeight="1">
      <c r="A60" s="16" t="s">
        <v>147</v>
      </c>
      <c r="B60" s="16" t="s">
        <v>148</v>
      </c>
      <c r="C60" s="25">
        <f t="shared" si="18"/>
        <v>3</v>
      </c>
      <c r="D60" s="25" t="e">
        <f t="shared" si="19"/>
        <v>#REF!</v>
      </c>
      <c r="E60" s="27" t="e">
        <f t="shared" si="20"/>
        <v>#REF!</v>
      </c>
      <c r="F60" s="25"/>
      <c r="G60" s="25">
        <f t="shared" si="21"/>
        <v>41</v>
      </c>
      <c r="H60" s="25" t="e">
        <f t="shared" si="22"/>
        <v>#REF!</v>
      </c>
      <c r="I60" s="27" t="e">
        <f t="shared" si="23"/>
        <v>#REF!</v>
      </c>
      <c r="J60" s="25"/>
      <c r="K60" s="25">
        <f t="shared" si="24"/>
        <v>34</v>
      </c>
      <c r="L60" s="25" t="e">
        <f t="shared" si="25"/>
        <v>#REF!</v>
      </c>
      <c r="M60" s="27" t="e">
        <f t="shared" si="26"/>
        <v>#REF!</v>
      </c>
      <c r="N60" s="27"/>
      <c r="O60" s="26" t="str">
        <f t="shared" si="27"/>
        <v>Eastern</v>
      </c>
      <c r="P60" s="26" t="e">
        <f t="shared" si="28"/>
        <v>#REF!</v>
      </c>
      <c r="Q60" s="27" t="e">
        <f t="shared" si="29"/>
        <v>#VALUE!</v>
      </c>
      <c r="R60" s="27"/>
      <c r="S60" s="26">
        <f t="shared" si="30"/>
        <v>72</v>
      </c>
      <c r="T60" s="26" t="e">
        <f t="shared" si="31"/>
        <v>#REF!</v>
      </c>
      <c r="U60" s="27" t="e">
        <f t="shared" si="32"/>
        <v>#REF!</v>
      </c>
      <c r="V60" s="27"/>
      <c r="W60" s="26">
        <f t="shared" si="33"/>
        <v>53</v>
      </c>
      <c r="X60" s="26" t="e">
        <f t="shared" si="34"/>
        <v>#REF!</v>
      </c>
      <c r="Y60" s="27" t="e">
        <f t="shared" si="35"/>
        <v>#REF!</v>
      </c>
    </row>
    <row r="61" spans="1:25" ht="16.5" customHeight="1">
      <c r="A61" s="16" t="s">
        <v>149</v>
      </c>
      <c r="B61" s="16" t="s">
        <v>150</v>
      </c>
      <c r="C61" s="25">
        <f t="shared" si="18"/>
        <v>21</v>
      </c>
      <c r="D61" s="25" t="e">
        <f t="shared" si="19"/>
        <v>#REF!</v>
      </c>
      <c r="E61" s="27" t="e">
        <f t="shared" si="20"/>
        <v>#REF!</v>
      </c>
      <c r="F61" s="25"/>
      <c r="G61" s="25">
        <f t="shared" si="21"/>
        <v>291</v>
      </c>
      <c r="H61" s="25" t="e">
        <f t="shared" si="22"/>
        <v>#REF!</v>
      </c>
      <c r="I61" s="27" t="e">
        <f t="shared" si="23"/>
        <v>#REF!</v>
      </c>
      <c r="J61" s="25"/>
      <c r="K61" s="25">
        <f t="shared" si="24"/>
        <v>94</v>
      </c>
      <c r="L61" s="25" t="e">
        <f t="shared" si="25"/>
        <v>#REF!</v>
      </c>
      <c r="M61" s="27" t="e">
        <f t="shared" si="26"/>
        <v>#REF!</v>
      </c>
      <c r="N61" s="27"/>
      <c r="O61" s="26" t="str">
        <f t="shared" si="27"/>
        <v>Piedmont</v>
      </c>
      <c r="P61" s="26" t="e">
        <f t="shared" si="28"/>
        <v>#REF!</v>
      </c>
      <c r="Q61" s="27" t="e">
        <f t="shared" si="29"/>
        <v>#VALUE!</v>
      </c>
      <c r="R61" s="27"/>
      <c r="S61" s="26">
        <f t="shared" si="30"/>
        <v>523</v>
      </c>
      <c r="T61" s="26" t="e">
        <f t="shared" si="31"/>
        <v>#REF!</v>
      </c>
      <c r="U61" s="27" t="e">
        <f t="shared" si="32"/>
        <v>#REF!</v>
      </c>
      <c r="V61" s="27"/>
      <c r="W61" s="26">
        <f t="shared" si="33"/>
        <v>122</v>
      </c>
      <c r="X61" s="26" t="e">
        <f t="shared" si="34"/>
        <v>#REF!</v>
      </c>
      <c r="Y61" s="27" t="e">
        <f t="shared" si="35"/>
        <v>#REF!</v>
      </c>
    </row>
    <row r="62" spans="1:25" ht="16.5" customHeight="1">
      <c r="A62" s="16" t="s">
        <v>151</v>
      </c>
      <c r="B62" s="16" t="s">
        <v>152</v>
      </c>
      <c r="C62" s="25">
        <f t="shared" si="18"/>
        <v>14</v>
      </c>
      <c r="D62" s="25" t="e">
        <f t="shared" si="19"/>
        <v>#REF!</v>
      </c>
      <c r="E62" s="27" t="e">
        <f t="shared" si="20"/>
        <v>#REF!</v>
      </c>
      <c r="F62" s="25"/>
      <c r="G62" s="25">
        <f t="shared" si="21"/>
        <v>111</v>
      </c>
      <c r="H62" s="25" t="e">
        <f t="shared" si="22"/>
        <v>#REF!</v>
      </c>
      <c r="I62" s="27" t="e">
        <f t="shared" si="23"/>
        <v>#REF!</v>
      </c>
      <c r="J62" s="25"/>
      <c r="K62" s="25">
        <f t="shared" si="24"/>
        <v>62</v>
      </c>
      <c r="L62" s="25" t="e">
        <f t="shared" si="25"/>
        <v>#REF!</v>
      </c>
      <c r="M62" s="27" t="e">
        <f t="shared" si="26"/>
        <v>#REF!</v>
      </c>
      <c r="N62" s="27"/>
      <c r="O62" s="26" t="str">
        <f t="shared" si="27"/>
        <v>Central</v>
      </c>
      <c r="P62" s="26" t="e">
        <f t="shared" si="28"/>
        <v>#REF!</v>
      </c>
      <c r="Q62" s="27" t="e">
        <f t="shared" si="29"/>
        <v>#VALUE!</v>
      </c>
      <c r="R62" s="27"/>
      <c r="S62" s="26">
        <f t="shared" si="30"/>
        <v>142</v>
      </c>
      <c r="T62" s="26" t="e">
        <f t="shared" si="31"/>
        <v>#REF!</v>
      </c>
      <c r="U62" s="27" t="e">
        <f t="shared" si="32"/>
        <v>#REF!</v>
      </c>
      <c r="V62" s="27"/>
      <c r="W62" s="26">
        <f t="shared" si="33"/>
        <v>71</v>
      </c>
      <c r="X62" s="26" t="e">
        <f t="shared" si="34"/>
        <v>#REF!</v>
      </c>
      <c r="Y62" s="27" t="e">
        <f t="shared" si="35"/>
        <v>#REF!</v>
      </c>
    </row>
    <row r="63" spans="1:25" ht="16.5" customHeight="1">
      <c r="A63" s="16" t="s">
        <v>153</v>
      </c>
      <c r="B63" s="16" t="s">
        <v>154</v>
      </c>
      <c r="C63" s="25">
        <f t="shared" si="18"/>
        <v>164</v>
      </c>
      <c r="D63" s="25" t="e">
        <f t="shared" si="19"/>
        <v>#REF!</v>
      </c>
      <c r="E63" s="27" t="e">
        <f t="shared" si="20"/>
        <v>#REF!</v>
      </c>
      <c r="F63" s="25"/>
      <c r="G63" s="25">
        <f t="shared" si="21"/>
        <v>725</v>
      </c>
      <c r="H63" s="25" t="e">
        <f t="shared" si="22"/>
        <v>#REF!</v>
      </c>
      <c r="I63" s="27" t="e">
        <f t="shared" si="23"/>
        <v>#REF!</v>
      </c>
      <c r="J63" s="25"/>
      <c r="K63" s="25">
        <f t="shared" si="24"/>
        <v>595</v>
      </c>
      <c r="L63" s="25" t="e">
        <f t="shared" si="25"/>
        <v>#REF!</v>
      </c>
      <c r="M63" s="27" t="e">
        <f t="shared" si="26"/>
        <v>#REF!</v>
      </c>
      <c r="N63" s="27"/>
      <c r="O63" s="26" t="str">
        <f t="shared" si="27"/>
        <v>Western</v>
      </c>
      <c r="P63" s="26" t="e">
        <f t="shared" si="28"/>
        <v>#REF!</v>
      </c>
      <c r="Q63" s="27" t="e">
        <f t="shared" si="29"/>
        <v>#VALUE!</v>
      </c>
      <c r="R63" s="27"/>
      <c r="S63" s="26">
        <f t="shared" si="30"/>
        <v>1126</v>
      </c>
      <c r="T63" s="26" t="e">
        <f t="shared" si="31"/>
        <v>#REF!</v>
      </c>
      <c r="U63" s="27" t="e">
        <f t="shared" si="32"/>
        <v>#REF!</v>
      </c>
      <c r="V63" s="27"/>
      <c r="W63" s="26">
        <f t="shared" si="33"/>
        <v>828</v>
      </c>
      <c r="X63" s="26" t="e">
        <f t="shared" si="34"/>
        <v>#REF!</v>
      </c>
      <c r="Y63" s="27" t="e">
        <f t="shared" si="35"/>
        <v>#REF!</v>
      </c>
    </row>
    <row r="64" spans="1:25" ht="16.5" customHeight="1">
      <c r="A64" s="16" t="s">
        <v>155</v>
      </c>
      <c r="B64" s="16" t="s">
        <v>156</v>
      </c>
      <c r="C64" s="25">
        <f t="shared" si="18"/>
        <v>27</v>
      </c>
      <c r="D64" s="25" t="e">
        <f t="shared" si="19"/>
        <v>#REF!</v>
      </c>
      <c r="E64" s="27" t="e">
        <f t="shared" si="20"/>
        <v>#REF!</v>
      </c>
      <c r="F64" s="25"/>
      <c r="G64" s="25">
        <f t="shared" si="21"/>
        <v>92</v>
      </c>
      <c r="H64" s="25" t="e">
        <f t="shared" si="22"/>
        <v>#REF!</v>
      </c>
      <c r="I64" s="27" t="e">
        <f t="shared" si="23"/>
        <v>#REF!</v>
      </c>
      <c r="J64" s="25"/>
      <c r="K64" s="25">
        <f t="shared" si="24"/>
        <v>59</v>
      </c>
      <c r="L64" s="25" t="e">
        <f t="shared" si="25"/>
        <v>#REF!</v>
      </c>
      <c r="M64" s="27" t="e">
        <f t="shared" si="26"/>
        <v>#REF!</v>
      </c>
      <c r="N64" s="27"/>
      <c r="O64" s="26" t="str">
        <f t="shared" si="27"/>
        <v>Piedmont</v>
      </c>
      <c r="P64" s="26" t="e">
        <f t="shared" si="28"/>
        <v>#REF!</v>
      </c>
      <c r="Q64" s="27" t="e">
        <f t="shared" si="29"/>
        <v>#VALUE!</v>
      </c>
      <c r="R64" s="27"/>
      <c r="S64" s="26">
        <f t="shared" si="30"/>
        <v>149</v>
      </c>
      <c r="T64" s="26" t="e">
        <f t="shared" si="31"/>
        <v>#REF!</v>
      </c>
      <c r="U64" s="27" t="e">
        <f t="shared" si="32"/>
        <v>#REF!</v>
      </c>
      <c r="V64" s="27"/>
      <c r="W64" s="26">
        <f t="shared" si="33"/>
        <v>80</v>
      </c>
      <c r="X64" s="26" t="e">
        <f t="shared" si="34"/>
        <v>#REF!</v>
      </c>
      <c r="Y64" s="27" t="e">
        <f t="shared" si="35"/>
        <v>#REF!</v>
      </c>
    </row>
    <row r="65" spans="1:25" ht="16.5" customHeight="1">
      <c r="A65" s="16" t="s">
        <v>157</v>
      </c>
      <c r="B65" s="16" t="s">
        <v>158</v>
      </c>
      <c r="C65" s="25">
        <f t="shared" si="18"/>
        <v>16</v>
      </c>
      <c r="D65" s="25" t="e">
        <f t="shared" si="19"/>
        <v>#REF!</v>
      </c>
      <c r="E65" s="27" t="e">
        <f t="shared" si="20"/>
        <v>#REF!</v>
      </c>
      <c r="F65" s="25"/>
      <c r="G65" s="25">
        <f t="shared" si="21"/>
        <v>100</v>
      </c>
      <c r="H65" s="25" t="e">
        <f t="shared" si="22"/>
        <v>#REF!</v>
      </c>
      <c r="I65" s="27" t="e">
        <f t="shared" si="23"/>
        <v>#REF!</v>
      </c>
      <c r="J65" s="25"/>
      <c r="K65" s="25">
        <f t="shared" si="24"/>
        <v>76</v>
      </c>
      <c r="L65" s="25" t="e">
        <f t="shared" si="25"/>
        <v>#REF!</v>
      </c>
      <c r="M65" s="27" t="e">
        <f t="shared" si="26"/>
        <v>#REF!</v>
      </c>
      <c r="N65" s="27"/>
      <c r="O65" s="26" t="str">
        <f t="shared" si="27"/>
        <v>Central</v>
      </c>
      <c r="P65" s="26" t="e">
        <f t="shared" si="28"/>
        <v>#REF!</v>
      </c>
      <c r="Q65" s="27" t="e">
        <f t="shared" si="29"/>
        <v>#VALUE!</v>
      </c>
      <c r="R65" s="27"/>
      <c r="S65" s="26">
        <f t="shared" si="30"/>
        <v>165</v>
      </c>
      <c r="T65" s="26" t="e">
        <f t="shared" si="31"/>
        <v>#REF!</v>
      </c>
      <c r="U65" s="27" t="e">
        <f t="shared" si="32"/>
        <v>#REF!</v>
      </c>
      <c r="V65" s="27"/>
      <c r="W65" s="26">
        <f t="shared" si="33"/>
        <v>109</v>
      </c>
      <c r="X65" s="26" t="e">
        <f t="shared" si="34"/>
        <v>#REF!</v>
      </c>
      <c r="Y65" s="27" t="e">
        <f t="shared" si="35"/>
        <v>#REF!</v>
      </c>
    </row>
    <row r="66" spans="1:25" ht="16.5" customHeight="1">
      <c r="A66" s="16" t="s">
        <v>163</v>
      </c>
      <c r="B66" s="16" t="s">
        <v>164</v>
      </c>
      <c r="C66" s="25">
        <f t="shared" si="18"/>
        <v>24</v>
      </c>
      <c r="D66" s="25" t="e">
        <f t="shared" si="19"/>
        <v>#REF!</v>
      </c>
      <c r="E66" s="27" t="e">
        <f t="shared" si="20"/>
        <v>#REF!</v>
      </c>
      <c r="F66" s="25"/>
      <c r="G66" s="25">
        <f t="shared" si="21"/>
        <v>204</v>
      </c>
      <c r="H66" s="25" t="e">
        <f t="shared" si="22"/>
        <v>#REF!</v>
      </c>
      <c r="I66" s="27" t="e">
        <f t="shared" si="23"/>
        <v>#REF!</v>
      </c>
      <c r="J66" s="25"/>
      <c r="K66" s="25">
        <f t="shared" si="24"/>
        <v>66</v>
      </c>
      <c r="L66" s="25" t="e">
        <f t="shared" si="25"/>
        <v>#REF!</v>
      </c>
      <c r="M66" s="27" t="e">
        <f t="shared" si="26"/>
        <v>#REF!</v>
      </c>
      <c r="N66" s="27"/>
      <c r="O66" s="26" t="str">
        <f t="shared" si="27"/>
        <v>Eastern</v>
      </c>
      <c r="P66" s="26" t="e">
        <f t="shared" si="28"/>
        <v>#REF!</v>
      </c>
      <c r="Q66" s="27" t="e">
        <f t="shared" si="29"/>
        <v>#VALUE!</v>
      </c>
      <c r="R66" s="27"/>
      <c r="S66" s="26">
        <f t="shared" si="30"/>
        <v>348</v>
      </c>
      <c r="T66" s="26" t="e">
        <f t="shared" si="31"/>
        <v>#REF!</v>
      </c>
      <c r="U66" s="27" t="e">
        <f t="shared" si="32"/>
        <v>#REF!</v>
      </c>
      <c r="V66" s="27"/>
      <c r="W66" s="26">
        <f t="shared" si="33"/>
        <v>103</v>
      </c>
      <c r="X66" s="26" t="e">
        <f t="shared" si="34"/>
        <v>#REF!</v>
      </c>
      <c r="Y66" s="27" t="e">
        <f t="shared" si="35"/>
        <v>#REF!</v>
      </c>
    </row>
    <row r="67" spans="1:25" ht="16.5" customHeight="1">
      <c r="A67" s="16" t="s">
        <v>165</v>
      </c>
      <c r="B67" s="16" t="s">
        <v>166</v>
      </c>
      <c r="C67" s="25">
        <f t="shared" si="18"/>
        <v>5</v>
      </c>
      <c r="D67" s="25" t="e">
        <f t="shared" si="19"/>
        <v>#REF!</v>
      </c>
      <c r="E67" s="27" t="e">
        <f t="shared" si="20"/>
        <v>#REF!</v>
      </c>
      <c r="F67" s="25"/>
      <c r="G67" s="25">
        <f t="shared" si="21"/>
        <v>59</v>
      </c>
      <c r="H67" s="25" t="e">
        <f t="shared" si="22"/>
        <v>#REF!</v>
      </c>
      <c r="I67" s="27" t="e">
        <f t="shared" si="23"/>
        <v>#REF!</v>
      </c>
      <c r="J67" s="25"/>
      <c r="K67" s="25">
        <f t="shared" si="24"/>
        <v>21</v>
      </c>
      <c r="L67" s="25" t="e">
        <f t="shared" si="25"/>
        <v>#REF!</v>
      </c>
      <c r="M67" s="27" t="e">
        <f t="shared" si="26"/>
        <v>#REF!</v>
      </c>
      <c r="N67" s="27"/>
      <c r="O67" s="26" t="str">
        <f t="shared" si="27"/>
        <v>Central</v>
      </c>
      <c r="P67" s="26" t="e">
        <f t="shared" si="28"/>
        <v>#REF!</v>
      </c>
      <c r="Q67" s="27" t="e">
        <f t="shared" si="29"/>
        <v>#VALUE!</v>
      </c>
      <c r="R67" s="27"/>
      <c r="S67" s="26">
        <f t="shared" si="30"/>
        <v>109</v>
      </c>
      <c r="T67" s="26" t="e">
        <f t="shared" si="31"/>
        <v>#REF!</v>
      </c>
      <c r="U67" s="27" t="e">
        <f t="shared" si="32"/>
        <v>#REF!</v>
      </c>
      <c r="V67" s="27"/>
      <c r="W67" s="26">
        <f t="shared" si="33"/>
        <v>32</v>
      </c>
      <c r="X67" s="26" t="e">
        <f t="shared" si="34"/>
        <v>#REF!</v>
      </c>
      <c r="Y67" s="27" t="e">
        <f t="shared" si="35"/>
        <v>#REF!</v>
      </c>
    </row>
    <row r="68" spans="1:25" ht="16.5" customHeight="1">
      <c r="A68" s="16" t="s">
        <v>169</v>
      </c>
      <c r="B68" s="16" t="s">
        <v>170</v>
      </c>
      <c r="C68" s="25">
        <f t="shared" ref="C68:C99" si="36">VLOOKUP(A68,TANF_Demo,7,FALSE)</f>
        <v>36</v>
      </c>
      <c r="D68" s="25" t="e">
        <f t="shared" ref="D68:D99" si="37">VLOOKUP(A68,Pop,14,FALSE)</f>
        <v>#REF!</v>
      </c>
      <c r="E68" s="27" t="e">
        <f t="shared" ref="E68:E99" si="38">+C68/D68</f>
        <v>#REF!</v>
      </c>
      <c r="F68" s="25"/>
      <c r="G68" s="25">
        <f t="shared" ref="G68:G99" si="39">VLOOKUP(A68,TANF_Demo,8,FALSE)</f>
        <v>294</v>
      </c>
      <c r="H68" s="25" t="e">
        <f t="shared" ref="H68:H99" si="40">VLOOKUP(A68,Pop,15,FALSE)</f>
        <v>#REF!</v>
      </c>
      <c r="I68" s="27" t="e">
        <f t="shared" ref="I68:I99" si="41">+G68/H68</f>
        <v>#REF!</v>
      </c>
      <c r="J68" s="25"/>
      <c r="K68" s="25">
        <f t="shared" ref="K68:K99" si="42">VLOOKUP(A68,TANF_Demo,9,FALSE)</f>
        <v>89</v>
      </c>
      <c r="L68" s="25" t="e">
        <f t="shared" ref="L68:L99" si="43">VLOOKUP(A68,Pop,16,FALSE)</f>
        <v>#REF!</v>
      </c>
      <c r="M68" s="27" t="e">
        <f t="shared" ref="M68:M99" si="44">+K68/L68</f>
        <v>#REF!</v>
      </c>
      <c r="N68" s="27"/>
      <c r="O68" s="26" t="str">
        <f t="shared" ref="O68:O99" si="45">VLOOKUP(A68,TANF_Demo,3,FALSE)</f>
        <v>Central</v>
      </c>
      <c r="P68" s="26" t="e">
        <f t="shared" ref="P68:P99" si="46">VLOOKUP(A68,Pop,8,FALSE)</f>
        <v>#REF!</v>
      </c>
      <c r="Q68" s="27" t="e">
        <f t="shared" ref="Q68:Q99" si="47">+O68/P68</f>
        <v>#VALUE!</v>
      </c>
      <c r="R68" s="27"/>
      <c r="S68" s="26">
        <f t="shared" ref="S68:S99" si="48">VLOOKUP(A68,TANF_Demo,4,FALSE)</f>
        <v>435</v>
      </c>
      <c r="T68" s="26" t="e">
        <f t="shared" ref="T68:T99" si="49">VLOOKUP(A68,Pop,9,FALSE)</f>
        <v>#REF!</v>
      </c>
      <c r="U68" s="27" t="e">
        <f t="shared" ref="U68:U99" si="50">+S68/T68</f>
        <v>#REF!</v>
      </c>
      <c r="V68" s="27"/>
      <c r="W68" s="26">
        <f t="shared" ref="W68:W99" si="51">VLOOKUP(A68,TANF_Demo,5,FALSE)</f>
        <v>120</v>
      </c>
      <c r="X68" s="26" t="e">
        <f t="shared" ref="X68:X99" si="52">VLOOKUP(A68,Pop,10,FALSE)</f>
        <v>#REF!</v>
      </c>
      <c r="Y68" s="27" t="e">
        <f t="shared" ref="Y68:Y99" si="53">+W68/X68</f>
        <v>#REF!</v>
      </c>
    </row>
    <row r="69" spans="1:25" ht="16.5" customHeight="1">
      <c r="A69" s="16" t="s">
        <v>171</v>
      </c>
      <c r="B69" s="16" t="s">
        <v>172</v>
      </c>
      <c r="C69" s="25">
        <f t="shared" si="36"/>
        <v>38</v>
      </c>
      <c r="D69" s="25" t="e">
        <f t="shared" si="37"/>
        <v>#REF!</v>
      </c>
      <c r="E69" s="27" t="e">
        <f t="shared" si="38"/>
        <v>#REF!</v>
      </c>
      <c r="F69" s="25"/>
      <c r="G69" s="25">
        <f t="shared" si="39"/>
        <v>154</v>
      </c>
      <c r="H69" s="25" t="e">
        <f t="shared" si="40"/>
        <v>#REF!</v>
      </c>
      <c r="I69" s="27" t="e">
        <f t="shared" si="41"/>
        <v>#REF!</v>
      </c>
      <c r="J69" s="25"/>
      <c r="K69" s="25">
        <f t="shared" si="42"/>
        <v>97</v>
      </c>
      <c r="L69" s="25" t="e">
        <f t="shared" si="43"/>
        <v>#REF!</v>
      </c>
      <c r="M69" s="27" t="e">
        <f t="shared" si="44"/>
        <v>#REF!</v>
      </c>
      <c r="N69" s="27"/>
      <c r="O69" s="26" t="str">
        <f t="shared" si="45"/>
        <v>Northern</v>
      </c>
      <c r="P69" s="26" t="e">
        <f t="shared" si="46"/>
        <v>#REF!</v>
      </c>
      <c r="Q69" s="27" t="e">
        <f t="shared" si="47"/>
        <v>#VALUE!</v>
      </c>
      <c r="R69" s="27"/>
      <c r="S69" s="26">
        <f t="shared" si="48"/>
        <v>279</v>
      </c>
      <c r="T69" s="26" t="e">
        <f t="shared" si="49"/>
        <v>#REF!</v>
      </c>
      <c r="U69" s="27" t="e">
        <f t="shared" si="50"/>
        <v>#REF!</v>
      </c>
      <c r="V69" s="27"/>
      <c r="W69" s="26">
        <f t="shared" si="51"/>
        <v>155</v>
      </c>
      <c r="X69" s="26" t="e">
        <f t="shared" si="52"/>
        <v>#REF!</v>
      </c>
      <c r="Y69" s="27" t="e">
        <f t="shared" si="53"/>
        <v>#REF!</v>
      </c>
    </row>
    <row r="70" spans="1:25" ht="16.5" customHeight="1">
      <c r="A70" s="16" t="s">
        <v>173</v>
      </c>
      <c r="B70" s="16" t="s">
        <v>174</v>
      </c>
      <c r="C70" s="25">
        <f t="shared" si="36"/>
        <v>22</v>
      </c>
      <c r="D70" s="25" t="e">
        <f t="shared" si="37"/>
        <v>#REF!</v>
      </c>
      <c r="E70" s="27" t="e">
        <f t="shared" si="38"/>
        <v>#REF!</v>
      </c>
      <c r="F70" s="25"/>
      <c r="G70" s="25">
        <f t="shared" si="39"/>
        <v>177</v>
      </c>
      <c r="H70" s="25" t="e">
        <f t="shared" si="40"/>
        <v>#REF!</v>
      </c>
      <c r="I70" s="27" t="e">
        <f t="shared" si="41"/>
        <v>#REF!</v>
      </c>
      <c r="J70" s="25"/>
      <c r="K70" s="25">
        <f t="shared" si="42"/>
        <v>162</v>
      </c>
      <c r="L70" s="25" t="e">
        <f t="shared" si="43"/>
        <v>#REF!</v>
      </c>
      <c r="M70" s="27" t="e">
        <f t="shared" si="44"/>
        <v>#REF!</v>
      </c>
      <c r="N70" s="27"/>
      <c r="O70" s="26" t="str">
        <f t="shared" si="45"/>
        <v>Northern</v>
      </c>
      <c r="P70" s="26" t="e">
        <f t="shared" si="46"/>
        <v>#REF!</v>
      </c>
      <c r="Q70" s="27" t="e">
        <f t="shared" si="47"/>
        <v>#VALUE!</v>
      </c>
      <c r="R70" s="27"/>
      <c r="S70" s="26">
        <f t="shared" si="48"/>
        <v>266</v>
      </c>
      <c r="T70" s="26" t="e">
        <f t="shared" si="49"/>
        <v>#REF!</v>
      </c>
      <c r="U70" s="27" t="e">
        <f t="shared" si="50"/>
        <v>#REF!</v>
      </c>
      <c r="V70" s="27"/>
      <c r="W70" s="26">
        <f t="shared" si="51"/>
        <v>230</v>
      </c>
      <c r="X70" s="26" t="e">
        <f t="shared" si="52"/>
        <v>#REF!</v>
      </c>
      <c r="Y70" s="27" t="e">
        <f t="shared" si="53"/>
        <v>#REF!</v>
      </c>
    </row>
    <row r="71" spans="1:25" ht="16.5" customHeight="1">
      <c r="A71" s="16" t="s">
        <v>175</v>
      </c>
      <c r="B71" s="16" t="s">
        <v>176</v>
      </c>
      <c r="C71" s="25">
        <f t="shared" si="36"/>
        <v>22</v>
      </c>
      <c r="D71" s="25" t="e">
        <f t="shared" si="37"/>
        <v>#REF!</v>
      </c>
      <c r="E71" s="27" t="e">
        <f t="shared" si="38"/>
        <v>#REF!</v>
      </c>
      <c r="F71" s="25"/>
      <c r="G71" s="25">
        <f t="shared" si="39"/>
        <v>273</v>
      </c>
      <c r="H71" s="25" t="e">
        <f t="shared" si="40"/>
        <v>#REF!</v>
      </c>
      <c r="I71" s="27" t="e">
        <f t="shared" si="41"/>
        <v>#REF!</v>
      </c>
      <c r="J71" s="25"/>
      <c r="K71" s="25">
        <f t="shared" si="42"/>
        <v>247</v>
      </c>
      <c r="L71" s="25" t="e">
        <f t="shared" si="43"/>
        <v>#REF!</v>
      </c>
      <c r="M71" s="27" t="e">
        <f t="shared" si="44"/>
        <v>#REF!</v>
      </c>
      <c r="N71" s="27"/>
      <c r="O71" s="26" t="str">
        <f t="shared" si="45"/>
        <v>Western</v>
      </c>
      <c r="P71" s="26" t="e">
        <f t="shared" si="46"/>
        <v>#REF!</v>
      </c>
      <c r="Q71" s="27" t="e">
        <f t="shared" si="47"/>
        <v>#VALUE!</v>
      </c>
      <c r="R71" s="27"/>
      <c r="S71" s="26">
        <f t="shared" si="48"/>
        <v>391</v>
      </c>
      <c r="T71" s="26" t="e">
        <f t="shared" si="49"/>
        <v>#REF!</v>
      </c>
      <c r="U71" s="27" t="e">
        <f t="shared" si="50"/>
        <v>#REF!</v>
      </c>
      <c r="V71" s="27"/>
      <c r="W71" s="26">
        <f t="shared" si="51"/>
        <v>323</v>
      </c>
      <c r="X71" s="26" t="e">
        <f t="shared" si="52"/>
        <v>#REF!</v>
      </c>
      <c r="Y71" s="27" t="e">
        <f t="shared" si="53"/>
        <v>#REF!</v>
      </c>
    </row>
    <row r="72" spans="1:25" ht="16.5" customHeight="1">
      <c r="A72" s="16" t="s">
        <v>179</v>
      </c>
      <c r="B72" s="16" t="s">
        <v>180</v>
      </c>
      <c r="C72" s="25">
        <f t="shared" si="36"/>
        <v>91</v>
      </c>
      <c r="D72" s="25" t="e">
        <f t="shared" si="37"/>
        <v>#REF!</v>
      </c>
      <c r="E72" s="27" t="e">
        <f t="shared" si="38"/>
        <v>#REF!</v>
      </c>
      <c r="F72" s="25"/>
      <c r="G72" s="25">
        <f t="shared" si="39"/>
        <v>463</v>
      </c>
      <c r="H72" s="25" t="e">
        <f t="shared" si="40"/>
        <v>#REF!</v>
      </c>
      <c r="I72" s="27" t="e">
        <f t="shared" si="41"/>
        <v>#REF!</v>
      </c>
      <c r="J72" s="25"/>
      <c r="K72" s="25">
        <f t="shared" si="42"/>
        <v>249</v>
      </c>
      <c r="L72" s="25" t="e">
        <f t="shared" si="43"/>
        <v>#REF!</v>
      </c>
      <c r="M72" s="27" t="e">
        <f t="shared" si="44"/>
        <v>#REF!</v>
      </c>
      <c r="N72" s="27"/>
      <c r="O72" s="26" t="str">
        <f t="shared" si="45"/>
        <v>Piedmont</v>
      </c>
      <c r="P72" s="26" t="e">
        <f t="shared" si="46"/>
        <v>#REF!</v>
      </c>
      <c r="Q72" s="27" t="e">
        <f t="shared" si="47"/>
        <v>#VALUE!</v>
      </c>
      <c r="R72" s="27"/>
      <c r="S72" s="26">
        <f t="shared" si="48"/>
        <v>807</v>
      </c>
      <c r="T72" s="26" t="e">
        <f t="shared" si="49"/>
        <v>#REF!</v>
      </c>
      <c r="U72" s="27" t="e">
        <f t="shared" si="50"/>
        <v>#REF!</v>
      </c>
      <c r="V72" s="27"/>
      <c r="W72" s="26">
        <f t="shared" si="51"/>
        <v>394</v>
      </c>
      <c r="X72" s="26" t="e">
        <f t="shared" si="52"/>
        <v>#REF!</v>
      </c>
      <c r="Y72" s="27" t="e">
        <f t="shared" si="53"/>
        <v>#REF!</v>
      </c>
    </row>
    <row r="73" spans="1:25" ht="16.5" customHeight="1">
      <c r="A73" s="16" t="s">
        <v>183</v>
      </c>
      <c r="B73" s="16" t="s">
        <v>184</v>
      </c>
      <c r="C73" s="25">
        <f t="shared" si="36"/>
        <v>17</v>
      </c>
      <c r="D73" s="25" t="e">
        <f t="shared" si="37"/>
        <v>#REF!</v>
      </c>
      <c r="E73" s="27" t="e">
        <f t="shared" si="38"/>
        <v>#REF!</v>
      </c>
      <c r="F73" s="25"/>
      <c r="G73" s="25">
        <f t="shared" si="39"/>
        <v>101</v>
      </c>
      <c r="H73" s="25" t="e">
        <f t="shared" si="40"/>
        <v>#REF!</v>
      </c>
      <c r="I73" s="27" t="e">
        <f t="shared" si="41"/>
        <v>#REF!</v>
      </c>
      <c r="J73" s="25"/>
      <c r="K73" s="25">
        <f t="shared" si="42"/>
        <v>70</v>
      </c>
      <c r="L73" s="25" t="e">
        <f t="shared" si="43"/>
        <v>#REF!</v>
      </c>
      <c r="M73" s="27" t="e">
        <f t="shared" si="44"/>
        <v>#REF!</v>
      </c>
      <c r="N73" s="27"/>
      <c r="O73" s="26" t="str">
        <f t="shared" si="45"/>
        <v>Central</v>
      </c>
      <c r="P73" s="26" t="e">
        <f t="shared" si="46"/>
        <v>#REF!</v>
      </c>
      <c r="Q73" s="27" t="e">
        <f t="shared" si="47"/>
        <v>#VALUE!</v>
      </c>
      <c r="R73" s="27"/>
      <c r="S73" s="26">
        <f t="shared" si="48"/>
        <v>142</v>
      </c>
      <c r="T73" s="26" t="e">
        <f t="shared" si="49"/>
        <v>#REF!</v>
      </c>
      <c r="U73" s="27" t="e">
        <f t="shared" si="50"/>
        <v>#REF!</v>
      </c>
      <c r="V73" s="27"/>
      <c r="W73" s="26">
        <f t="shared" si="51"/>
        <v>98</v>
      </c>
      <c r="X73" s="26" t="e">
        <f t="shared" si="52"/>
        <v>#REF!</v>
      </c>
      <c r="Y73" s="27" t="e">
        <f t="shared" si="53"/>
        <v>#REF!</v>
      </c>
    </row>
    <row r="74" spans="1:25" ht="16.5" customHeight="1">
      <c r="A74" s="16" t="s">
        <v>185</v>
      </c>
      <c r="B74" s="16" t="s">
        <v>186</v>
      </c>
      <c r="C74" s="25">
        <f t="shared" si="36"/>
        <v>32</v>
      </c>
      <c r="D74" s="25" t="e">
        <f t="shared" si="37"/>
        <v>#REF!</v>
      </c>
      <c r="E74" s="27" t="e">
        <f t="shared" si="38"/>
        <v>#REF!</v>
      </c>
      <c r="F74" s="25"/>
      <c r="G74" s="25">
        <f t="shared" si="39"/>
        <v>274</v>
      </c>
      <c r="H74" s="25" t="e">
        <f t="shared" si="40"/>
        <v>#REF!</v>
      </c>
      <c r="I74" s="27" t="e">
        <f t="shared" si="41"/>
        <v>#REF!</v>
      </c>
      <c r="J74" s="25"/>
      <c r="K74" s="25">
        <f t="shared" si="42"/>
        <v>79</v>
      </c>
      <c r="L74" s="25" t="e">
        <f t="shared" si="43"/>
        <v>#REF!</v>
      </c>
      <c r="M74" s="27" t="e">
        <f t="shared" si="44"/>
        <v>#REF!</v>
      </c>
      <c r="N74" s="27"/>
      <c r="O74" s="26" t="str">
        <f t="shared" si="45"/>
        <v>Central</v>
      </c>
      <c r="P74" s="26" t="e">
        <f t="shared" si="46"/>
        <v>#REF!</v>
      </c>
      <c r="Q74" s="27" t="e">
        <f t="shared" si="47"/>
        <v>#VALUE!</v>
      </c>
      <c r="R74" s="27"/>
      <c r="S74" s="26">
        <f t="shared" si="48"/>
        <v>426</v>
      </c>
      <c r="T74" s="26" t="e">
        <f t="shared" si="49"/>
        <v>#REF!</v>
      </c>
      <c r="U74" s="27" t="e">
        <f t="shared" si="50"/>
        <v>#REF!</v>
      </c>
      <c r="V74" s="27"/>
      <c r="W74" s="26">
        <f t="shared" si="51"/>
        <v>88</v>
      </c>
      <c r="X74" s="26" t="e">
        <f t="shared" si="52"/>
        <v>#REF!</v>
      </c>
      <c r="Y74" s="27" t="e">
        <f t="shared" si="53"/>
        <v>#REF!</v>
      </c>
    </row>
    <row r="75" spans="1:25" ht="16.5" customHeight="1">
      <c r="A75" s="16" t="s">
        <v>187</v>
      </c>
      <c r="B75" s="16" t="s">
        <v>188</v>
      </c>
      <c r="C75" s="25">
        <f t="shared" si="36"/>
        <v>37</v>
      </c>
      <c r="D75" s="25" t="e">
        <f t="shared" si="37"/>
        <v>#REF!</v>
      </c>
      <c r="E75" s="27" t="e">
        <f t="shared" si="38"/>
        <v>#REF!</v>
      </c>
      <c r="F75" s="25"/>
      <c r="G75" s="25">
        <f t="shared" si="39"/>
        <v>183</v>
      </c>
      <c r="H75" s="25" t="e">
        <f t="shared" si="40"/>
        <v>#REF!</v>
      </c>
      <c r="I75" s="27" t="e">
        <f t="shared" si="41"/>
        <v>#REF!</v>
      </c>
      <c r="J75" s="25"/>
      <c r="K75" s="25">
        <f t="shared" si="42"/>
        <v>100</v>
      </c>
      <c r="L75" s="25" t="e">
        <f t="shared" si="43"/>
        <v>#REF!</v>
      </c>
      <c r="M75" s="27" t="e">
        <f t="shared" si="44"/>
        <v>#REF!</v>
      </c>
      <c r="N75" s="27"/>
      <c r="O75" s="26" t="str">
        <f t="shared" si="45"/>
        <v>Eastern</v>
      </c>
      <c r="P75" s="26" t="e">
        <f t="shared" si="46"/>
        <v>#REF!</v>
      </c>
      <c r="Q75" s="27" t="e">
        <f t="shared" si="47"/>
        <v>#VALUE!</v>
      </c>
      <c r="R75" s="27"/>
      <c r="S75" s="26">
        <f t="shared" si="48"/>
        <v>282</v>
      </c>
      <c r="T75" s="26" t="e">
        <f t="shared" si="49"/>
        <v>#REF!</v>
      </c>
      <c r="U75" s="27" t="e">
        <f t="shared" si="50"/>
        <v>#REF!</v>
      </c>
      <c r="V75" s="27"/>
      <c r="W75" s="26">
        <f t="shared" si="51"/>
        <v>127</v>
      </c>
      <c r="X75" s="26" t="e">
        <f t="shared" si="52"/>
        <v>#REF!</v>
      </c>
      <c r="Y75" s="27" t="e">
        <f t="shared" si="53"/>
        <v>#REF!</v>
      </c>
    </row>
    <row r="76" spans="1:25" ht="16.5" customHeight="1">
      <c r="A76" s="16" t="s">
        <v>189</v>
      </c>
      <c r="B76" s="16" t="s">
        <v>190</v>
      </c>
      <c r="C76" s="25">
        <f t="shared" si="36"/>
        <v>942</v>
      </c>
      <c r="D76" s="25" t="e">
        <f t="shared" si="37"/>
        <v>#REF!</v>
      </c>
      <c r="E76" s="27" t="e">
        <f t="shared" si="38"/>
        <v>#REF!</v>
      </c>
      <c r="F76" s="25"/>
      <c r="G76" s="25">
        <f t="shared" si="39"/>
        <v>2639</v>
      </c>
      <c r="H76" s="25" t="e">
        <f t="shared" si="40"/>
        <v>#REF!</v>
      </c>
      <c r="I76" s="27" t="e">
        <f t="shared" si="41"/>
        <v>#REF!</v>
      </c>
      <c r="J76" s="25"/>
      <c r="K76" s="25">
        <f t="shared" si="42"/>
        <v>1032</v>
      </c>
      <c r="L76" s="25" t="e">
        <f t="shared" si="43"/>
        <v>#REF!</v>
      </c>
      <c r="M76" s="27" t="e">
        <f t="shared" si="44"/>
        <v>#REF!</v>
      </c>
      <c r="N76" s="27"/>
      <c r="O76" s="26" t="str">
        <f t="shared" si="45"/>
        <v>Northern</v>
      </c>
      <c r="P76" s="26" t="e">
        <f t="shared" si="46"/>
        <v>#REF!</v>
      </c>
      <c r="Q76" s="27" t="e">
        <f t="shared" si="47"/>
        <v>#VALUE!</v>
      </c>
      <c r="R76" s="27"/>
      <c r="S76" s="26">
        <f t="shared" si="48"/>
        <v>4452</v>
      </c>
      <c r="T76" s="26" t="e">
        <f t="shared" si="49"/>
        <v>#REF!</v>
      </c>
      <c r="U76" s="27" t="e">
        <f t="shared" si="50"/>
        <v>#REF!</v>
      </c>
      <c r="V76" s="27"/>
      <c r="W76" s="26">
        <f t="shared" si="51"/>
        <v>1458</v>
      </c>
      <c r="X76" s="26" t="e">
        <f t="shared" si="52"/>
        <v>#REF!</v>
      </c>
      <c r="Y76" s="27" t="e">
        <f t="shared" si="53"/>
        <v>#REF!</v>
      </c>
    </row>
    <row r="77" spans="1:25" ht="16.5" customHeight="1">
      <c r="A77" s="16" t="s">
        <v>191</v>
      </c>
      <c r="B77" s="16" t="s">
        <v>192</v>
      </c>
      <c r="C77" s="25">
        <f t="shared" si="36"/>
        <v>46</v>
      </c>
      <c r="D77" s="25" t="e">
        <f t="shared" si="37"/>
        <v>#REF!</v>
      </c>
      <c r="E77" s="27" t="e">
        <f t="shared" si="38"/>
        <v>#REF!</v>
      </c>
      <c r="F77" s="25"/>
      <c r="G77" s="25">
        <f t="shared" si="39"/>
        <v>375</v>
      </c>
      <c r="H77" s="25" t="e">
        <f t="shared" si="40"/>
        <v>#REF!</v>
      </c>
      <c r="I77" s="27" t="e">
        <f t="shared" si="41"/>
        <v>#REF!</v>
      </c>
      <c r="J77" s="25"/>
      <c r="K77" s="25">
        <f t="shared" si="42"/>
        <v>312</v>
      </c>
      <c r="L77" s="25" t="e">
        <f t="shared" si="43"/>
        <v>#REF!</v>
      </c>
      <c r="M77" s="27" t="e">
        <f t="shared" si="44"/>
        <v>#REF!</v>
      </c>
      <c r="N77" s="27"/>
      <c r="O77" s="26" t="str">
        <f t="shared" si="45"/>
        <v>Western</v>
      </c>
      <c r="P77" s="26" t="e">
        <f t="shared" si="46"/>
        <v>#REF!</v>
      </c>
      <c r="Q77" s="27" t="e">
        <f t="shared" si="47"/>
        <v>#VALUE!</v>
      </c>
      <c r="R77" s="27"/>
      <c r="S77" s="26">
        <f t="shared" si="48"/>
        <v>617</v>
      </c>
      <c r="T77" s="26" t="e">
        <f t="shared" si="49"/>
        <v>#REF!</v>
      </c>
      <c r="U77" s="27" t="e">
        <f t="shared" si="50"/>
        <v>#REF!</v>
      </c>
      <c r="V77" s="27"/>
      <c r="W77" s="26">
        <f t="shared" si="51"/>
        <v>456</v>
      </c>
      <c r="X77" s="26" t="e">
        <f t="shared" si="52"/>
        <v>#REF!</v>
      </c>
      <c r="Y77" s="27" t="e">
        <f t="shared" si="53"/>
        <v>#REF!</v>
      </c>
    </row>
    <row r="78" spans="1:25" ht="16.5" customHeight="1">
      <c r="A78" s="16" t="s">
        <v>195</v>
      </c>
      <c r="B78" s="16" t="s">
        <v>196</v>
      </c>
      <c r="C78" s="25">
        <f t="shared" si="36"/>
        <v>6</v>
      </c>
      <c r="D78" s="25" t="e">
        <f t="shared" si="37"/>
        <v>#REF!</v>
      </c>
      <c r="E78" s="27" t="e">
        <f t="shared" si="38"/>
        <v>#REF!</v>
      </c>
      <c r="F78" s="25"/>
      <c r="G78" s="25">
        <f t="shared" si="39"/>
        <v>14</v>
      </c>
      <c r="H78" s="25" t="e">
        <f t="shared" si="40"/>
        <v>#REF!</v>
      </c>
      <c r="I78" s="27" t="e">
        <f t="shared" si="41"/>
        <v>#REF!</v>
      </c>
      <c r="J78" s="25"/>
      <c r="K78" s="25">
        <f t="shared" si="42"/>
        <v>11</v>
      </c>
      <c r="L78" s="25" t="e">
        <f t="shared" si="43"/>
        <v>#REF!</v>
      </c>
      <c r="M78" s="27" t="e">
        <f t="shared" si="44"/>
        <v>#REF!</v>
      </c>
      <c r="N78" s="27"/>
      <c r="O78" s="26" t="str">
        <f t="shared" si="45"/>
        <v>Northern</v>
      </c>
      <c r="P78" s="26" t="e">
        <f t="shared" si="46"/>
        <v>#REF!</v>
      </c>
      <c r="Q78" s="27" t="e">
        <f t="shared" si="47"/>
        <v>#VALUE!</v>
      </c>
      <c r="R78" s="27"/>
      <c r="S78" s="26">
        <f t="shared" si="48"/>
        <v>33</v>
      </c>
      <c r="T78" s="26" t="e">
        <f t="shared" si="49"/>
        <v>#REF!</v>
      </c>
      <c r="U78" s="27" t="e">
        <f t="shared" si="50"/>
        <v>#REF!</v>
      </c>
      <c r="V78" s="27"/>
      <c r="W78" s="26">
        <f t="shared" si="51"/>
        <v>21</v>
      </c>
      <c r="X78" s="26" t="e">
        <f t="shared" si="52"/>
        <v>#REF!</v>
      </c>
      <c r="Y78" s="27" t="e">
        <f t="shared" si="53"/>
        <v>#REF!</v>
      </c>
    </row>
    <row r="79" spans="1:25" ht="16.5" customHeight="1">
      <c r="A79" s="16" t="s">
        <v>199</v>
      </c>
      <c r="B79" s="16" t="s">
        <v>200</v>
      </c>
      <c r="C79" s="25">
        <f t="shared" si="36"/>
        <v>9</v>
      </c>
      <c r="D79" s="25" t="e">
        <f t="shared" si="37"/>
        <v>#REF!</v>
      </c>
      <c r="E79" s="27" t="e">
        <f t="shared" si="38"/>
        <v>#REF!</v>
      </c>
      <c r="F79" s="25"/>
      <c r="G79" s="25">
        <f t="shared" si="39"/>
        <v>77</v>
      </c>
      <c r="H79" s="25" t="e">
        <f t="shared" si="40"/>
        <v>#REF!</v>
      </c>
      <c r="I79" s="27" t="e">
        <f t="shared" si="41"/>
        <v>#REF!</v>
      </c>
      <c r="J79" s="25"/>
      <c r="K79" s="25">
        <f t="shared" si="42"/>
        <v>29</v>
      </c>
      <c r="L79" s="25" t="e">
        <f t="shared" si="43"/>
        <v>#REF!</v>
      </c>
      <c r="M79" s="27" t="e">
        <f t="shared" si="44"/>
        <v>#REF!</v>
      </c>
      <c r="N79" s="27"/>
      <c r="O79" s="26" t="str">
        <f t="shared" si="45"/>
        <v>Central</v>
      </c>
      <c r="P79" s="26" t="e">
        <f t="shared" si="46"/>
        <v>#REF!</v>
      </c>
      <c r="Q79" s="27" t="e">
        <f t="shared" si="47"/>
        <v>#VALUE!</v>
      </c>
      <c r="R79" s="27"/>
      <c r="S79" s="26">
        <f t="shared" si="48"/>
        <v>131</v>
      </c>
      <c r="T79" s="26" t="e">
        <f t="shared" si="49"/>
        <v>#REF!</v>
      </c>
      <c r="U79" s="27" t="e">
        <f t="shared" si="50"/>
        <v>#REF!</v>
      </c>
      <c r="V79" s="27"/>
      <c r="W79" s="26">
        <f t="shared" si="51"/>
        <v>44</v>
      </c>
      <c r="X79" s="26" t="e">
        <f t="shared" si="52"/>
        <v>#REF!</v>
      </c>
      <c r="Y79" s="27" t="e">
        <f t="shared" si="53"/>
        <v>#REF!</v>
      </c>
    </row>
    <row r="80" spans="1:25" ht="16.5" customHeight="1">
      <c r="A80" s="16" t="s">
        <v>203</v>
      </c>
      <c r="B80" s="16" t="s">
        <v>204</v>
      </c>
      <c r="C80" s="25">
        <f t="shared" si="36"/>
        <v>147</v>
      </c>
      <c r="D80" s="25" t="e">
        <f t="shared" si="37"/>
        <v>#REF!</v>
      </c>
      <c r="E80" s="27" t="e">
        <f t="shared" si="38"/>
        <v>#REF!</v>
      </c>
      <c r="F80" s="25"/>
      <c r="G80" s="25">
        <f t="shared" si="39"/>
        <v>540</v>
      </c>
      <c r="H80" s="25" t="e">
        <f t="shared" si="40"/>
        <v>#REF!</v>
      </c>
      <c r="I80" s="27" t="e">
        <f t="shared" si="41"/>
        <v>#REF!</v>
      </c>
      <c r="J80" s="25"/>
      <c r="K80" s="25">
        <f t="shared" si="42"/>
        <v>374</v>
      </c>
      <c r="L80" s="25" t="e">
        <f t="shared" si="43"/>
        <v>#REF!</v>
      </c>
      <c r="M80" s="27" t="e">
        <f t="shared" si="44"/>
        <v>#REF!</v>
      </c>
      <c r="N80" s="27"/>
      <c r="O80" s="26" t="str">
        <f t="shared" si="45"/>
        <v>Piedmont</v>
      </c>
      <c r="P80" s="26" t="e">
        <f t="shared" si="46"/>
        <v>#REF!</v>
      </c>
      <c r="Q80" s="27" t="e">
        <f t="shared" si="47"/>
        <v>#VALUE!</v>
      </c>
      <c r="R80" s="27"/>
      <c r="S80" s="26">
        <f t="shared" si="48"/>
        <v>986</v>
      </c>
      <c r="T80" s="26" t="e">
        <f t="shared" si="49"/>
        <v>#REF!</v>
      </c>
      <c r="U80" s="27" t="e">
        <f t="shared" si="50"/>
        <v>#REF!</v>
      </c>
      <c r="V80" s="27"/>
      <c r="W80" s="26">
        <f t="shared" si="51"/>
        <v>585</v>
      </c>
      <c r="X80" s="26" t="e">
        <f t="shared" si="52"/>
        <v>#REF!</v>
      </c>
      <c r="Y80" s="27" t="e">
        <f t="shared" si="53"/>
        <v>#REF!</v>
      </c>
    </row>
    <row r="81" spans="1:25" ht="16.5" customHeight="1">
      <c r="A81" s="16" t="s">
        <v>205</v>
      </c>
      <c r="B81" s="16" t="s">
        <v>206</v>
      </c>
      <c r="C81" s="25">
        <f t="shared" si="36"/>
        <v>42</v>
      </c>
      <c r="D81" s="25" t="e">
        <f t="shared" si="37"/>
        <v>#REF!</v>
      </c>
      <c r="E81" s="27" t="e">
        <f t="shared" si="38"/>
        <v>#REF!</v>
      </c>
      <c r="F81" s="25"/>
      <c r="G81" s="25">
        <f t="shared" si="39"/>
        <v>169</v>
      </c>
      <c r="H81" s="25" t="e">
        <f t="shared" si="40"/>
        <v>#REF!</v>
      </c>
      <c r="I81" s="27" t="e">
        <f t="shared" si="41"/>
        <v>#REF!</v>
      </c>
      <c r="J81" s="25"/>
      <c r="K81" s="25">
        <f t="shared" si="42"/>
        <v>144</v>
      </c>
      <c r="L81" s="25" t="e">
        <f t="shared" si="43"/>
        <v>#REF!</v>
      </c>
      <c r="M81" s="27" t="e">
        <f t="shared" si="44"/>
        <v>#REF!</v>
      </c>
      <c r="N81" s="27"/>
      <c r="O81" s="26" t="str">
        <f t="shared" si="45"/>
        <v>Piedmont</v>
      </c>
      <c r="P81" s="26" t="e">
        <f t="shared" si="46"/>
        <v>#REF!</v>
      </c>
      <c r="Q81" s="27" t="e">
        <f t="shared" si="47"/>
        <v>#VALUE!</v>
      </c>
      <c r="R81" s="27"/>
      <c r="S81" s="26">
        <f t="shared" si="48"/>
        <v>251</v>
      </c>
      <c r="T81" s="26" t="e">
        <f t="shared" si="49"/>
        <v>#REF!</v>
      </c>
      <c r="U81" s="27" t="e">
        <f t="shared" si="50"/>
        <v>#REF!</v>
      </c>
      <c r="V81" s="27"/>
      <c r="W81" s="26">
        <f t="shared" si="51"/>
        <v>175</v>
      </c>
      <c r="X81" s="26" t="e">
        <f t="shared" si="52"/>
        <v>#REF!</v>
      </c>
      <c r="Y81" s="27" t="e">
        <f t="shared" si="53"/>
        <v>#REF!</v>
      </c>
    </row>
    <row r="82" spans="1:25" ht="16.5" customHeight="1">
      <c r="A82" s="16" t="s">
        <v>207</v>
      </c>
      <c r="B82" s="16" t="s">
        <v>208</v>
      </c>
      <c r="C82" s="25">
        <f t="shared" si="36"/>
        <v>228</v>
      </c>
      <c r="D82" s="25" t="e">
        <f t="shared" si="37"/>
        <v>#REF!</v>
      </c>
      <c r="E82" s="27" t="e">
        <f t="shared" si="38"/>
        <v>#REF!</v>
      </c>
      <c r="F82" s="25"/>
      <c r="G82" s="25">
        <f t="shared" si="39"/>
        <v>767</v>
      </c>
      <c r="H82" s="25" t="e">
        <f t="shared" si="40"/>
        <v>#REF!</v>
      </c>
      <c r="I82" s="27" t="e">
        <f t="shared" si="41"/>
        <v>#REF!</v>
      </c>
      <c r="J82" s="25"/>
      <c r="K82" s="25">
        <f t="shared" si="42"/>
        <v>536</v>
      </c>
      <c r="L82" s="25" t="e">
        <f t="shared" si="43"/>
        <v>#REF!</v>
      </c>
      <c r="M82" s="27" t="e">
        <f t="shared" si="44"/>
        <v>#REF!</v>
      </c>
      <c r="N82" s="27"/>
      <c r="O82" s="26" t="str">
        <f t="shared" si="45"/>
        <v>Northern</v>
      </c>
      <c r="P82" s="26" t="e">
        <f t="shared" si="46"/>
        <v>#REF!</v>
      </c>
      <c r="Q82" s="27" t="e">
        <f t="shared" si="47"/>
        <v>#VALUE!</v>
      </c>
      <c r="R82" s="27"/>
      <c r="S82" s="26">
        <f t="shared" si="48"/>
        <v>1233</v>
      </c>
      <c r="T82" s="26" t="e">
        <f t="shared" si="49"/>
        <v>#REF!</v>
      </c>
      <c r="U82" s="27" t="e">
        <f t="shared" si="50"/>
        <v>#REF!</v>
      </c>
      <c r="V82" s="27"/>
      <c r="W82" s="26">
        <f t="shared" si="51"/>
        <v>790</v>
      </c>
      <c r="X82" s="26" t="e">
        <f t="shared" si="52"/>
        <v>#REF!</v>
      </c>
      <c r="Y82" s="27" t="e">
        <f t="shared" si="53"/>
        <v>#REF!</v>
      </c>
    </row>
    <row r="83" spans="1:25" ht="16.5" customHeight="1">
      <c r="A83" s="16" t="s">
        <v>209</v>
      </c>
      <c r="B83" s="29" t="s">
        <v>210</v>
      </c>
      <c r="C83" s="25">
        <f t="shared" si="36"/>
        <v>72</v>
      </c>
      <c r="D83" s="25" t="e">
        <f t="shared" si="37"/>
        <v>#REF!</v>
      </c>
      <c r="E83" s="27" t="e">
        <f t="shared" si="38"/>
        <v>#REF!</v>
      </c>
      <c r="F83" s="25"/>
      <c r="G83" s="25">
        <f t="shared" si="39"/>
        <v>462</v>
      </c>
      <c r="H83" s="25" t="e">
        <f t="shared" si="40"/>
        <v>#REF!</v>
      </c>
      <c r="I83" s="27" t="e">
        <f t="shared" si="41"/>
        <v>#REF!</v>
      </c>
      <c r="J83" s="25"/>
      <c r="K83" s="25">
        <f t="shared" si="42"/>
        <v>437</v>
      </c>
      <c r="L83" s="25" t="e">
        <f t="shared" si="43"/>
        <v>#REF!</v>
      </c>
      <c r="M83" s="27" t="e">
        <f t="shared" si="44"/>
        <v>#REF!</v>
      </c>
      <c r="N83" s="27"/>
      <c r="O83" s="26" t="str">
        <f t="shared" si="45"/>
        <v>Western</v>
      </c>
      <c r="P83" s="26" t="e">
        <f t="shared" si="46"/>
        <v>#REF!</v>
      </c>
      <c r="Q83" s="27" t="e">
        <f t="shared" si="47"/>
        <v>#VALUE!</v>
      </c>
      <c r="R83" s="27"/>
      <c r="S83" s="26">
        <f t="shared" si="48"/>
        <v>649</v>
      </c>
      <c r="T83" s="26" t="e">
        <f t="shared" si="49"/>
        <v>#REF!</v>
      </c>
      <c r="U83" s="27" t="e">
        <f t="shared" si="50"/>
        <v>#REF!</v>
      </c>
      <c r="V83" s="27"/>
      <c r="W83" s="26">
        <f t="shared" si="51"/>
        <v>563</v>
      </c>
      <c r="X83" s="26" t="e">
        <f t="shared" si="52"/>
        <v>#REF!</v>
      </c>
      <c r="Y83" s="27" t="e">
        <f t="shared" si="53"/>
        <v>#REF!</v>
      </c>
    </row>
    <row r="84" spans="1:25" ht="16.5" customHeight="1">
      <c r="A84" s="16" t="s">
        <v>211</v>
      </c>
      <c r="B84" s="16" t="s">
        <v>212</v>
      </c>
      <c r="C84" s="25">
        <f t="shared" si="36"/>
        <v>46</v>
      </c>
      <c r="D84" s="25" t="e">
        <f t="shared" si="37"/>
        <v>#REF!</v>
      </c>
      <c r="E84" s="27" t="e">
        <f t="shared" si="38"/>
        <v>#REF!</v>
      </c>
      <c r="F84" s="25"/>
      <c r="G84" s="25">
        <f t="shared" si="39"/>
        <v>412</v>
      </c>
      <c r="H84" s="25" t="e">
        <f t="shared" si="40"/>
        <v>#REF!</v>
      </c>
      <c r="I84" s="27" t="e">
        <f t="shared" si="41"/>
        <v>#REF!</v>
      </c>
      <c r="J84" s="25"/>
      <c r="K84" s="25">
        <f t="shared" si="42"/>
        <v>386</v>
      </c>
      <c r="L84" s="25" t="e">
        <f t="shared" si="43"/>
        <v>#REF!</v>
      </c>
      <c r="M84" s="27" t="e">
        <f t="shared" si="44"/>
        <v>#REF!</v>
      </c>
      <c r="N84" s="27"/>
      <c r="O84" s="26" t="str">
        <f t="shared" si="45"/>
        <v>Western</v>
      </c>
      <c r="P84" s="26" t="e">
        <f t="shared" si="46"/>
        <v>#REF!</v>
      </c>
      <c r="Q84" s="27" t="e">
        <f t="shared" si="47"/>
        <v>#VALUE!</v>
      </c>
      <c r="R84" s="27"/>
      <c r="S84" s="26">
        <f t="shared" si="48"/>
        <v>547</v>
      </c>
      <c r="T84" s="26" t="e">
        <f t="shared" si="49"/>
        <v>#REF!</v>
      </c>
      <c r="U84" s="27" t="e">
        <f t="shared" si="50"/>
        <v>#REF!</v>
      </c>
      <c r="V84" s="27"/>
      <c r="W84" s="26">
        <f t="shared" si="51"/>
        <v>490</v>
      </c>
      <c r="X84" s="26" t="e">
        <f t="shared" si="52"/>
        <v>#REF!</v>
      </c>
      <c r="Y84" s="27" t="e">
        <f t="shared" si="53"/>
        <v>#REF!</v>
      </c>
    </row>
    <row r="85" spans="1:25" ht="16.5" customHeight="1">
      <c r="A85" s="16" t="s">
        <v>213</v>
      </c>
      <c r="B85" s="16" t="s">
        <v>214</v>
      </c>
      <c r="C85" s="25">
        <f t="shared" si="36"/>
        <v>56</v>
      </c>
      <c r="D85" s="25" t="e">
        <f t="shared" si="37"/>
        <v>#REF!</v>
      </c>
      <c r="E85" s="27" t="e">
        <f t="shared" si="38"/>
        <v>#REF!</v>
      </c>
      <c r="F85" s="25"/>
      <c r="G85" s="25">
        <f t="shared" si="39"/>
        <v>148</v>
      </c>
      <c r="H85" s="25" t="e">
        <f t="shared" si="40"/>
        <v>#REF!</v>
      </c>
      <c r="I85" s="27" t="e">
        <f t="shared" si="41"/>
        <v>#REF!</v>
      </c>
      <c r="J85" s="25"/>
      <c r="K85" s="25">
        <f t="shared" si="42"/>
        <v>113</v>
      </c>
      <c r="L85" s="25" t="e">
        <f t="shared" si="43"/>
        <v>#REF!</v>
      </c>
      <c r="M85" s="27" t="e">
        <f t="shared" si="44"/>
        <v>#REF!</v>
      </c>
      <c r="N85" s="27"/>
      <c r="O85" s="26" t="str">
        <f t="shared" si="45"/>
        <v>Northern</v>
      </c>
      <c r="P85" s="26" t="e">
        <f t="shared" si="46"/>
        <v>#REF!</v>
      </c>
      <c r="Q85" s="27" t="e">
        <f t="shared" si="47"/>
        <v>#VALUE!</v>
      </c>
      <c r="R85" s="27"/>
      <c r="S85" s="26">
        <f t="shared" si="48"/>
        <v>249</v>
      </c>
      <c r="T85" s="26" t="e">
        <f t="shared" si="49"/>
        <v>#REF!</v>
      </c>
      <c r="U85" s="27" t="e">
        <f t="shared" si="50"/>
        <v>#REF!</v>
      </c>
      <c r="V85" s="27"/>
      <c r="W85" s="26">
        <f t="shared" si="51"/>
        <v>180</v>
      </c>
      <c r="X85" s="26" t="e">
        <f t="shared" si="52"/>
        <v>#REF!</v>
      </c>
      <c r="Y85" s="27" t="e">
        <f t="shared" si="53"/>
        <v>#REF!</v>
      </c>
    </row>
    <row r="86" spans="1:25" ht="16.5" customHeight="1">
      <c r="A86" s="16" t="s">
        <v>215</v>
      </c>
      <c r="B86" s="16" t="s">
        <v>216</v>
      </c>
      <c r="C86" s="25">
        <f t="shared" si="36"/>
        <v>66</v>
      </c>
      <c r="D86" s="25" t="e">
        <f t="shared" si="37"/>
        <v>#REF!</v>
      </c>
      <c r="E86" s="27" t="e">
        <f t="shared" si="38"/>
        <v>#REF!</v>
      </c>
      <c r="F86" s="25"/>
      <c r="G86" s="25">
        <f t="shared" si="39"/>
        <v>460</v>
      </c>
      <c r="H86" s="25" t="e">
        <f t="shared" si="40"/>
        <v>#REF!</v>
      </c>
      <c r="I86" s="27" t="e">
        <f t="shared" si="41"/>
        <v>#REF!</v>
      </c>
      <c r="J86" s="25"/>
      <c r="K86" s="25">
        <f t="shared" si="42"/>
        <v>424</v>
      </c>
      <c r="L86" s="25" t="e">
        <f t="shared" si="43"/>
        <v>#REF!</v>
      </c>
      <c r="M86" s="27" t="e">
        <f t="shared" si="44"/>
        <v>#REF!</v>
      </c>
      <c r="N86" s="27"/>
      <c r="O86" s="26" t="str">
        <f t="shared" si="45"/>
        <v>Western</v>
      </c>
      <c r="P86" s="26" t="e">
        <f t="shared" si="46"/>
        <v>#REF!</v>
      </c>
      <c r="Q86" s="27" t="e">
        <f t="shared" si="47"/>
        <v>#VALUE!</v>
      </c>
      <c r="R86" s="27"/>
      <c r="S86" s="26">
        <f t="shared" si="48"/>
        <v>678</v>
      </c>
      <c r="T86" s="26" t="e">
        <f t="shared" si="49"/>
        <v>#REF!</v>
      </c>
      <c r="U86" s="27" t="e">
        <f t="shared" si="50"/>
        <v>#REF!</v>
      </c>
      <c r="V86" s="27"/>
      <c r="W86" s="26">
        <f t="shared" si="51"/>
        <v>588</v>
      </c>
      <c r="X86" s="26" t="e">
        <f t="shared" si="52"/>
        <v>#REF!</v>
      </c>
      <c r="Y86" s="27" t="e">
        <f t="shared" si="53"/>
        <v>#REF!</v>
      </c>
    </row>
    <row r="87" spans="1:25" ht="16.5" customHeight="1">
      <c r="A87" s="16" t="s">
        <v>217</v>
      </c>
      <c r="B87" s="16" t="s">
        <v>218</v>
      </c>
      <c r="C87" s="25">
        <f t="shared" si="36"/>
        <v>46</v>
      </c>
      <c r="D87" s="25" t="e">
        <f t="shared" si="37"/>
        <v>#REF!</v>
      </c>
      <c r="E87" s="27" t="e">
        <f t="shared" si="38"/>
        <v>#REF!</v>
      </c>
      <c r="F87" s="25"/>
      <c r="G87" s="25">
        <f t="shared" si="39"/>
        <v>253</v>
      </c>
      <c r="H87" s="25" t="e">
        <f t="shared" si="40"/>
        <v>#REF!</v>
      </c>
      <c r="I87" s="27" t="e">
        <f t="shared" si="41"/>
        <v>#REF!</v>
      </c>
      <c r="J87" s="25"/>
      <c r="K87" s="25">
        <f t="shared" si="42"/>
        <v>51</v>
      </c>
      <c r="L87" s="25" t="e">
        <f t="shared" si="43"/>
        <v>#REF!</v>
      </c>
      <c r="M87" s="27" t="e">
        <f t="shared" si="44"/>
        <v>#REF!</v>
      </c>
      <c r="N87" s="27"/>
      <c r="O87" s="26" t="str">
        <f t="shared" si="45"/>
        <v>Eastern</v>
      </c>
      <c r="P87" s="26" t="e">
        <f t="shared" si="46"/>
        <v>#REF!</v>
      </c>
      <c r="Q87" s="27" t="e">
        <f t="shared" si="47"/>
        <v>#VALUE!</v>
      </c>
      <c r="R87" s="27"/>
      <c r="S87" s="26">
        <f t="shared" si="48"/>
        <v>422</v>
      </c>
      <c r="T87" s="26" t="e">
        <f t="shared" si="49"/>
        <v>#REF!</v>
      </c>
      <c r="U87" s="27" t="e">
        <f t="shared" si="50"/>
        <v>#REF!</v>
      </c>
      <c r="V87" s="27"/>
      <c r="W87" s="26">
        <f t="shared" si="51"/>
        <v>61</v>
      </c>
      <c r="X87" s="26" t="e">
        <f t="shared" si="52"/>
        <v>#REF!</v>
      </c>
      <c r="Y87" s="27" t="e">
        <f t="shared" si="53"/>
        <v>#REF!</v>
      </c>
    </row>
    <row r="88" spans="1:25" ht="16.5" customHeight="1">
      <c r="A88" s="16" t="s">
        <v>219</v>
      </c>
      <c r="B88" s="16" t="s">
        <v>220</v>
      </c>
      <c r="C88" s="25">
        <f t="shared" si="36"/>
        <v>166</v>
      </c>
      <c r="D88" s="25" t="e">
        <f t="shared" si="37"/>
        <v>#REF!</v>
      </c>
      <c r="E88" s="27" t="e">
        <f t="shared" si="38"/>
        <v>#REF!</v>
      </c>
      <c r="F88" s="25"/>
      <c r="G88" s="25">
        <f t="shared" si="39"/>
        <v>885</v>
      </c>
      <c r="H88" s="25" t="e">
        <f t="shared" si="40"/>
        <v>#REF!</v>
      </c>
      <c r="I88" s="27" t="e">
        <f t="shared" si="41"/>
        <v>#REF!</v>
      </c>
      <c r="J88" s="25"/>
      <c r="K88" s="25">
        <f t="shared" si="42"/>
        <v>509</v>
      </c>
      <c r="L88" s="25" t="e">
        <f t="shared" si="43"/>
        <v>#REF!</v>
      </c>
      <c r="M88" s="27" t="e">
        <f t="shared" si="44"/>
        <v>#REF!</v>
      </c>
      <c r="N88" s="27"/>
      <c r="O88" s="26" t="str">
        <f t="shared" si="45"/>
        <v>Northern</v>
      </c>
      <c r="P88" s="26" t="e">
        <f t="shared" si="46"/>
        <v>#REF!</v>
      </c>
      <c r="Q88" s="27" t="e">
        <f t="shared" si="47"/>
        <v>#VALUE!</v>
      </c>
      <c r="R88" s="27"/>
      <c r="S88" s="26">
        <f t="shared" si="48"/>
        <v>1458</v>
      </c>
      <c r="T88" s="26" t="e">
        <f t="shared" si="49"/>
        <v>#REF!</v>
      </c>
      <c r="U88" s="27" t="e">
        <f t="shared" si="50"/>
        <v>#REF!</v>
      </c>
      <c r="V88" s="27"/>
      <c r="W88" s="26">
        <f t="shared" si="51"/>
        <v>714</v>
      </c>
      <c r="X88" s="26" t="e">
        <f t="shared" si="52"/>
        <v>#REF!</v>
      </c>
      <c r="Y88" s="27" t="e">
        <f t="shared" si="53"/>
        <v>#REF!</v>
      </c>
    </row>
    <row r="89" spans="1:25" ht="16.5" customHeight="1">
      <c r="A89" s="16" t="s">
        <v>221</v>
      </c>
      <c r="B89" s="16" t="s">
        <v>222</v>
      </c>
      <c r="C89" s="25">
        <f t="shared" si="36"/>
        <v>343</v>
      </c>
      <c r="D89" s="25" t="e">
        <f t="shared" si="37"/>
        <v>#REF!</v>
      </c>
      <c r="E89" s="27" t="e">
        <f t="shared" si="38"/>
        <v>#REF!</v>
      </c>
      <c r="F89" s="25"/>
      <c r="G89" s="25">
        <f t="shared" si="39"/>
        <v>670</v>
      </c>
      <c r="H89" s="25" t="e">
        <f t="shared" si="40"/>
        <v>#REF!</v>
      </c>
      <c r="I89" s="27" t="e">
        <f t="shared" si="41"/>
        <v>#REF!</v>
      </c>
      <c r="J89" s="25"/>
      <c r="K89" s="25">
        <f t="shared" si="42"/>
        <v>273</v>
      </c>
      <c r="L89" s="25" t="e">
        <f t="shared" si="43"/>
        <v>#REF!</v>
      </c>
      <c r="M89" s="27" t="e">
        <f t="shared" si="44"/>
        <v>#REF!</v>
      </c>
      <c r="N89" s="27"/>
      <c r="O89" s="26" t="str">
        <f t="shared" si="45"/>
        <v>Northern</v>
      </c>
      <c r="P89" s="26" t="e">
        <f t="shared" si="46"/>
        <v>#REF!</v>
      </c>
      <c r="Q89" s="27" t="e">
        <f t="shared" si="47"/>
        <v>#VALUE!</v>
      </c>
      <c r="R89" s="27"/>
      <c r="S89" s="26">
        <f t="shared" si="48"/>
        <v>1196</v>
      </c>
      <c r="T89" s="26" t="e">
        <f t="shared" si="49"/>
        <v>#REF!</v>
      </c>
      <c r="U89" s="27" t="e">
        <f t="shared" si="50"/>
        <v>#REF!</v>
      </c>
      <c r="V89" s="27"/>
      <c r="W89" s="26">
        <f t="shared" si="51"/>
        <v>386</v>
      </c>
      <c r="X89" s="26" t="e">
        <f t="shared" si="52"/>
        <v>#REF!</v>
      </c>
      <c r="Y89" s="27" t="e">
        <f t="shared" si="53"/>
        <v>#REF!</v>
      </c>
    </row>
    <row r="90" spans="1:25" ht="16.5" customHeight="1">
      <c r="A90" s="16" t="s">
        <v>225</v>
      </c>
      <c r="B90" s="16" t="s">
        <v>226</v>
      </c>
      <c r="C90" s="25">
        <f t="shared" si="36"/>
        <v>6</v>
      </c>
      <c r="D90" s="25" t="e">
        <f t="shared" si="37"/>
        <v>#REF!</v>
      </c>
      <c r="E90" s="27" t="e">
        <f t="shared" si="38"/>
        <v>#REF!</v>
      </c>
      <c r="F90" s="25"/>
      <c r="G90" s="25">
        <f t="shared" si="39"/>
        <v>92</v>
      </c>
      <c r="H90" s="25" t="e">
        <f t="shared" si="40"/>
        <v>#REF!</v>
      </c>
      <c r="I90" s="27" t="e">
        <f t="shared" si="41"/>
        <v>#REF!</v>
      </c>
      <c r="J90" s="25"/>
      <c r="K90" s="25">
        <f t="shared" si="42"/>
        <v>36</v>
      </c>
      <c r="L90" s="25" t="e">
        <f t="shared" si="43"/>
        <v>#REF!</v>
      </c>
      <c r="M90" s="27" t="e">
        <f t="shared" si="44"/>
        <v>#REF!</v>
      </c>
      <c r="N90" s="27"/>
      <c r="O90" s="26" t="str">
        <f t="shared" si="45"/>
        <v>Eastern</v>
      </c>
      <c r="P90" s="26" t="e">
        <f t="shared" si="46"/>
        <v>#REF!</v>
      </c>
      <c r="Q90" s="27" t="e">
        <f t="shared" si="47"/>
        <v>#VALUE!</v>
      </c>
      <c r="R90" s="27"/>
      <c r="S90" s="26">
        <f t="shared" si="48"/>
        <v>145</v>
      </c>
      <c r="T90" s="26" t="e">
        <f t="shared" si="49"/>
        <v>#REF!</v>
      </c>
      <c r="U90" s="27" t="e">
        <f t="shared" si="50"/>
        <v>#REF!</v>
      </c>
      <c r="V90" s="27"/>
      <c r="W90" s="26">
        <f t="shared" si="51"/>
        <v>46</v>
      </c>
      <c r="X90" s="26" t="e">
        <f t="shared" si="52"/>
        <v>#REF!</v>
      </c>
      <c r="Y90" s="27" t="e">
        <f t="shared" si="53"/>
        <v>#REF!</v>
      </c>
    </row>
    <row r="91" spans="1:25" ht="16.5" customHeight="1">
      <c r="A91" s="16" t="s">
        <v>227</v>
      </c>
      <c r="B91" s="16" t="s">
        <v>228</v>
      </c>
      <c r="C91" s="25">
        <f t="shared" si="36"/>
        <v>36</v>
      </c>
      <c r="D91" s="25" t="e">
        <f t="shared" si="37"/>
        <v>#REF!</v>
      </c>
      <c r="E91" s="27" t="e">
        <f t="shared" si="38"/>
        <v>#REF!</v>
      </c>
      <c r="F91" s="25"/>
      <c r="G91" s="25">
        <f t="shared" si="39"/>
        <v>153</v>
      </c>
      <c r="H91" s="25" t="e">
        <f t="shared" si="40"/>
        <v>#REF!</v>
      </c>
      <c r="I91" s="27" t="e">
        <f t="shared" si="41"/>
        <v>#REF!</v>
      </c>
      <c r="J91" s="25"/>
      <c r="K91" s="25">
        <f t="shared" si="42"/>
        <v>32</v>
      </c>
      <c r="L91" s="25" t="e">
        <f t="shared" si="43"/>
        <v>#REF!</v>
      </c>
      <c r="M91" s="27" t="e">
        <f t="shared" si="44"/>
        <v>#REF!</v>
      </c>
      <c r="N91" s="27"/>
      <c r="O91" s="26" t="str">
        <f t="shared" si="45"/>
        <v>Eastern</v>
      </c>
      <c r="P91" s="26" t="e">
        <f t="shared" si="46"/>
        <v>#REF!</v>
      </c>
      <c r="Q91" s="27" t="e">
        <f t="shared" si="47"/>
        <v>#VALUE!</v>
      </c>
      <c r="R91" s="27"/>
      <c r="S91" s="26">
        <f t="shared" si="48"/>
        <v>253</v>
      </c>
      <c r="T91" s="26" t="e">
        <f t="shared" si="49"/>
        <v>#REF!</v>
      </c>
      <c r="U91" s="27" t="e">
        <f t="shared" si="50"/>
        <v>#REF!</v>
      </c>
      <c r="V91" s="27"/>
      <c r="W91" s="26">
        <f t="shared" si="51"/>
        <v>45</v>
      </c>
      <c r="X91" s="26" t="e">
        <f t="shared" si="52"/>
        <v>#REF!</v>
      </c>
      <c r="Y91" s="27" t="e">
        <f t="shared" si="53"/>
        <v>#REF!</v>
      </c>
    </row>
    <row r="92" spans="1:25" ht="16.5" customHeight="1">
      <c r="A92" s="16" t="s">
        <v>229</v>
      </c>
      <c r="B92" s="16" t="s">
        <v>230</v>
      </c>
      <c r="C92" s="25">
        <f t="shared" si="36"/>
        <v>95</v>
      </c>
      <c r="D92" s="25" t="e">
        <f t="shared" si="37"/>
        <v>#REF!</v>
      </c>
      <c r="E92" s="27" t="e">
        <f t="shared" si="38"/>
        <v>#REF!</v>
      </c>
      <c r="F92" s="25"/>
      <c r="G92" s="25">
        <f t="shared" si="39"/>
        <v>579</v>
      </c>
      <c r="H92" s="25" t="e">
        <f t="shared" si="40"/>
        <v>#REF!</v>
      </c>
      <c r="I92" s="27" t="e">
        <f t="shared" si="41"/>
        <v>#REF!</v>
      </c>
      <c r="J92" s="25"/>
      <c r="K92" s="25">
        <f t="shared" si="42"/>
        <v>527</v>
      </c>
      <c r="L92" s="25" t="e">
        <f t="shared" si="43"/>
        <v>#REF!</v>
      </c>
      <c r="M92" s="27" t="e">
        <f t="shared" si="44"/>
        <v>#REF!</v>
      </c>
      <c r="N92" s="27"/>
      <c r="O92" s="26" t="str">
        <f t="shared" si="45"/>
        <v>Western</v>
      </c>
      <c r="P92" s="26" t="e">
        <f t="shared" si="46"/>
        <v>#REF!</v>
      </c>
      <c r="Q92" s="27" t="e">
        <f t="shared" si="47"/>
        <v>#VALUE!</v>
      </c>
      <c r="R92" s="27"/>
      <c r="S92" s="26">
        <f t="shared" si="48"/>
        <v>819</v>
      </c>
      <c r="T92" s="26" t="e">
        <f t="shared" si="49"/>
        <v>#REF!</v>
      </c>
      <c r="U92" s="27" t="e">
        <f t="shared" si="50"/>
        <v>#REF!</v>
      </c>
      <c r="V92" s="27"/>
      <c r="W92" s="26">
        <f t="shared" si="51"/>
        <v>672</v>
      </c>
      <c r="X92" s="26" t="e">
        <f t="shared" si="52"/>
        <v>#REF!</v>
      </c>
      <c r="Y92" s="27" t="e">
        <f t="shared" si="53"/>
        <v>#REF!</v>
      </c>
    </row>
    <row r="93" spans="1:25" ht="16.5" customHeight="1">
      <c r="A93" s="16" t="s">
        <v>233</v>
      </c>
      <c r="B93" s="16" t="s">
        <v>234</v>
      </c>
      <c r="C93" s="25">
        <f t="shared" si="36"/>
        <v>76</v>
      </c>
      <c r="D93" s="25" t="e">
        <f t="shared" si="37"/>
        <v>#REF!</v>
      </c>
      <c r="E93" s="27" t="e">
        <f t="shared" si="38"/>
        <v>#REF!</v>
      </c>
      <c r="F93" s="25"/>
      <c r="G93" s="25">
        <f t="shared" si="39"/>
        <v>283</v>
      </c>
      <c r="H93" s="25" t="e">
        <f t="shared" si="40"/>
        <v>#REF!</v>
      </c>
      <c r="I93" s="27" t="e">
        <f t="shared" si="41"/>
        <v>#REF!</v>
      </c>
      <c r="J93" s="25"/>
      <c r="K93" s="25">
        <f t="shared" si="42"/>
        <v>226</v>
      </c>
      <c r="L93" s="25" t="e">
        <f t="shared" si="43"/>
        <v>#REF!</v>
      </c>
      <c r="M93" s="27" t="e">
        <f t="shared" si="44"/>
        <v>#REF!</v>
      </c>
      <c r="N93" s="27"/>
      <c r="O93" s="26" t="str">
        <f t="shared" si="45"/>
        <v>Northern</v>
      </c>
      <c r="P93" s="26" t="e">
        <f t="shared" si="46"/>
        <v>#REF!</v>
      </c>
      <c r="Q93" s="27" t="e">
        <f t="shared" si="47"/>
        <v>#VALUE!</v>
      </c>
      <c r="R93" s="27"/>
      <c r="S93" s="26">
        <f t="shared" si="48"/>
        <v>435</v>
      </c>
      <c r="T93" s="26" t="e">
        <f t="shared" si="49"/>
        <v>#REF!</v>
      </c>
      <c r="U93" s="27" t="e">
        <f t="shared" si="50"/>
        <v>#REF!</v>
      </c>
      <c r="V93" s="27"/>
      <c r="W93" s="26">
        <f t="shared" si="51"/>
        <v>295</v>
      </c>
      <c r="X93" s="26" t="e">
        <f t="shared" si="52"/>
        <v>#REF!</v>
      </c>
      <c r="Y93" s="27" t="e">
        <f t="shared" si="53"/>
        <v>#REF!</v>
      </c>
    </row>
    <row r="94" spans="1:25" ht="16.5" customHeight="1">
      <c r="A94" s="16" t="s">
        <v>235</v>
      </c>
      <c r="B94" s="16" t="s">
        <v>236</v>
      </c>
      <c r="C94" s="25">
        <f t="shared" si="36"/>
        <v>34</v>
      </c>
      <c r="D94" s="25" t="e">
        <f t="shared" si="37"/>
        <v>#REF!</v>
      </c>
      <c r="E94" s="27" t="e">
        <f t="shared" si="38"/>
        <v>#REF!</v>
      </c>
      <c r="F94" s="25"/>
      <c r="G94" s="25">
        <f t="shared" si="39"/>
        <v>400</v>
      </c>
      <c r="H94" s="25" t="e">
        <f t="shared" si="40"/>
        <v>#REF!</v>
      </c>
      <c r="I94" s="27" t="e">
        <f t="shared" si="41"/>
        <v>#REF!</v>
      </c>
      <c r="J94" s="25"/>
      <c r="K94" s="25">
        <f t="shared" si="42"/>
        <v>376</v>
      </c>
      <c r="L94" s="25" t="e">
        <f t="shared" si="43"/>
        <v>#REF!</v>
      </c>
      <c r="M94" s="27" t="e">
        <f t="shared" si="44"/>
        <v>#REF!</v>
      </c>
      <c r="N94" s="27"/>
      <c r="O94" s="26" t="str">
        <f t="shared" si="45"/>
        <v>Western</v>
      </c>
      <c r="P94" s="26" t="e">
        <f t="shared" si="46"/>
        <v>#REF!</v>
      </c>
      <c r="Q94" s="27" t="e">
        <f t="shared" si="47"/>
        <v>#VALUE!</v>
      </c>
      <c r="R94" s="27"/>
      <c r="S94" s="26">
        <f t="shared" si="48"/>
        <v>645</v>
      </c>
      <c r="T94" s="26" t="e">
        <f t="shared" si="49"/>
        <v>#REF!</v>
      </c>
      <c r="U94" s="27" t="e">
        <f t="shared" si="50"/>
        <v>#REF!</v>
      </c>
      <c r="V94" s="27"/>
      <c r="W94" s="26">
        <f t="shared" si="51"/>
        <v>587</v>
      </c>
      <c r="X94" s="26" t="e">
        <f t="shared" si="52"/>
        <v>#REF!</v>
      </c>
      <c r="Y94" s="27" t="e">
        <f t="shared" si="53"/>
        <v>#REF!</v>
      </c>
    </row>
    <row r="95" spans="1:25" ht="16.5" customHeight="1">
      <c r="A95" s="16" t="s">
        <v>237</v>
      </c>
      <c r="B95" s="16" t="s">
        <v>238</v>
      </c>
      <c r="C95" s="25">
        <f t="shared" si="36"/>
        <v>40</v>
      </c>
      <c r="D95" s="25" t="e">
        <f t="shared" si="37"/>
        <v>#REF!</v>
      </c>
      <c r="E95" s="27" t="e">
        <f t="shared" si="38"/>
        <v>#REF!</v>
      </c>
      <c r="F95" s="25"/>
      <c r="G95" s="25">
        <f t="shared" si="39"/>
        <v>162</v>
      </c>
      <c r="H95" s="25" t="e">
        <f t="shared" si="40"/>
        <v>#REF!</v>
      </c>
      <c r="I95" s="27" t="e">
        <f t="shared" si="41"/>
        <v>#REF!</v>
      </c>
      <c r="J95" s="25"/>
      <c r="K95" s="25">
        <f t="shared" si="42"/>
        <v>61</v>
      </c>
      <c r="L95" s="25" t="e">
        <f t="shared" si="43"/>
        <v>#REF!</v>
      </c>
      <c r="M95" s="27" t="e">
        <f t="shared" si="44"/>
        <v>#REF!</v>
      </c>
      <c r="N95" s="27"/>
      <c r="O95" s="26" t="str">
        <f t="shared" si="45"/>
        <v>Central</v>
      </c>
      <c r="P95" s="26" t="e">
        <f t="shared" si="46"/>
        <v>#REF!</v>
      </c>
      <c r="Q95" s="27" t="e">
        <f t="shared" si="47"/>
        <v>#VALUE!</v>
      </c>
      <c r="R95" s="27"/>
      <c r="S95" s="26">
        <f t="shared" si="48"/>
        <v>299</v>
      </c>
      <c r="T95" s="26" t="e">
        <f t="shared" si="49"/>
        <v>#REF!</v>
      </c>
      <c r="U95" s="27" t="e">
        <f t="shared" si="50"/>
        <v>#REF!</v>
      </c>
      <c r="V95" s="27"/>
      <c r="W95" s="26">
        <f t="shared" si="51"/>
        <v>98</v>
      </c>
      <c r="X95" s="26" t="e">
        <f t="shared" si="52"/>
        <v>#REF!</v>
      </c>
      <c r="Y95" s="27" t="e">
        <f t="shared" si="53"/>
        <v>#REF!</v>
      </c>
    </row>
    <row r="96" spans="1:25" ht="16.5" customHeight="1">
      <c r="A96" s="16" t="s">
        <v>243</v>
      </c>
      <c r="B96" s="16" t="s">
        <v>244</v>
      </c>
      <c r="C96" s="25">
        <f t="shared" si="36"/>
        <v>143</v>
      </c>
      <c r="D96" s="25" t="e">
        <f t="shared" si="37"/>
        <v>#REF!</v>
      </c>
      <c r="E96" s="27" t="e">
        <f t="shared" si="38"/>
        <v>#REF!</v>
      </c>
      <c r="F96" s="25"/>
      <c r="G96" s="25">
        <f t="shared" si="39"/>
        <v>879</v>
      </c>
      <c r="H96" s="25" t="e">
        <f t="shared" si="40"/>
        <v>#REF!</v>
      </c>
      <c r="I96" s="27" t="e">
        <f t="shared" si="41"/>
        <v>#REF!</v>
      </c>
      <c r="J96" s="25"/>
      <c r="K96" s="25">
        <f t="shared" si="42"/>
        <v>820</v>
      </c>
      <c r="L96" s="25" t="e">
        <f t="shared" si="43"/>
        <v>#REF!</v>
      </c>
      <c r="M96" s="27" t="e">
        <f t="shared" si="44"/>
        <v>#REF!</v>
      </c>
      <c r="N96" s="27"/>
      <c r="O96" s="26" t="str">
        <f t="shared" si="45"/>
        <v>Western</v>
      </c>
      <c r="P96" s="26" t="e">
        <f t="shared" si="46"/>
        <v>#REF!</v>
      </c>
      <c r="Q96" s="27" t="e">
        <f t="shared" si="47"/>
        <v>#VALUE!</v>
      </c>
      <c r="R96" s="27"/>
      <c r="S96" s="26">
        <f t="shared" si="48"/>
        <v>1217</v>
      </c>
      <c r="T96" s="26" t="e">
        <f t="shared" si="49"/>
        <v>#REF!</v>
      </c>
      <c r="U96" s="27" t="e">
        <f t="shared" si="50"/>
        <v>#REF!</v>
      </c>
      <c r="V96" s="27"/>
      <c r="W96" s="26">
        <f t="shared" si="51"/>
        <v>1019</v>
      </c>
      <c r="X96" s="26" t="e">
        <f t="shared" si="52"/>
        <v>#REF!</v>
      </c>
      <c r="Y96" s="27" t="e">
        <f t="shared" si="53"/>
        <v>#REF!</v>
      </c>
    </row>
    <row r="97" spans="1:25" ht="16.5" customHeight="1">
      <c r="A97" s="16" t="s">
        <v>245</v>
      </c>
      <c r="B97" s="16" t="s">
        <v>246</v>
      </c>
      <c r="C97" s="25">
        <f t="shared" si="36"/>
        <v>38</v>
      </c>
      <c r="D97" s="25" t="e">
        <f t="shared" si="37"/>
        <v>#REF!</v>
      </c>
      <c r="E97" s="27" t="e">
        <f t="shared" si="38"/>
        <v>#REF!</v>
      </c>
      <c r="F97" s="25"/>
      <c r="G97" s="25">
        <f t="shared" si="39"/>
        <v>269</v>
      </c>
      <c r="H97" s="25" t="e">
        <f t="shared" si="40"/>
        <v>#REF!</v>
      </c>
      <c r="I97" s="27" t="e">
        <f t="shared" si="41"/>
        <v>#REF!</v>
      </c>
      <c r="J97" s="25"/>
      <c r="K97" s="25">
        <f t="shared" si="42"/>
        <v>242</v>
      </c>
      <c r="L97" s="25" t="e">
        <f t="shared" si="43"/>
        <v>#REF!</v>
      </c>
      <c r="M97" s="27" t="e">
        <f t="shared" si="44"/>
        <v>#REF!</v>
      </c>
      <c r="N97" s="27"/>
      <c r="O97" s="26" t="str">
        <f t="shared" si="45"/>
        <v>Western</v>
      </c>
      <c r="P97" s="26" t="e">
        <f t="shared" si="46"/>
        <v>#REF!</v>
      </c>
      <c r="Q97" s="27" t="e">
        <f t="shared" si="47"/>
        <v>#VALUE!</v>
      </c>
      <c r="R97" s="27"/>
      <c r="S97" s="26">
        <f t="shared" si="48"/>
        <v>437</v>
      </c>
      <c r="T97" s="26" t="e">
        <f t="shared" si="49"/>
        <v>#REF!</v>
      </c>
      <c r="U97" s="27" t="e">
        <f t="shared" si="50"/>
        <v>#REF!</v>
      </c>
      <c r="V97" s="27"/>
      <c r="W97" s="26">
        <f t="shared" si="51"/>
        <v>355</v>
      </c>
      <c r="X97" s="26" t="e">
        <f t="shared" si="52"/>
        <v>#REF!</v>
      </c>
      <c r="Y97" s="27" t="e">
        <f t="shared" si="53"/>
        <v>#REF!</v>
      </c>
    </row>
    <row r="98" spans="1:25" ht="16.5" customHeight="1">
      <c r="A98" s="16" t="s">
        <v>247</v>
      </c>
      <c r="B98" s="16" t="s">
        <v>332</v>
      </c>
      <c r="C98" s="25">
        <f t="shared" si="36"/>
        <v>36</v>
      </c>
      <c r="D98" s="25" t="e">
        <f t="shared" si="37"/>
        <v>#REF!</v>
      </c>
      <c r="E98" s="27" t="e">
        <f t="shared" si="38"/>
        <v>#REF!</v>
      </c>
      <c r="F98" s="25"/>
      <c r="G98" s="25">
        <f t="shared" si="39"/>
        <v>272</v>
      </c>
      <c r="H98" s="25" t="e">
        <f t="shared" si="40"/>
        <v>#REF!</v>
      </c>
      <c r="I98" s="27" t="e">
        <f t="shared" si="41"/>
        <v>#REF!</v>
      </c>
      <c r="J98" s="25"/>
      <c r="K98" s="25">
        <f t="shared" si="42"/>
        <v>129</v>
      </c>
      <c r="L98" s="25" t="e">
        <f t="shared" si="43"/>
        <v>#REF!</v>
      </c>
      <c r="M98" s="27" t="e">
        <f t="shared" si="44"/>
        <v>#REF!</v>
      </c>
      <c r="N98" s="27"/>
      <c r="O98" s="26" t="str">
        <f t="shared" si="45"/>
        <v>Eastern</v>
      </c>
      <c r="P98" s="26" t="e">
        <f t="shared" si="46"/>
        <v>#REF!</v>
      </c>
      <c r="Q98" s="27" t="e">
        <f t="shared" si="47"/>
        <v>#VALUE!</v>
      </c>
      <c r="R98" s="27"/>
      <c r="S98" s="26">
        <f t="shared" si="48"/>
        <v>440</v>
      </c>
      <c r="T98" s="26" t="e">
        <f t="shared" si="49"/>
        <v>#REF!</v>
      </c>
      <c r="U98" s="27" t="e">
        <f t="shared" si="50"/>
        <v>#REF!</v>
      </c>
      <c r="V98" s="27"/>
      <c r="W98" s="26">
        <f t="shared" si="51"/>
        <v>200</v>
      </c>
      <c r="X98" s="26" t="e">
        <f t="shared" si="52"/>
        <v>#REF!</v>
      </c>
      <c r="Y98" s="27" t="e">
        <f t="shared" si="53"/>
        <v>#REF!</v>
      </c>
    </row>
    <row r="99" spans="1:25" ht="16.5" customHeight="1">
      <c r="A99" s="16" t="s">
        <v>14</v>
      </c>
      <c r="B99" s="16" t="s">
        <v>15</v>
      </c>
      <c r="C99" s="25">
        <f t="shared" si="36"/>
        <v>344</v>
      </c>
      <c r="D99" s="25" t="e">
        <f t="shared" si="37"/>
        <v>#REF!</v>
      </c>
      <c r="E99" s="27" t="e">
        <f t="shared" si="38"/>
        <v>#REF!</v>
      </c>
      <c r="F99" s="25"/>
      <c r="G99" s="25">
        <f t="shared" si="39"/>
        <v>924</v>
      </c>
      <c r="H99" s="25" t="e">
        <f t="shared" si="40"/>
        <v>#REF!</v>
      </c>
      <c r="I99" s="27" t="e">
        <f t="shared" si="41"/>
        <v>#REF!</v>
      </c>
      <c r="J99" s="25"/>
      <c r="K99" s="25">
        <f t="shared" si="42"/>
        <v>223</v>
      </c>
      <c r="L99" s="25" t="e">
        <f t="shared" si="43"/>
        <v>#REF!</v>
      </c>
      <c r="M99" s="27" t="e">
        <f t="shared" si="44"/>
        <v>#REF!</v>
      </c>
      <c r="N99" s="27"/>
      <c r="O99" s="26" t="str">
        <f t="shared" si="45"/>
        <v>Northern</v>
      </c>
      <c r="P99" s="26" t="e">
        <f t="shared" si="46"/>
        <v>#REF!</v>
      </c>
      <c r="Q99" s="27" t="e">
        <f t="shared" si="47"/>
        <v>#VALUE!</v>
      </c>
      <c r="R99" s="27"/>
      <c r="S99" s="26">
        <f t="shared" si="48"/>
        <v>1419</v>
      </c>
      <c r="T99" s="26" t="e">
        <f t="shared" si="49"/>
        <v>#REF!</v>
      </c>
      <c r="U99" s="27" t="e">
        <f t="shared" si="50"/>
        <v>#REF!</v>
      </c>
      <c r="V99" s="27"/>
      <c r="W99" s="26">
        <f t="shared" si="51"/>
        <v>305</v>
      </c>
      <c r="X99" s="26" t="e">
        <f t="shared" si="52"/>
        <v>#REF!</v>
      </c>
      <c r="Y99" s="27" t="e">
        <f t="shared" si="53"/>
        <v>#REF!</v>
      </c>
    </row>
    <row r="100" spans="1:25" ht="16.5" customHeight="1">
      <c r="A100" s="16" t="s">
        <v>35</v>
      </c>
      <c r="B100" s="16" t="s">
        <v>36</v>
      </c>
      <c r="C100" s="25">
        <f t="shared" ref="C100:C123" si="54">VLOOKUP(A100,TANF_Demo,7,FALSE)</f>
        <v>96</v>
      </c>
      <c r="D100" s="25" t="e">
        <f t="shared" ref="D100:D123" si="55">VLOOKUP(A100,Pop,14,FALSE)</f>
        <v>#REF!</v>
      </c>
      <c r="E100" s="27" t="e">
        <f t="shared" ref="E100:E123" si="56">+C100/D100</f>
        <v>#REF!</v>
      </c>
      <c r="F100" s="25"/>
      <c r="G100" s="25">
        <f t="shared" ref="G100:G123" si="57">VLOOKUP(A100,TANF_Demo,8,FALSE)</f>
        <v>633</v>
      </c>
      <c r="H100" s="25" t="e">
        <f t="shared" ref="H100:H123" si="58">VLOOKUP(A100,Pop,15,FALSE)</f>
        <v>#REF!</v>
      </c>
      <c r="I100" s="27" t="e">
        <f t="shared" ref="I100:I123" si="59">+G100/H100</f>
        <v>#REF!</v>
      </c>
      <c r="J100" s="25"/>
      <c r="K100" s="25">
        <f t="shared" ref="K100:K123" si="60">VLOOKUP(A100,TANF_Demo,9,FALSE)</f>
        <v>551</v>
      </c>
      <c r="L100" s="25" t="e">
        <f t="shared" ref="L100:L123" si="61">VLOOKUP(A100,Pop,16,FALSE)</f>
        <v>#REF!</v>
      </c>
      <c r="M100" s="27" t="e">
        <f t="shared" ref="M100:M123" si="62">+K100/L100</f>
        <v>#REF!</v>
      </c>
      <c r="N100" s="27"/>
      <c r="O100" s="26" t="str">
        <f t="shared" ref="O100:O123" si="63">VLOOKUP(A100,TANF_Demo,3,FALSE)</f>
        <v>Western</v>
      </c>
      <c r="P100" s="26" t="e">
        <f t="shared" ref="P100:P123" si="64">VLOOKUP(A100,Pop,8,FALSE)</f>
        <v>#REF!</v>
      </c>
      <c r="Q100" s="27" t="e">
        <f t="shared" ref="Q100:Q123" si="65">+O100/P100</f>
        <v>#VALUE!</v>
      </c>
      <c r="R100" s="27"/>
      <c r="S100" s="26">
        <f t="shared" ref="S100:S123" si="66">VLOOKUP(A100,TANF_Demo,4,FALSE)</f>
        <v>920</v>
      </c>
      <c r="T100" s="26" t="e">
        <f t="shared" ref="T100:T123" si="67">VLOOKUP(A100,Pop,9,FALSE)</f>
        <v>#REF!</v>
      </c>
      <c r="U100" s="27" t="e">
        <f t="shared" ref="U100:U123" si="68">+S100/T100</f>
        <v>#REF!</v>
      </c>
      <c r="V100" s="27"/>
      <c r="W100" s="26">
        <f t="shared" ref="W100:W123" si="69">VLOOKUP(A100,TANF_Demo,5,FALSE)</f>
        <v>706</v>
      </c>
      <c r="X100" s="26" t="e">
        <f t="shared" ref="X100:X123" si="70">VLOOKUP(A100,Pop,10,FALSE)</f>
        <v>#REF!</v>
      </c>
      <c r="Y100" s="27" t="e">
        <f t="shared" ref="Y100:Y123" si="71">+W100/X100</f>
        <v>#REF!</v>
      </c>
    </row>
    <row r="101" spans="1:25" ht="16.5" customHeight="1">
      <c r="A101" s="16" t="s">
        <v>53</v>
      </c>
      <c r="B101" s="16" t="s">
        <v>54</v>
      </c>
      <c r="C101" s="25">
        <f t="shared" si="54"/>
        <v>136</v>
      </c>
      <c r="D101" s="25" t="e">
        <f t="shared" si="55"/>
        <v>#REF!</v>
      </c>
      <c r="E101" s="27" t="e">
        <f t="shared" si="56"/>
        <v>#REF!</v>
      </c>
      <c r="F101" s="25"/>
      <c r="G101" s="25">
        <f t="shared" si="57"/>
        <v>602</v>
      </c>
      <c r="H101" s="25" t="e">
        <f t="shared" si="58"/>
        <v>#REF!</v>
      </c>
      <c r="I101" s="27" t="e">
        <f t="shared" si="59"/>
        <v>#REF!</v>
      </c>
      <c r="J101" s="25"/>
      <c r="K101" s="25">
        <f t="shared" si="60"/>
        <v>140</v>
      </c>
      <c r="L101" s="25" t="e">
        <f t="shared" si="61"/>
        <v>#REF!</v>
      </c>
      <c r="M101" s="27" t="e">
        <f t="shared" si="62"/>
        <v>#REF!</v>
      </c>
      <c r="N101" s="27"/>
      <c r="O101" s="26" t="str">
        <f t="shared" si="63"/>
        <v>Piedmont</v>
      </c>
      <c r="P101" s="26" t="e">
        <f t="shared" si="64"/>
        <v>#REF!</v>
      </c>
      <c r="Q101" s="27" t="e">
        <f t="shared" si="65"/>
        <v>#VALUE!</v>
      </c>
      <c r="R101" s="27"/>
      <c r="S101" s="26">
        <f t="shared" si="66"/>
        <v>1000</v>
      </c>
      <c r="T101" s="26" t="e">
        <f t="shared" si="67"/>
        <v>#REF!</v>
      </c>
      <c r="U101" s="27" t="e">
        <f t="shared" si="68"/>
        <v>#REF!</v>
      </c>
      <c r="V101" s="27"/>
      <c r="W101" s="26">
        <f t="shared" si="69"/>
        <v>161</v>
      </c>
      <c r="X101" s="26" t="e">
        <f t="shared" si="70"/>
        <v>#REF!</v>
      </c>
      <c r="Y101" s="27" t="e">
        <f t="shared" si="71"/>
        <v>#REF!</v>
      </c>
    </row>
    <row r="102" spans="1:25" ht="16.5" customHeight="1">
      <c r="A102" s="16" t="s">
        <v>55</v>
      </c>
      <c r="B102" s="16" t="s">
        <v>56</v>
      </c>
      <c r="C102" s="25">
        <f t="shared" si="54"/>
        <v>362</v>
      </c>
      <c r="D102" s="25" t="e">
        <f t="shared" si="55"/>
        <v>#REF!</v>
      </c>
      <c r="E102" s="27" t="e">
        <f t="shared" si="56"/>
        <v>#REF!</v>
      </c>
      <c r="F102" s="25"/>
      <c r="G102" s="25">
        <f t="shared" si="57"/>
        <v>1950</v>
      </c>
      <c r="H102" s="25" t="e">
        <f t="shared" si="58"/>
        <v>#REF!</v>
      </c>
      <c r="I102" s="27" t="e">
        <f t="shared" si="59"/>
        <v>#REF!</v>
      </c>
      <c r="J102" s="25"/>
      <c r="K102" s="25">
        <f t="shared" si="60"/>
        <v>465</v>
      </c>
      <c r="L102" s="25" t="e">
        <f t="shared" si="61"/>
        <v>#REF!</v>
      </c>
      <c r="M102" s="27" t="e">
        <f t="shared" si="62"/>
        <v>#REF!</v>
      </c>
      <c r="N102" s="27"/>
      <c r="O102" s="26" t="str">
        <f t="shared" si="63"/>
        <v>Eastern</v>
      </c>
      <c r="P102" s="26" t="e">
        <f t="shared" si="64"/>
        <v>#REF!</v>
      </c>
      <c r="Q102" s="27" t="e">
        <f t="shared" si="65"/>
        <v>#VALUE!</v>
      </c>
      <c r="R102" s="27"/>
      <c r="S102" s="26">
        <f t="shared" si="66"/>
        <v>3534</v>
      </c>
      <c r="T102" s="26" t="e">
        <f t="shared" si="67"/>
        <v>#REF!</v>
      </c>
      <c r="U102" s="27" t="e">
        <f t="shared" si="68"/>
        <v>#REF!</v>
      </c>
      <c r="V102" s="27"/>
      <c r="W102" s="26">
        <f t="shared" si="69"/>
        <v>646</v>
      </c>
      <c r="X102" s="26" t="e">
        <f t="shared" si="70"/>
        <v>#REF!</v>
      </c>
      <c r="Y102" s="27" t="e">
        <f t="shared" si="71"/>
        <v>#REF!</v>
      </c>
    </row>
    <row r="103" spans="1:25" ht="16.5" customHeight="1">
      <c r="A103" s="16" t="s">
        <v>67</v>
      </c>
      <c r="B103" s="16" t="s">
        <v>68</v>
      </c>
      <c r="C103" s="25">
        <f t="shared" si="54"/>
        <v>189</v>
      </c>
      <c r="D103" s="25" t="e">
        <f t="shared" si="55"/>
        <v>#REF!</v>
      </c>
      <c r="E103" s="27" t="e">
        <f t="shared" si="56"/>
        <v>#REF!</v>
      </c>
      <c r="F103" s="25"/>
      <c r="G103" s="25">
        <f t="shared" si="57"/>
        <v>938</v>
      </c>
      <c r="H103" s="25" t="e">
        <f t="shared" si="58"/>
        <v>#REF!</v>
      </c>
      <c r="I103" s="27" t="e">
        <f t="shared" si="59"/>
        <v>#REF!</v>
      </c>
      <c r="J103" s="25"/>
      <c r="K103" s="25">
        <f t="shared" si="60"/>
        <v>180</v>
      </c>
      <c r="L103" s="25" t="e">
        <f t="shared" si="61"/>
        <v>#REF!</v>
      </c>
      <c r="M103" s="27" t="e">
        <f t="shared" si="62"/>
        <v>#REF!</v>
      </c>
      <c r="N103" s="27"/>
      <c r="O103" s="26" t="str">
        <f t="shared" si="63"/>
        <v>Piedmont</v>
      </c>
      <c r="P103" s="26" t="e">
        <f t="shared" si="64"/>
        <v>#REF!</v>
      </c>
      <c r="Q103" s="27" t="e">
        <f t="shared" si="65"/>
        <v>#VALUE!</v>
      </c>
      <c r="R103" s="27"/>
      <c r="S103" s="26">
        <f t="shared" si="66"/>
        <v>1628</v>
      </c>
      <c r="T103" s="26" t="e">
        <f t="shared" si="67"/>
        <v>#REF!</v>
      </c>
      <c r="U103" s="27" t="e">
        <f t="shared" si="68"/>
        <v>#REF!</v>
      </c>
      <c r="V103" s="27"/>
      <c r="W103" s="26">
        <f t="shared" si="69"/>
        <v>243</v>
      </c>
      <c r="X103" s="26" t="e">
        <f t="shared" si="70"/>
        <v>#REF!</v>
      </c>
      <c r="Y103" s="27" t="e">
        <f t="shared" si="71"/>
        <v>#REF!</v>
      </c>
    </row>
    <row r="104" spans="1:25" ht="16.5" customHeight="1">
      <c r="A104" s="16" t="s">
        <v>83</v>
      </c>
      <c r="B104" s="16" t="s">
        <v>333</v>
      </c>
      <c r="C104" s="25">
        <f t="shared" si="54"/>
        <v>74</v>
      </c>
      <c r="D104" s="25" t="e">
        <f t="shared" si="55"/>
        <v>#REF!</v>
      </c>
      <c r="E104" s="27" t="e">
        <f t="shared" si="56"/>
        <v>#REF!</v>
      </c>
      <c r="F104" s="25"/>
      <c r="G104" s="25">
        <f t="shared" si="57"/>
        <v>254</v>
      </c>
      <c r="H104" s="25" t="e">
        <f t="shared" si="58"/>
        <v>#REF!</v>
      </c>
      <c r="I104" s="27" t="e">
        <f t="shared" si="59"/>
        <v>#REF!</v>
      </c>
      <c r="J104" s="25"/>
      <c r="K104" s="25">
        <f t="shared" si="60"/>
        <v>13</v>
      </c>
      <c r="L104" s="25" t="e">
        <f t="shared" si="61"/>
        <v>#REF!</v>
      </c>
      <c r="M104" s="27" t="e">
        <f t="shared" si="62"/>
        <v>#REF!</v>
      </c>
      <c r="N104" s="27"/>
      <c r="O104" s="26" t="str">
        <f t="shared" si="63"/>
        <v>Eastern</v>
      </c>
      <c r="P104" s="26" t="e">
        <f t="shared" si="64"/>
        <v>#REF!</v>
      </c>
      <c r="Q104" s="27" t="e">
        <f t="shared" si="65"/>
        <v>#VALUE!</v>
      </c>
      <c r="R104" s="27"/>
      <c r="S104" s="26">
        <f t="shared" si="66"/>
        <v>491</v>
      </c>
      <c r="T104" s="26" t="e">
        <f t="shared" si="67"/>
        <v>#REF!</v>
      </c>
      <c r="U104" s="27" t="e">
        <f t="shared" si="68"/>
        <v>#REF!</v>
      </c>
      <c r="V104" s="27"/>
      <c r="W104" s="26">
        <f t="shared" si="69"/>
        <v>13</v>
      </c>
      <c r="X104" s="26" t="e">
        <f t="shared" si="70"/>
        <v>#REF!</v>
      </c>
      <c r="Y104" s="27" t="e">
        <f t="shared" si="71"/>
        <v>#REF!</v>
      </c>
    </row>
    <row r="105" spans="1:25" ht="16.5" customHeight="1">
      <c r="A105" s="16" t="s">
        <v>89</v>
      </c>
      <c r="B105" s="16" t="s">
        <v>90</v>
      </c>
      <c r="C105" s="25">
        <f t="shared" si="54"/>
        <v>108</v>
      </c>
      <c r="D105" s="25" t="e">
        <f t="shared" si="55"/>
        <v>#REF!</v>
      </c>
      <c r="E105" s="27" t="e">
        <f t="shared" si="56"/>
        <v>#REF!</v>
      </c>
      <c r="F105" s="25"/>
      <c r="G105" s="25">
        <f t="shared" si="57"/>
        <v>436</v>
      </c>
      <c r="H105" s="25" t="e">
        <f t="shared" si="58"/>
        <v>#REF!</v>
      </c>
      <c r="I105" s="27" t="e">
        <f t="shared" si="59"/>
        <v>#REF!</v>
      </c>
      <c r="J105" s="25"/>
      <c r="K105" s="25">
        <f t="shared" si="60"/>
        <v>141</v>
      </c>
      <c r="L105" s="25" t="e">
        <f t="shared" si="61"/>
        <v>#REF!</v>
      </c>
      <c r="M105" s="27" t="e">
        <f t="shared" si="62"/>
        <v>#REF!</v>
      </c>
      <c r="N105" s="27"/>
      <c r="O105" s="26" t="str">
        <f t="shared" si="63"/>
        <v>Northern</v>
      </c>
      <c r="P105" s="26" t="e">
        <f t="shared" si="64"/>
        <v>#REF!</v>
      </c>
      <c r="Q105" s="27" t="e">
        <f t="shared" si="65"/>
        <v>#VALUE!</v>
      </c>
      <c r="R105" s="27"/>
      <c r="S105" s="26">
        <f t="shared" si="66"/>
        <v>724</v>
      </c>
      <c r="T105" s="26" t="e">
        <f t="shared" si="67"/>
        <v>#REF!</v>
      </c>
      <c r="U105" s="27" t="e">
        <f t="shared" si="68"/>
        <v>#REF!</v>
      </c>
      <c r="V105" s="27"/>
      <c r="W105" s="26">
        <f t="shared" si="69"/>
        <v>188</v>
      </c>
      <c r="X105" s="26" t="e">
        <f t="shared" si="70"/>
        <v>#REF!</v>
      </c>
      <c r="Y105" s="27" t="e">
        <f t="shared" si="71"/>
        <v>#REF!</v>
      </c>
    </row>
    <row r="106" spans="1:25" ht="16.5" customHeight="1">
      <c r="A106" s="16" t="s">
        <v>91</v>
      </c>
      <c r="B106" s="16" t="s">
        <v>92</v>
      </c>
      <c r="C106" s="25">
        <f t="shared" si="54"/>
        <v>17</v>
      </c>
      <c r="D106" s="25" t="e">
        <f t="shared" si="55"/>
        <v>#REF!</v>
      </c>
      <c r="E106" s="27" t="e">
        <f t="shared" si="56"/>
        <v>#REF!</v>
      </c>
      <c r="F106" s="25"/>
      <c r="G106" s="25">
        <f t="shared" si="57"/>
        <v>165</v>
      </c>
      <c r="H106" s="25" t="e">
        <f t="shared" si="58"/>
        <v>#REF!</v>
      </c>
      <c r="I106" s="27" t="e">
        <f t="shared" si="59"/>
        <v>#REF!</v>
      </c>
      <c r="J106" s="25"/>
      <c r="K106" s="25">
        <f t="shared" si="60"/>
        <v>132</v>
      </c>
      <c r="L106" s="25" t="e">
        <f t="shared" si="61"/>
        <v>#REF!</v>
      </c>
      <c r="M106" s="27" t="e">
        <f t="shared" si="62"/>
        <v>#REF!</v>
      </c>
      <c r="N106" s="27"/>
      <c r="O106" s="26" t="str">
        <f t="shared" si="63"/>
        <v>Western</v>
      </c>
      <c r="P106" s="26" t="e">
        <f t="shared" si="64"/>
        <v>#REF!</v>
      </c>
      <c r="Q106" s="27" t="e">
        <f t="shared" si="65"/>
        <v>#VALUE!</v>
      </c>
      <c r="R106" s="27"/>
      <c r="S106" s="26">
        <f t="shared" si="66"/>
        <v>261</v>
      </c>
      <c r="T106" s="26" t="e">
        <f t="shared" si="67"/>
        <v>#REF!</v>
      </c>
      <c r="U106" s="27" t="e">
        <f t="shared" si="68"/>
        <v>#REF!</v>
      </c>
      <c r="V106" s="27"/>
      <c r="W106" s="26">
        <f t="shared" si="69"/>
        <v>206</v>
      </c>
      <c r="X106" s="26" t="e">
        <f t="shared" si="70"/>
        <v>#REF!</v>
      </c>
      <c r="Y106" s="27" t="e">
        <f t="shared" si="71"/>
        <v>#REF!</v>
      </c>
    </row>
    <row r="107" spans="1:25" ht="16.5" customHeight="1">
      <c r="A107" s="16" t="s">
        <v>107</v>
      </c>
      <c r="B107" s="16" t="s">
        <v>108</v>
      </c>
      <c r="C107" s="25">
        <f t="shared" si="54"/>
        <v>552</v>
      </c>
      <c r="D107" s="25" t="e">
        <f t="shared" si="55"/>
        <v>#REF!</v>
      </c>
      <c r="E107" s="27" t="e">
        <f t="shared" si="56"/>
        <v>#REF!</v>
      </c>
      <c r="F107" s="25"/>
      <c r="G107" s="25">
        <f t="shared" si="57"/>
        <v>2416</v>
      </c>
      <c r="H107" s="25" t="e">
        <f t="shared" si="58"/>
        <v>#REF!</v>
      </c>
      <c r="I107" s="27" t="e">
        <f t="shared" si="59"/>
        <v>#REF!</v>
      </c>
      <c r="J107" s="25"/>
      <c r="K107" s="25">
        <f t="shared" si="60"/>
        <v>432</v>
      </c>
      <c r="L107" s="25" t="e">
        <f t="shared" si="61"/>
        <v>#REF!</v>
      </c>
      <c r="M107" s="27" t="e">
        <f t="shared" si="62"/>
        <v>#REF!</v>
      </c>
      <c r="N107" s="27"/>
      <c r="O107" s="26" t="str">
        <f t="shared" si="63"/>
        <v>Eastern</v>
      </c>
      <c r="P107" s="26" t="e">
        <f t="shared" si="64"/>
        <v>#REF!</v>
      </c>
      <c r="Q107" s="27" t="e">
        <f t="shared" si="65"/>
        <v>#VALUE!</v>
      </c>
      <c r="R107" s="27"/>
      <c r="S107" s="26">
        <f t="shared" si="66"/>
        <v>4197</v>
      </c>
      <c r="T107" s="26" t="e">
        <f t="shared" si="67"/>
        <v>#REF!</v>
      </c>
      <c r="U107" s="27" t="e">
        <f t="shared" si="68"/>
        <v>#REF!</v>
      </c>
      <c r="V107" s="27"/>
      <c r="W107" s="26">
        <f t="shared" si="69"/>
        <v>549</v>
      </c>
      <c r="X107" s="26" t="e">
        <f t="shared" si="70"/>
        <v>#REF!</v>
      </c>
      <c r="Y107" s="27" t="e">
        <f t="shared" si="71"/>
        <v>#REF!</v>
      </c>
    </row>
    <row r="108" spans="1:25" ht="16.5" customHeight="1">
      <c r="A108" s="16" t="s">
        <v>117</v>
      </c>
      <c r="B108" s="16" t="s">
        <v>118</v>
      </c>
      <c r="C108" s="25">
        <f t="shared" si="54"/>
        <v>101</v>
      </c>
      <c r="D108" s="25" t="e">
        <f t="shared" si="55"/>
        <v>#REF!</v>
      </c>
      <c r="E108" s="27" t="e">
        <f t="shared" si="56"/>
        <v>#REF!</v>
      </c>
      <c r="F108" s="25"/>
      <c r="G108" s="25">
        <f t="shared" si="57"/>
        <v>609</v>
      </c>
      <c r="H108" s="25" t="e">
        <f t="shared" si="58"/>
        <v>#REF!</v>
      </c>
      <c r="I108" s="27" t="e">
        <f t="shared" si="59"/>
        <v>#REF!</v>
      </c>
      <c r="J108" s="25"/>
      <c r="K108" s="25">
        <f t="shared" si="60"/>
        <v>207</v>
      </c>
      <c r="L108" s="25" t="e">
        <f t="shared" si="61"/>
        <v>#REF!</v>
      </c>
      <c r="M108" s="27" t="e">
        <f t="shared" si="62"/>
        <v>#REF!</v>
      </c>
      <c r="N108" s="27"/>
      <c r="O108" s="26" t="str">
        <f t="shared" si="63"/>
        <v>Central</v>
      </c>
      <c r="P108" s="26" t="e">
        <f t="shared" si="64"/>
        <v>#REF!</v>
      </c>
      <c r="Q108" s="27" t="e">
        <f t="shared" si="65"/>
        <v>#VALUE!</v>
      </c>
      <c r="R108" s="27"/>
      <c r="S108" s="26">
        <f t="shared" si="66"/>
        <v>1000</v>
      </c>
      <c r="T108" s="26" t="e">
        <f t="shared" si="67"/>
        <v>#REF!</v>
      </c>
      <c r="U108" s="27" t="e">
        <f t="shared" si="68"/>
        <v>#REF!</v>
      </c>
      <c r="V108" s="27"/>
      <c r="W108" s="26">
        <f t="shared" si="69"/>
        <v>276</v>
      </c>
      <c r="X108" s="26" t="e">
        <f t="shared" si="70"/>
        <v>#REF!</v>
      </c>
      <c r="Y108" s="27" t="e">
        <f t="shared" si="71"/>
        <v>#REF!</v>
      </c>
    </row>
    <row r="109" spans="1:25" ht="16.5" customHeight="1">
      <c r="A109" s="16" t="s">
        <v>139</v>
      </c>
      <c r="B109" s="16" t="s">
        <v>140</v>
      </c>
      <c r="C109" s="25">
        <f t="shared" si="54"/>
        <v>279</v>
      </c>
      <c r="D109" s="25" t="e">
        <f t="shared" si="55"/>
        <v>#REF!</v>
      </c>
      <c r="E109" s="27" t="e">
        <f t="shared" si="56"/>
        <v>#REF!</v>
      </c>
      <c r="F109" s="25"/>
      <c r="G109" s="25">
        <f t="shared" si="57"/>
        <v>1188</v>
      </c>
      <c r="H109" s="25" t="e">
        <f t="shared" si="58"/>
        <v>#REF!</v>
      </c>
      <c r="I109" s="27" t="e">
        <f t="shared" si="59"/>
        <v>#REF!</v>
      </c>
      <c r="J109" s="25"/>
      <c r="K109" s="25">
        <f t="shared" si="60"/>
        <v>282</v>
      </c>
      <c r="L109" s="25" t="e">
        <f t="shared" si="61"/>
        <v>#REF!</v>
      </c>
      <c r="M109" s="27" t="e">
        <f t="shared" si="62"/>
        <v>#REF!</v>
      </c>
      <c r="N109" s="27"/>
      <c r="O109" s="26" t="str">
        <f t="shared" si="63"/>
        <v>Piedmont</v>
      </c>
      <c r="P109" s="26" t="e">
        <f t="shared" si="64"/>
        <v>#REF!</v>
      </c>
      <c r="Q109" s="27" t="e">
        <f t="shared" si="65"/>
        <v>#VALUE!</v>
      </c>
      <c r="R109" s="27"/>
      <c r="S109" s="26">
        <f t="shared" si="66"/>
        <v>2118</v>
      </c>
      <c r="T109" s="26" t="e">
        <f t="shared" si="67"/>
        <v>#REF!</v>
      </c>
      <c r="U109" s="27" t="e">
        <f t="shared" si="68"/>
        <v>#REF!</v>
      </c>
      <c r="V109" s="27"/>
      <c r="W109" s="26">
        <f t="shared" si="69"/>
        <v>370</v>
      </c>
      <c r="X109" s="26" t="e">
        <f t="shared" si="70"/>
        <v>#REF!</v>
      </c>
      <c r="Y109" s="27" t="e">
        <f t="shared" si="71"/>
        <v>#REF!</v>
      </c>
    </row>
    <row r="110" spans="1:25" ht="16.5" customHeight="1">
      <c r="A110" s="16" t="s">
        <v>143</v>
      </c>
      <c r="B110" s="16" t="s">
        <v>144</v>
      </c>
      <c r="C110" s="25">
        <f t="shared" si="54"/>
        <v>255</v>
      </c>
      <c r="D110" s="25" t="e">
        <f t="shared" si="55"/>
        <v>#REF!</v>
      </c>
      <c r="E110" s="27" t="e">
        <f t="shared" si="56"/>
        <v>#REF!</v>
      </c>
      <c r="F110" s="25"/>
      <c r="G110" s="25">
        <f t="shared" si="57"/>
        <v>423</v>
      </c>
      <c r="H110" s="25" t="e">
        <f t="shared" si="58"/>
        <v>#REF!</v>
      </c>
      <c r="I110" s="27" t="e">
        <f t="shared" si="59"/>
        <v>#REF!</v>
      </c>
      <c r="J110" s="25"/>
      <c r="K110" s="25">
        <f t="shared" si="60"/>
        <v>180</v>
      </c>
      <c r="L110" s="25" t="e">
        <f t="shared" si="61"/>
        <v>#REF!</v>
      </c>
      <c r="M110" s="27" t="e">
        <f t="shared" si="62"/>
        <v>#REF!</v>
      </c>
      <c r="N110" s="27"/>
      <c r="O110" s="26" t="str">
        <f t="shared" si="63"/>
        <v>Northern</v>
      </c>
      <c r="P110" s="26" t="e">
        <f t="shared" si="64"/>
        <v>#REF!</v>
      </c>
      <c r="Q110" s="27" t="e">
        <f t="shared" si="65"/>
        <v>#VALUE!</v>
      </c>
      <c r="R110" s="27"/>
      <c r="S110" s="26">
        <f t="shared" si="66"/>
        <v>753</v>
      </c>
      <c r="T110" s="26" t="e">
        <f t="shared" si="67"/>
        <v>#REF!</v>
      </c>
      <c r="U110" s="27" t="e">
        <f t="shared" si="68"/>
        <v>#REF!</v>
      </c>
      <c r="V110" s="27"/>
      <c r="W110" s="26">
        <f t="shared" si="69"/>
        <v>272</v>
      </c>
      <c r="X110" s="26" t="e">
        <f t="shared" si="70"/>
        <v>#REF!</v>
      </c>
      <c r="Y110" s="27" t="e">
        <f t="shared" si="71"/>
        <v>#REF!</v>
      </c>
    </row>
    <row r="111" spans="1:25" ht="16.5" customHeight="1">
      <c r="A111" s="16" t="s">
        <v>145</v>
      </c>
      <c r="B111" s="16" t="s">
        <v>146</v>
      </c>
      <c r="C111" s="25">
        <f t="shared" si="54"/>
        <v>69</v>
      </c>
      <c r="D111" s="25" t="e">
        <f t="shared" si="55"/>
        <v>#REF!</v>
      </c>
      <c r="E111" s="27" t="e">
        <f t="shared" si="56"/>
        <v>#REF!</v>
      </c>
      <c r="F111" s="25"/>
      <c r="G111" s="25">
        <f t="shared" si="57"/>
        <v>100</v>
      </c>
      <c r="H111" s="25" t="e">
        <f t="shared" si="58"/>
        <v>#REF!</v>
      </c>
      <c r="I111" s="27" t="e">
        <f t="shared" si="59"/>
        <v>#REF!</v>
      </c>
      <c r="J111" s="25"/>
      <c r="K111" s="25">
        <f t="shared" si="60"/>
        <v>47</v>
      </c>
      <c r="L111" s="25" t="e">
        <f t="shared" si="61"/>
        <v>#REF!</v>
      </c>
      <c r="M111" s="27" t="e">
        <f t="shared" si="62"/>
        <v>#REF!</v>
      </c>
      <c r="N111" s="27"/>
      <c r="O111" s="26" t="str">
        <f t="shared" si="63"/>
        <v>Northern</v>
      </c>
      <c r="P111" s="26" t="e">
        <f t="shared" si="64"/>
        <v>#REF!</v>
      </c>
      <c r="Q111" s="27" t="e">
        <f t="shared" si="65"/>
        <v>#VALUE!</v>
      </c>
      <c r="R111" s="27"/>
      <c r="S111" s="26">
        <f t="shared" si="66"/>
        <v>174</v>
      </c>
      <c r="T111" s="26" t="e">
        <f t="shared" si="67"/>
        <v>#REF!</v>
      </c>
      <c r="U111" s="27" t="e">
        <f t="shared" si="68"/>
        <v>#REF!</v>
      </c>
      <c r="V111" s="27"/>
      <c r="W111" s="26">
        <f t="shared" si="69"/>
        <v>59</v>
      </c>
      <c r="X111" s="26" t="e">
        <f t="shared" si="70"/>
        <v>#REF!</v>
      </c>
      <c r="Y111" s="27" t="e">
        <f t="shared" si="71"/>
        <v>#REF!</v>
      </c>
    </row>
    <row r="112" spans="1:25" ht="16.5" customHeight="1">
      <c r="A112" s="16" t="s">
        <v>159</v>
      </c>
      <c r="B112" s="16" t="s">
        <v>160</v>
      </c>
      <c r="C112" s="25">
        <f t="shared" si="54"/>
        <v>857</v>
      </c>
      <c r="D112" s="25" t="e">
        <f t="shared" si="55"/>
        <v>#REF!</v>
      </c>
      <c r="E112" s="27" t="e">
        <f t="shared" si="56"/>
        <v>#REF!</v>
      </c>
      <c r="F112" s="25"/>
      <c r="G112" s="25">
        <f t="shared" si="57"/>
        <v>3434</v>
      </c>
      <c r="H112" s="25" t="e">
        <f t="shared" si="58"/>
        <v>#REF!</v>
      </c>
      <c r="I112" s="27" t="e">
        <f t="shared" si="59"/>
        <v>#REF!</v>
      </c>
      <c r="J112" s="25"/>
      <c r="K112" s="25">
        <f t="shared" si="60"/>
        <v>474</v>
      </c>
      <c r="L112" s="25" t="e">
        <f t="shared" si="61"/>
        <v>#REF!</v>
      </c>
      <c r="M112" s="27" t="e">
        <f t="shared" si="62"/>
        <v>#REF!</v>
      </c>
      <c r="N112" s="27"/>
      <c r="O112" s="26" t="str">
        <f t="shared" si="63"/>
        <v>Eastern</v>
      </c>
      <c r="P112" s="26" t="e">
        <f t="shared" si="64"/>
        <v>#REF!</v>
      </c>
      <c r="Q112" s="27" t="e">
        <f t="shared" si="65"/>
        <v>#VALUE!</v>
      </c>
      <c r="R112" s="27"/>
      <c r="S112" s="26">
        <f t="shared" si="66"/>
        <v>6098</v>
      </c>
      <c r="T112" s="26" t="e">
        <f t="shared" si="67"/>
        <v>#REF!</v>
      </c>
      <c r="U112" s="27" t="e">
        <f t="shared" si="68"/>
        <v>#REF!</v>
      </c>
      <c r="V112" s="27"/>
      <c r="W112" s="26">
        <f t="shared" si="69"/>
        <v>627</v>
      </c>
      <c r="X112" s="26" t="e">
        <f t="shared" si="70"/>
        <v>#REF!</v>
      </c>
      <c r="Y112" s="27" t="e">
        <f t="shared" si="71"/>
        <v>#REF!</v>
      </c>
    </row>
    <row r="113" spans="1:25" ht="16.5" customHeight="1">
      <c r="A113" s="16" t="s">
        <v>161</v>
      </c>
      <c r="B113" s="16" t="s">
        <v>162</v>
      </c>
      <c r="C113" s="25">
        <f t="shared" si="54"/>
        <v>761</v>
      </c>
      <c r="D113" s="25" t="e">
        <f t="shared" si="55"/>
        <v>#REF!</v>
      </c>
      <c r="E113" s="27" t="e">
        <f t="shared" si="56"/>
        <v>#REF!</v>
      </c>
      <c r="F113" s="25"/>
      <c r="G113" s="25">
        <f t="shared" si="57"/>
        <v>4061</v>
      </c>
      <c r="H113" s="25" t="e">
        <f t="shared" si="58"/>
        <v>#REF!</v>
      </c>
      <c r="I113" s="27" t="e">
        <f t="shared" si="59"/>
        <v>#REF!</v>
      </c>
      <c r="J113" s="25"/>
      <c r="K113" s="25">
        <f t="shared" si="60"/>
        <v>498</v>
      </c>
      <c r="L113" s="25" t="e">
        <f t="shared" si="61"/>
        <v>#REF!</v>
      </c>
      <c r="M113" s="27" t="e">
        <f t="shared" si="62"/>
        <v>#REF!</v>
      </c>
      <c r="N113" s="27"/>
      <c r="O113" s="26" t="str">
        <f t="shared" si="63"/>
        <v>Eastern</v>
      </c>
      <c r="P113" s="26" t="e">
        <f t="shared" si="64"/>
        <v>#REF!</v>
      </c>
      <c r="Q113" s="27" t="e">
        <f t="shared" si="65"/>
        <v>#VALUE!</v>
      </c>
      <c r="R113" s="27"/>
      <c r="S113" s="26">
        <f t="shared" si="66"/>
        <v>7489</v>
      </c>
      <c r="T113" s="26" t="e">
        <f t="shared" si="67"/>
        <v>#REF!</v>
      </c>
      <c r="U113" s="27" t="e">
        <f t="shared" si="68"/>
        <v>#REF!</v>
      </c>
      <c r="V113" s="27"/>
      <c r="W113" s="26">
        <f t="shared" si="69"/>
        <v>663</v>
      </c>
      <c r="X113" s="26" t="e">
        <f t="shared" si="70"/>
        <v>#REF!</v>
      </c>
      <c r="Y113" s="27" t="e">
        <f t="shared" si="71"/>
        <v>#REF!</v>
      </c>
    </row>
    <row r="114" spans="1:25" ht="16.5" customHeight="1">
      <c r="A114" s="16" t="s">
        <v>167</v>
      </c>
      <c r="B114" s="16" t="s">
        <v>168</v>
      </c>
      <c r="C114" s="25">
        <f t="shared" si="54"/>
        <v>27</v>
      </c>
      <c r="D114" s="25" t="e">
        <f t="shared" si="55"/>
        <v>#REF!</v>
      </c>
      <c r="E114" s="27" t="e">
        <f t="shared" si="56"/>
        <v>#REF!</v>
      </c>
      <c r="F114" s="25"/>
      <c r="G114" s="25">
        <f t="shared" si="57"/>
        <v>101</v>
      </c>
      <c r="H114" s="25" t="e">
        <f t="shared" si="58"/>
        <v>#REF!</v>
      </c>
      <c r="I114" s="27" t="e">
        <f t="shared" si="59"/>
        <v>#REF!</v>
      </c>
      <c r="J114" s="25"/>
      <c r="K114" s="25">
        <f t="shared" si="60"/>
        <v>79</v>
      </c>
      <c r="L114" s="25" t="e">
        <f t="shared" si="61"/>
        <v>#REF!</v>
      </c>
      <c r="M114" s="27" t="e">
        <f t="shared" si="62"/>
        <v>#REF!</v>
      </c>
      <c r="N114" s="27"/>
      <c r="O114" s="26" t="str">
        <f t="shared" si="63"/>
        <v>Western</v>
      </c>
      <c r="P114" s="26" t="e">
        <f t="shared" si="64"/>
        <v>#REF!</v>
      </c>
      <c r="Q114" s="27" t="e">
        <f t="shared" si="65"/>
        <v>#VALUE!</v>
      </c>
      <c r="R114" s="27"/>
      <c r="S114" s="26">
        <f t="shared" si="66"/>
        <v>154</v>
      </c>
      <c r="T114" s="26" t="e">
        <f t="shared" si="67"/>
        <v>#REF!</v>
      </c>
      <c r="U114" s="27" t="e">
        <f t="shared" si="68"/>
        <v>#REF!</v>
      </c>
      <c r="V114" s="27"/>
      <c r="W114" s="26">
        <f t="shared" si="69"/>
        <v>106</v>
      </c>
      <c r="X114" s="26" t="e">
        <f t="shared" si="70"/>
        <v>#REF!</v>
      </c>
      <c r="Y114" s="27" t="e">
        <f t="shared" si="71"/>
        <v>#REF!</v>
      </c>
    </row>
    <row r="115" spans="1:25" ht="16.5" customHeight="1">
      <c r="A115" s="16" t="s">
        <v>177</v>
      </c>
      <c r="B115" s="16" t="s">
        <v>178</v>
      </c>
      <c r="C115" s="25">
        <f t="shared" si="54"/>
        <v>129</v>
      </c>
      <c r="D115" s="25" t="e">
        <f t="shared" si="55"/>
        <v>#REF!</v>
      </c>
      <c r="E115" s="27" t="e">
        <f t="shared" si="56"/>
        <v>#REF!</v>
      </c>
      <c r="F115" s="25"/>
      <c r="G115" s="25">
        <f t="shared" si="57"/>
        <v>1035</v>
      </c>
      <c r="H115" s="25" t="e">
        <f t="shared" si="58"/>
        <v>#REF!</v>
      </c>
      <c r="I115" s="27" t="e">
        <f t="shared" si="59"/>
        <v>#REF!</v>
      </c>
      <c r="J115" s="25"/>
      <c r="K115" s="25">
        <f t="shared" si="60"/>
        <v>60</v>
      </c>
      <c r="L115" s="25" t="e">
        <f t="shared" si="61"/>
        <v>#REF!</v>
      </c>
      <c r="M115" s="27" t="e">
        <f t="shared" si="62"/>
        <v>#REF!</v>
      </c>
      <c r="N115" s="27"/>
      <c r="O115" s="26" t="str">
        <f t="shared" si="63"/>
        <v>Central</v>
      </c>
      <c r="P115" s="26" t="e">
        <f t="shared" si="64"/>
        <v>#REF!</v>
      </c>
      <c r="Q115" s="27" t="e">
        <f t="shared" si="65"/>
        <v>#VALUE!</v>
      </c>
      <c r="R115" s="27"/>
      <c r="S115" s="26">
        <f t="shared" si="66"/>
        <v>1705</v>
      </c>
      <c r="T115" s="26" t="e">
        <f t="shared" si="67"/>
        <v>#REF!</v>
      </c>
      <c r="U115" s="27" t="e">
        <f t="shared" si="68"/>
        <v>#REF!</v>
      </c>
      <c r="V115" s="27"/>
      <c r="W115" s="26">
        <f t="shared" si="69"/>
        <v>71</v>
      </c>
      <c r="X115" s="26" t="e">
        <f t="shared" si="70"/>
        <v>#REF!</v>
      </c>
      <c r="Y115" s="27" t="e">
        <f t="shared" si="71"/>
        <v>#REF!</v>
      </c>
    </row>
    <row r="116" spans="1:25" ht="16.5" customHeight="1">
      <c r="A116" s="16" t="s">
        <v>181</v>
      </c>
      <c r="B116" s="16" t="s">
        <v>182</v>
      </c>
      <c r="C116" s="25">
        <f t="shared" si="54"/>
        <v>328</v>
      </c>
      <c r="D116" s="25" t="e">
        <f t="shared" si="55"/>
        <v>#REF!</v>
      </c>
      <c r="E116" s="27" t="e">
        <f t="shared" si="56"/>
        <v>#REF!</v>
      </c>
      <c r="F116" s="25"/>
      <c r="G116" s="25">
        <f t="shared" si="57"/>
        <v>2075</v>
      </c>
      <c r="H116" s="25" t="e">
        <f t="shared" si="58"/>
        <v>#REF!</v>
      </c>
      <c r="I116" s="27" t="e">
        <f t="shared" si="59"/>
        <v>#REF!</v>
      </c>
      <c r="J116" s="25"/>
      <c r="K116" s="25">
        <f t="shared" si="60"/>
        <v>255</v>
      </c>
      <c r="L116" s="25" t="e">
        <f t="shared" si="61"/>
        <v>#REF!</v>
      </c>
      <c r="M116" s="27" t="e">
        <f t="shared" si="62"/>
        <v>#REF!</v>
      </c>
      <c r="N116" s="27"/>
      <c r="O116" s="26" t="str">
        <f t="shared" si="63"/>
        <v>Eastern</v>
      </c>
      <c r="P116" s="26" t="e">
        <f t="shared" si="64"/>
        <v>#REF!</v>
      </c>
      <c r="Q116" s="27" t="e">
        <f t="shared" si="65"/>
        <v>#VALUE!</v>
      </c>
      <c r="R116" s="27"/>
      <c r="S116" s="26">
        <f t="shared" si="66"/>
        <v>3907</v>
      </c>
      <c r="T116" s="26" t="e">
        <f t="shared" si="67"/>
        <v>#REF!</v>
      </c>
      <c r="U116" s="27" t="e">
        <f t="shared" si="68"/>
        <v>#REF!</v>
      </c>
      <c r="V116" s="27"/>
      <c r="W116" s="26">
        <f t="shared" si="69"/>
        <v>343</v>
      </c>
      <c r="X116" s="26" t="e">
        <f t="shared" si="70"/>
        <v>#REF!</v>
      </c>
      <c r="Y116" s="27" t="e">
        <f t="shared" si="71"/>
        <v>#REF!</v>
      </c>
    </row>
    <row r="117" spans="1:25" ht="16.5" customHeight="1">
      <c r="A117" s="16" t="s">
        <v>193</v>
      </c>
      <c r="B117" s="16" t="s">
        <v>194</v>
      </c>
      <c r="C117" s="25">
        <f t="shared" si="54"/>
        <v>42</v>
      </c>
      <c r="D117" s="25" t="e">
        <f t="shared" si="55"/>
        <v>#REF!</v>
      </c>
      <c r="E117" s="27" t="e">
        <f t="shared" si="56"/>
        <v>#REF!</v>
      </c>
      <c r="F117" s="25"/>
      <c r="G117" s="25">
        <f t="shared" si="57"/>
        <v>171</v>
      </c>
      <c r="H117" s="25" t="e">
        <f t="shared" si="58"/>
        <v>#REF!</v>
      </c>
      <c r="I117" s="27" t="e">
        <f t="shared" si="59"/>
        <v>#REF!</v>
      </c>
      <c r="J117" s="25"/>
      <c r="K117" s="25">
        <f t="shared" si="60"/>
        <v>124</v>
      </c>
      <c r="L117" s="25" t="e">
        <f t="shared" si="61"/>
        <v>#REF!</v>
      </c>
      <c r="M117" s="27" t="e">
        <f t="shared" si="62"/>
        <v>#REF!</v>
      </c>
      <c r="N117" s="27"/>
      <c r="O117" s="26" t="str">
        <f t="shared" si="63"/>
        <v>Western</v>
      </c>
      <c r="P117" s="26" t="e">
        <f t="shared" si="64"/>
        <v>#REF!</v>
      </c>
      <c r="Q117" s="27" t="e">
        <f t="shared" si="65"/>
        <v>#VALUE!</v>
      </c>
      <c r="R117" s="27"/>
      <c r="S117" s="26">
        <f t="shared" si="66"/>
        <v>262</v>
      </c>
      <c r="T117" s="26" t="e">
        <f t="shared" si="67"/>
        <v>#REF!</v>
      </c>
      <c r="U117" s="27" t="e">
        <f t="shared" si="68"/>
        <v>#REF!</v>
      </c>
      <c r="V117" s="27"/>
      <c r="W117" s="26">
        <f t="shared" si="69"/>
        <v>158</v>
      </c>
      <c r="X117" s="26" t="e">
        <f t="shared" si="70"/>
        <v>#REF!</v>
      </c>
      <c r="Y117" s="27" t="e">
        <f t="shared" si="71"/>
        <v>#REF!</v>
      </c>
    </row>
    <row r="118" spans="1:25" ht="16.5" customHeight="1">
      <c r="A118" s="16" t="s">
        <v>197</v>
      </c>
      <c r="B118" s="16" t="s">
        <v>334</v>
      </c>
      <c r="C118" s="25">
        <f t="shared" si="54"/>
        <v>1389</v>
      </c>
      <c r="D118" s="25" t="e">
        <f t="shared" si="55"/>
        <v>#REF!</v>
      </c>
      <c r="E118" s="27" t="e">
        <f t="shared" si="56"/>
        <v>#REF!</v>
      </c>
      <c r="F118" s="25"/>
      <c r="G118" s="25">
        <f t="shared" si="57"/>
        <v>5004</v>
      </c>
      <c r="H118" s="25" t="e">
        <f t="shared" si="58"/>
        <v>#REF!</v>
      </c>
      <c r="I118" s="27" t="e">
        <f t="shared" si="59"/>
        <v>#REF!</v>
      </c>
      <c r="J118" s="25"/>
      <c r="K118" s="25">
        <f t="shared" si="60"/>
        <v>310</v>
      </c>
      <c r="L118" s="25" t="e">
        <f t="shared" si="61"/>
        <v>#REF!</v>
      </c>
      <c r="M118" s="27" t="e">
        <f t="shared" si="62"/>
        <v>#REF!</v>
      </c>
      <c r="N118" s="27"/>
      <c r="O118" s="26" t="str">
        <f t="shared" si="63"/>
        <v>Central</v>
      </c>
      <c r="P118" s="26" t="e">
        <f t="shared" si="64"/>
        <v>#REF!</v>
      </c>
      <c r="Q118" s="27" t="e">
        <f t="shared" si="65"/>
        <v>#VALUE!</v>
      </c>
      <c r="R118" s="27"/>
      <c r="S118" s="26">
        <f t="shared" si="66"/>
        <v>8778</v>
      </c>
      <c r="T118" s="26" t="e">
        <f t="shared" si="67"/>
        <v>#REF!</v>
      </c>
      <c r="U118" s="27" t="e">
        <f t="shared" si="68"/>
        <v>#REF!</v>
      </c>
      <c r="V118" s="27"/>
      <c r="W118" s="26">
        <f t="shared" si="69"/>
        <v>365</v>
      </c>
      <c r="X118" s="26" t="e">
        <f t="shared" si="70"/>
        <v>#REF!</v>
      </c>
      <c r="Y118" s="27" t="e">
        <f t="shared" si="71"/>
        <v>#REF!</v>
      </c>
    </row>
    <row r="119" spans="1:25" ht="16.5" customHeight="1">
      <c r="A119" s="16" t="s">
        <v>201</v>
      </c>
      <c r="B119" s="16" t="s">
        <v>335</v>
      </c>
      <c r="C119" s="25">
        <f t="shared" si="54"/>
        <v>511</v>
      </c>
      <c r="D119" s="25" t="e">
        <f t="shared" si="55"/>
        <v>#REF!</v>
      </c>
      <c r="E119" s="27" t="e">
        <f t="shared" si="56"/>
        <v>#REF!</v>
      </c>
      <c r="F119" s="25"/>
      <c r="G119" s="25">
        <f t="shared" si="57"/>
        <v>2621</v>
      </c>
      <c r="H119" s="25" t="e">
        <f t="shared" si="58"/>
        <v>#REF!</v>
      </c>
      <c r="I119" s="27" t="e">
        <f t="shared" si="59"/>
        <v>#REF!</v>
      </c>
      <c r="J119" s="25"/>
      <c r="K119" s="25">
        <f t="shared" si="60"/>
        <v>1097</v>
      </c>
      <c r="L119" s="25" t="e">
        <f t="shared" si="61"/>
        <v>#REF!</v>
      </c>
      <c r="M119" s="27" t="e">
        <f t="shared" si="62"/>
        <v>#REF!</v>
      </c>
      <c r="N119" s="27"/>
      <c r="O119" s="26" t="str">
        <f t="shared" si="63"/>
        <v>Piedmont</v>
      </c>
      <c r="P119" s="26" t="e">
        <f t="shared" si="64"/>
        <v>#REF!</v>
      </c>
      <c r="Q119" s="27" t="e">
        <f t="shared" si="65"/>
        <v>#VALUE!</v>
      </c>
      <c r="R119" s="27"/>
      <c r="S119" s="26">
        <f t="shared" si="66"/>
        <v>4174</v>
      </c>
      <c r="T119" s="26" t="e">
        <f t="shared" si="67"/>
        <v>#REF!</v>
      </c>
      <c r="U119" s="27" t="e">
        <f t="shared" si="68"/>
        <v>#REF!</v>
      </c>
      <c r="V119" s="27"/>
      <c r="W119" s="26">
        <f t="shared" si="69"/>
        <v>1400</v>
      </c>
      <c r="X119" s="26" t="e">
        <f t="shared" si="70"/>
        <v>#REF!</v>
      </c>
      <c r="Y119" s="27" t="e">
        <f t="shared" si="71"/>
        <v>#REF!</v>
      </c>
    </row>
    <row r="120" spans="1:25" ht="16.5" customHeight="1">
      <c r="A120" s="16" t="s">
        <v>223</v>
      </c>
      <c r="B120" s="16" t="s">
        <v>224</v>
      </c>
      <c r="C120" s="25">
        <f t="shared" si="54"/>
        <v>133</v>
      </c>
      <c r="D120" s="25" t="e">
        <f t="shared" si="55"/>
        <v>#REF!</v>
      </c>
      <c r="E120" s="27" t="e">
        <f t="shared" si="56"/>
        <v>#REF!</v>
      </c>
      <c r="F120" s="25"/>
      <c r="G120" s="25">
        <f t="shared" si="57"/>
        <v>683</v>
      </c>
      <c r="H120" s="25" t="e">
        <f t="shared" si="58"/>
        <v>#REF!</v>
      </c>
      <c r="I120" s="27" t="e">
        <f t="shared" si="59"/>
        <v>#REF!</v>
      </c>
      <c r="J120" s="25"/>
      <c r="K120" s="25">
        <f t="shared" si="60"/>
        <v>109</v>
      </c>
      <c r="L120" s="25" t="e">
        <f t="shared" si="61"/>
        <v>#REF!</v>
      </c>
      <c r="M120" s="27" t="e">
        <f t="shared" si="62"/>
        <v>#REF!</v>
      </c>
      <c r="N120" s="27"/>
      <c r="O120" s="26" t="str">
        <f t="shared" si="63"/>
        <v>Eastern</v>
      </c>
      <c r="P120" s="26" t="e">
        <f t="shared" si="64"/>
        <v>#REF!</v>
      </c>
      <c r="Q120" s="27" t="e">
        <f t="shared" si="65"/>
        <v>#VALUE!</v>
      </c>
      <c r="R120" s="27"/>
      <c r="S120" s="26">
        <f t="shared" si="66"/>
        <v>1411</v>
      </c>
      <c r="T120" s="26" t="e">
        <f t="shared" si="67"/>
        <v>#REF!</v>
      </c>
      <c r="U120" s="27" t="e">
        <f t="shared" si="68"/>
        <v>#REF!</v>
      </c>
      <c r="V120" s="27"/>
      <c r="W120" s="26">
        <f t="shared" si="69"/>
        <v>199</v>
      </c>
      <c r="X120" s="26" t="e">
        <f t="shared" si="70"/>
        <v>#REF!</v>
      </c>
      <c r="Y120" s="27" t="e">
        <f t="shared" si="71"/>
        <v>#REF!</v>
      </c>
    </row>
    <row r="121" spans="1:25" ht="16.5" customHeight="1">
      <c r="A121" s="16" t="s">
        <v>231</v>
      </c>
      <c r="B121" s="16" t="s">
        <v>232</v>
      </c>
      <c r="C121" s="25">
        <f t="shared" si="54"/>
        <v>748</v>
      </c>
      <c r="D121" s="25" t="e">
        <f t="shared" si="55"/>
        <v>#REF!</v>
      </c>
      <c r="E121" s="27" t="e">
        <f t="shared" si="56"/>
        <v>#REF!</v>
      </c>
      <c r="F121" s="25"/>
      <c r="G121" s="25">
        <f t="shared" si="57"/>
        <v>2174</v>
      </c>
      <c r="H121" s="25" t="e">
        <f t="shared" si="58"/>
        <v>#REF!</v>
      </c>
      <c r="I121" s="27" t="e">
        <f t="shared" si="59"/>
        <v>#REF!</v>
      </c>
      <c r="J121" s="25"/>
      <c r="K121" s="25">
        <f t="shared" si="60"/>
        <v>627</v>
      </c>
      <c r="L121" s="25" t="e">
        <f t="shared" si="61"/>
        <v>#REF!</v>
      </c>
      <c r="M121" s="27" t="e">
        <f t="shared" si="62"/>
        <v>#REF!</v>
      </c>
      <c r="N121" s="27"/>
      <c r="O121" s="26" t="str">
        <f t="shared" si="63"/>
        <v>Eastern</v>
      </c>
      <c r="P121" s="26" t="e">
        <f t="shared" si="64"/>
        <v>#REF!</v>
      </c>
      <c r="Q121" s="27" t="e">
        <f t="shared" si="65"/>
        <v>#VALUE!</v>
      </c>
      <c r="R121" s="27"/>
      <c r="S121" s="26">
        <f t="shared" si="66"/>
        <v>3893</v>
      </c>
      <c r="T121" s="26" t="e">
        <f t="shared" si="67"/>
        <v>#REF!</v>
      </c>
      <c r="U121" s="27" t="e">
        <f t="shared" si="68"/>
        <v>#REF!</v>
      </c>
      <c r="V121" s="27"/>
      <c r="W121" s="26">
        <f t="shared" si="69"/>
        <v>850</v>
      </c>
      <c r="X121" s="26" t="e">
        <f t="shared" si="70"/>
        <v>#REF!</v>
      </c>
      <c r="Y121" s="27" t="e">
        <f t="shared" si="71"/>
        <v>#REF!</v>
      </c>
    </row>
    <row r="122" spans="1:25" ht="16.5" customHeight="1">
      <c r="A122" s="16" t="s">
        <v>239</v>
      </c>
      <c r="B122" s="16" t="s">
        <v>240</v>
      </c>
      <c r="C122" s="25">
        <f t="shared" si="54"/>
        <v>23</v>
      </c>
      <c r="D122" s="25" t="e">
        <f t="shared" si="55"/>
        <v>#REF!</v>
      </c>
      <c r="E122" s="27" t="e">
        <f t="shared" si="56"/>
        <v>#REF!</v>
      </c>
      <c r="F122" s="25"/>
      <c r="G122" s="25">
        <f t="shared" si="57"/>
        <v>111</v>
      </c>
      <c r="H122" s="25" t="e">
        <f t="shared" si="58"/>
        <v>#REF!</v>
      </c>
      <c r="I122" s="27" t="e">
        <f t="shared" si="59"/>
        <v>#REF!</v>
      </c>
      <c r="J122" s="25"/>
      <c r="K122" s="25">
        <f t="shared" si="60"/>
        <v>40</v>
      </c>
      <c r="L122" s="25" t="e">
        <f t="shared" si="61"/>
        <v>#REF!</v>
      </c>
      <c r="M122" s="27" t="e">
        <f t="shared" si="62"/>
        <v>#REF!</v>
      </c>
      <c r="N122" s="27"/>
      <c r="O122" s="26" t="str">
        <f t="shared" si="63"/>
        <v>Eastern</v>
      </c>
      <c r="P122" s="26" t="e">
        <f t="shared" si="64"/>
        <v>#REF!</v>
      </c>
      <c r="Q122" s="27" t="e">
        <f t="shared" si="65"/>
        <v>#VALUE!</v>
      </c>
      <c r="R122" s="27"/>
      <c r="S122" s="26">
        <f t="shared" si="66"/>
        <v>172</v>
      </c>
      <c r="T122" s="26" t="e">
        <f t="shared" si="67"/>
        <v>#REF!</v>
      </c>
      <c r="U122" s="27" t="e">
        <f t="shared" si="68"/>
        <v>#REF!</v>
      </c>
      <c r="V122" s="27"/>
      <c r="W122" s="26">
        <f t="shared" si="69"/>
        <v>46</v>
      </c>
      <c r="X122" s="26" t="e">
        <f t="shared" si="70"/>
        <v>#REF!</v>
      </c>
      <c r="Y122" s="27" t="e">
        <f t="shared" si="71"/>
        <v>#REF!</v>
      </c>
    </row>
    <row r="123" spans="1:25" ht="16.5" customHeight="1">
      <c r="A123" s="16" t="s">
        <v>241</v>
      </c>
      <c r="B123" s="16" t="s">
        <v>242</v>
      </c>
      <c r="C123" s="25">
        <f t="shared" si="54"/>
        <v>62</v>
      </c>
      <c r="D123" s="25" t="e">
        <f t="shared" si="55"/>
        <v>#REF!</v>
      </c>
      <c r="E123" s="27" t="e">
        <f t="shared" si="56"/>
        <v>#REF!</v>
      </c>
      <c r="F123" s="25"/>
      <c r="G123" s="25">
        <f t="shared" si="57"/>
        <v>326</v>
      </c>
      <c r="H123" s="25" t="e">
        <f t="shared" si="58"/>
        <v>#REF!</v>
      </c>
      <c r="I123" s="27" t="e">
        <f t="shared" si="59"/>
        <v>#REF!</v>
      </c>
      <c r="J123" s="25"/>
      <c r="K123" s="25">
        <f t="shared" si="60"/>
        <v>225</v>
      </c>
      <c r="L123" s="25" t="e">
        <f t="shared" si="61"/>
        <v>#REF!</v>
      </c>
      <c r="M123" s="27" t="e">
        <f t="shared" si="62"/>
        <v>#REF!</v>
      </c>
      <c r="N123" s="27"/>
      <c r="O123" s="26" t="str">
        <f t="shared" si="63"/>
        <v>Northern</v>
      </c>
      <c r="P123" s="26" t="e">
        <f t="shared" si="64"/>
        <v>#REF!</v>
      </c>
      <c r="Q123" s="27" t="e">
        <f t="shared" si="65"/>
        <v>#VALUE!</v>
      </c>
      <c r="R123" s="27"/>
      <c r="S123" s="26">
        <f t="shared" si="66"/>
        <v>562</v>
      </c>
      <c r="T123" s="26" t="e">
        <f t="shared" si="67"/>
        <v>#REF!</v>
      </c>
      <c r="U123" s="27" t="e">
        <f t="shared" si="68"/>
        <v>#REF!</v>
      </c>
      <c r="V123" s="27"/>
      <c r="W123" s="26">
        <f t="shared" si="69"/>
        <v>328</v>
      </c>
      <c r="X123" s="26" t="e">
        <f t="shared" si="70"/>
        <v>#REF!</v>
      </c>
      <c r="Y123" s="27" t="e">
        <f t="shared" si="71"/>
        <v>#REF!</v>
      </c>
    </row>
    <row r="124" spans="1:25">
      <c r="C124" s="28"/>
      <c r="D124" s="28"/>
      <c r="E124" s="28"/>
      <c r="F124" s="28"/>
      <c r="G124" s="28"/>
      <c r="H124" s="28"/>
      <c r="I124" s="28"/>
      <c r="J124" s="28"/>
      <c r="K124" s="28"/>
      <c r="L124" s="28"/>
    </row>
    <row r="125" spans="1:25">
      <c r="C125" s="28"/>
      <c r="D125" s="28"/>
      <c r="E125" s="28"/>
      <c r="F125" s="28"/>
      <c r="G125" s="28"/>
      <c r="H125" s="28"/>
      <c r="I125" s="28"/>
      <c r="J125" s="28"/>
      <c r="K125" s="28"/>
      <c r="L125" s="28"/>
    </row>
    <row r="126" spans="1:25" ht="12.75" customHeight="1">
      <c r="A126" s="1680" t="s">
        <v>747</v>
      </c>
      <c r="B126" s="1680"/>
      <c r="C126" s="1681"/>
      <c r="D126" s="19"/>
      <c r="E126" s="19"/>
      <c r="F126" s="19"/>
      <c r="G126" s="19"/>
      <c r="H126" s="19"/>
      <c r="I126" s="19"/>
      <c r="J126" s="19"/>
      <c r="K126" s="19"/>
      <c r="L126" s="19"/>
    </row>
    <row r="127" spans="1:25">
      <c r="A127" s="18" t="s">
        <v>748</v>
      </c>
    </row>
  </sheetData>
  <autoFilter ref="A3:Y127"/>
  <mergeCells count="9">
    <mergeCell ref="O2:Q2"/>
    <mergeCell ref="O1:Y1"/>
    <mergeCell ref="S2:U2"/>
    <mergeCell ref="W2:Y2"/>
    <mergeCell ref="A126:C126"/>
    <mergeCell ref="C2:E2"/>
    <mergeCell ref="C1:M1"/>
    <mergeCell ref="G2:I2"/>
    <mergeCell ref="K2:M2"/>
  </mergeCells>
  <conditionalFormatting sqref="Q4:R123 E4:E123">
    <cfRule type="cellIs" dxfId="1" priority="20" stopIfTrue="1" operator="greaterThan">
      <formula>"&gt;1"</formula>
    </cfRule>
  </conditionalFormatting>
  <conditionalFormatting sqref="Y4:Y123 M4:N123 U4:V123 Q4:R123 I4:I123 E4:E123">
    <cfRule type="cellIs" dxfId="0" priority="19" stopIfTrue="1" operator="greaterThan">
      <formula>1</formula>
    </cfRule>
  </conditionalFormatting>
  <pageMargins left="0.75" right="0.75" top="1" bottom="1" header="0.5" footer="0.5"/>
  <pageSetup orientation="portrait" r:id="rId1"/>
</worksheet>
</file>

<file path=xl/worksheets/sheet25.xml><?xml version="1.0" encoding="utf-8"?>
<worksheet xmlns="http://schemas.openxmlformats.org/spreadsheetml/2006/main" xmlns:r="http://schemas.openxmlformats.org/officeDocument/2006/relationships">
  <dimension ref="A1:F125"/>
  <sheetViews>
    <sheetView zoomScaleNormal="106" zoomScaleSheetLayoutView="116" workbookViewId="0">
      <pane ySplit="1" topLeftCell="A2" activePane="bottomLeft" state="frozen"/>
      <selection pane="bottomLeft" activeCell="C2" sqref="C2"/>
    </sheetView>
  </sheetViews>
  <sheetFormatPr defaultRowHeight="12.75"/>
  <cols>
    <col min="1" max="1" width="12.25" style="18" customWidth="1"/>
    <col min="2" max="2" width="21.5" style="18" customWidth="1"/>
    <col min="3" max="3" width="17" style="18" customWidth="1"/>
    <col min="4" max="4" width="18.25" style="18" customWidth="1"/>
    <col min="5" max="5" width="19.625" style="18" customWidth="1"/>
    <col min="6" max="6" width="9.25" style="18" customWidth="1"/>
    <col min="7" max="16384" width="9" style="18"/>
  </cols>
  <sheetData>
    <row r="1" spans="1:6" s="15" customFormat="1" ht="71.25" customHeight="1">
      <c r="A1" s="13" t="s">
        <v>315</v>
      </c>
      <c r="B1" s="13" t="s">
        <v>316</v>
      </c>
      <c r="C1" s="13" t="s">
        <v>743</v>
      </c>
      <c r="D1" s="13" t="s">
        <v>744</v>
      </c>
      <c r="E1" s="13" t="s">
        <v>745</v>
      </c>
      <c r="F1" s="14" t="s">
        <v>746</v>
      </c>
    </row>
    <row r="2" spans="1:6" ht="16.5" customHeight="1">
      <c r="A2" s="16" t="s">
        <v>10</v>
      </c>
      <c r="B2" s="16" t="s">
        <v>11</v>
      </c>
      <c r="C2" s="17">
        <v>3</v>
      </c>
      <c r="D2" s="17">
        <v>4</v>
      </c>
      <c r="E2" s="17">
        <v>248</v>
      </c>
      <c r="F2" s="18">
        <f>ROUND(E2/12,0)</f>
        <v>21</v>
      </c>
    </row>
    <row r="3" spans="1:6" ht="16.5" customHeight="1">
      <c r="A3" s="16" t="s">
        <v>12</v>
      </c>
      <c r="B3" s="16" t="s">
        <v>13</v>
      </c>
      <c r="C3" s="17">
        <v>7</v>
      </c>
      <c r="D3" s="17">
        <v>4</v>
      </c>
      <c r="E3" s="17">
        <v>729</v>
      </c>
      <c r="F3" s="18">
        <f t="shared" ref="F3:F66" si="0">ROUND(E3/12,0)</f>
        <v>61</v>
      </c>
    </row>
    <row r="4" spans="1:6" ht="16.5" customHeight="1">
      <c r="A4" s="16" t="s">
        <v>16</v>
      </c>
      <c r="B4" s="16" t="s">
        <v>307</v>
      </c>
      <c r="C4" s="17">
        <v>3</v>
      </c>
      <c r="D4" s="17">
        <v>0</v>
      </c>
      <c r="E4" s="17">
        <v>123</v>
      </c>
      <c r="F4" s="18">
        <f t="shared" si="0"/>
        <v>10</v>
      </c>
    </row>
    <row r="5" spans="1:6" ht="16.5" customHeight="1">
      <c r="A5" s="16" t="s">
        <v>18</v>
      </c>
      <c r="B5" s="16" t="s">
        <v>19</v>
      </c>
      <c r="C5" s="17">
        <v>1</v>
      </c>
      <c r="D5" s="17">
        <v>0</v>
      </c>
      <c r="E5" s="17">
        <v>41</v>
      </c>
      <c r="F5" s="18">
        <f t="shared" si="0"/>
        <v>3</v>
      </c>
    </row>
    <row r="6" spans="1:6" ht="16.5" customHeight="1">
      <c r="A6" s="16" t="s">
        <v>20</v>
      </c>
      <c r="B6" s="16" t="s">
        <v>21</v>
      </c>
      <c r="C6" s="17">
        <v>0</v>
      </c>
      <c r="D6" s="17">
        <v>0</v>
      </c>
      <c r="E6" s="17">
        <v>132</v>
      </c>
      <c r="F6" s="18">
        <f t="shared" si="0"/>
        <v>11</v>
      </c>
    </row>
    <row r="7" spans="1:6" ht="16.5" customHeight="1">
      <c r="A7" s="16" t="s">
        <v>22</v>
      </c>
      <c r="B7" s="16" t="s">
        <v>23</v>
      </c>
      <c r="C7" s="17">
        <v>0</v>
      </c>
      <c r="D7" s="17">
        <v>0</v>
      </c>
      <c r="E7" s="17">
        <v>12</v>
      </c>
      <c r="F7" s="18">
        <f t="shared" si="0"/>
        <v>1</v>
      </c>
    </row>
    <row r="8" spans="1:6" ht="16.5" customHeight="1">
      <c r="A8" s="16" t="s">
        <v>24</v>
      </c>
      <c r="B8" s="16" t="s">
        <v>25</v>
      </c>
      <c r="C8" s="17">
        <v>13</v>
      </c>
      <c r="D8" s="17">
        <v>3</v>
      </c>
      <c r="E8" s="17">
        <v>1283</v>
      </c>
      <c r="F8" s="18">
        <f t="shared" si="0"/>
        <v>107</v>
      </c>
    </row>
    <row r="9" spans="1:6" ht="16.5" customHeight="1">
      <c r="A9" s="16" t="s">
        <v>26</v>
      </c>
      <c r="B9" s="16" t="s">
        <v>308</v>
      </c>
      <c r="C9" s="17">
        <v>11</v>
      </c>
      <c r="D9" s="17">
        <v>0</v>
      </c>
      <c r="E9" s="17">
        <v>1681</v>
      </c>
      <c r="F9" s="18">
        <f t="shared" si="0"/>
        <v>140</v>
      </c>
    </row>
    <row r="10" spans="1:6" ht="16.5" customHeight="1">
      <c r="A10" s="16" t="s">
        <v>27</v>
      </c>
      <c r="B10" s="16" t="s">
        <v>28</v>
      </c>
      <c r="C10" s="17">
        <v>0</v>
      </c>
      <c r="D10" s="17">
        <v>0</v>
      </c>
      <c r="E10" s="17">
        <v>24</v>
      </c>
      <c r="F10" s="18">
        <f t="shared" si="0"/>
        <v>2</v>
      </c>
    </row>
    <row r="11" spans="1:6" ht="16.5" customHeight="1">
      <c r="A11" s="16" t="s">
        <v>29</v>
      </c>
      <c r="B11" s="16" t="s">
        <v>329</v>
      </c>
      <c r="C11" s="17">
        <v>5</v>
      </c>
      <c r="D11" s="17">
        <v>0</v>
      </c>
      <c r="E11" s="17">
        <v>589</v>
      </c>
      <c r="F11" s="18">
        <f t="shared" si="0"/>
        <v>49</v>
      </c>
    </row>
    <row r="12" spans="1:6" ht="16.5" customHeight="1">
      <c r="A12" s="16" t="s">
        <v>31</v>
      </c>
      <c r="B12" s="16" t="s">
        <v>32</v>
      </c>
      <c r="C12" s="17">
        <v>3</v>
      </c>
      <c r="D12" s="17">
        <v>0</v>
      </c>
      <c r="E12" s="17">
        <v>89</v>
      </c>
      <c r="F12" s="18">
        <f t="shared" si="0"/>
        <v>7</v>
      </c>
    </row>
    <row r="13" spans="1:6" ht="16.5" customHeight="1">
      <c r="A13" s="16" t="s">
        <v>33</v>
      </c>
      <c r="B13" s="16" t="s">
        <v>34</v>
      </c>
      <c r="C13" s="17">
        <v>1</v>
      </c>
      <c r="D13" s="17">
        <v>0</v>
      </c>
      <c r="E13" s="17">
        <v>91</v>
      </c>
      <c r="F13" s="18">
        <f t="shared" si="0"/>
        <v>8</v>
      </c>
    </row>
    <row r="14" spans="1:6" ht="16.5" customHeight="1">
      <c r="A14" s="16" t="s">
        <v>37</v>
      </c>
      <c r="B14" s="16" t="s">
        <v>38</v>
      </c>
      <c r="C14" s="17">
        <v>0</v>
      </c>
      <c r="D14" s="17">
        <v>1</v>
      </c>
      <c r="E14" s="17">
        <v>17</v>
      </c>
      <c r="F14" s="18">
        <f t="shared" si="0"/>
        <v>1</v>
      </c>
    </row>
    <row r="15" spans="1:6" ht="16.5" customHeight="1">
      <c r="A15" s="16" t="s">
        <v>39</v>
      </c>
      <c r="B15" s="16" t="s">
        <v>40</v>
      </c>
      <c r="C15" s="17">
        <v>4</v>
      </c>
      <c r="D15" s="17">
        <v>3</v>
      </c>
      <c r="E15" s="17">
        <v>566</v>
      </c>
      <c r="F15" s="18">
        <f t="shared" si="0"/>
        <v>47</v>
      </c>
    </row>
    <row r="16" spans="1:6" ht="16.5" customHeight="1">
      <c r="A16" s="16" t="s">
        <v>41</v>
      </c>
      <c r="B16" s="16" t="s">
        <v>42</v>
      </c>
      <c r="C16" s="17">
        <v>3</v>
      </c>
      <c r="D16" s="17">
        <v>0</v>
      </c>
      <c r="E16" s="17">
        <v>113</v>
      </c>
      <c r="F16" s="18">
        <f t="shared" si="0"/>
        <v>9</v>
      </c>
    </row>
    <row r="17" spans="1:6" ht="16.5" customHeight="1">
      <c r="A17" s="16" t="s">
        <v>43</v>
      </c>
      <c r="B17" s="16" t="s">
        <v>44</v>
      </c>
      <c r="C17" s="17">
        <v>8</v>
      </c>
      <c r="D17" s="17">
        <v>2</v>
      </c>
      <c r="E17" s="17">
        <v>716</v>
      </c>
      <c r="F17" s="18">
        <f t="shared" si="0"/>
        <v>60</v>
      </c>
    </row>
    <row r="18" spans="1:6" ht="16.5" customHeight="1">
      <c r="A18" s="16" t="s">
        <v>45</v>
      </c>
      <c r="B18" s="16" t="s">
        <v>46</v>
      </c>
      <c r="C18" s="17">
        <v>1</v>
      </c>
      <c r="D18" s="17">
        <v>0</v>
      </c>
      <c r="E18" s="17">
        <v>86</v>
      </c>
      <c r="F18" s="18">
        <f t="shared" si="0"/>
        <v>7</v>
      </c>
    </row>
    <row r="19" spans="1:6" ht="16.5" customHeight="1">
      <c r="A19" s="16" t="s">
        <v>47</v>
      </c>
      <c r="B19" s="16" t="s">
        <v>48</v>
      </c>
      <c r="C19" s="17">
        <v>1</v>
      </c>
      <c r="D19" s="17">
        <v>0</v>
      </c>
      <c r="E19" s="17">
        <v>152</v>
      </c>
      <c r="F19" s="18">
        <f t="shared" si="0"/>
        <v>13</v>
      </c>
    </row>
    <row r="20" spans="1:6" ht="16.5" customHeight="1">
      <c r="A20" s="16" t="s">
        <v>49</v>
      </c>
      <c r="B20" s="16" t="s">
        <v>276</v>
      </c>
      <c r="C20" s="17">
        <v>1</v>
      </c>
      <c r="D20" s="17">
        <v>0</v>
      </c>
      <c r="E20" s="17">
        <v>24</v>
      </c>
      <c r="F20" s="18">
        <f t="shared" si="0"/>
        <v>2</v>
      </c>
    </row>
    <row r="21" spans="1:6" ht="16.5" customHeight="1">
      <c r="A21" s="16" t="s">
        <v>51</v>
      </c>
      <c r="B21" s="16" t="s">
        <v>52</v>
      </c>
      <c r="C21" s="17">
        <v>0</v>
      </c>
      <c r="D21" s="17">
        <v>0</v>
      </c>
      <c r="E21" s="17">
        <v>132</v>
      </c>
      <c r="F21" s="18">
        <f t="shared" si="0"/>
        <v>11</v>
      </c>
    </row>
    <row r="22" spans="1:6" ht="16.5" customHeight="1">
      <c r="A22" s="16" t="s">
        <v>57</v>
      </c>
      <c r="B22" s="16" t="s">
        <v>305</v>
      </c>
      <c r="C22" s="17">
        <v>18</v>
      </c>
      <c r="D22" s="17">
        <v>4</v>
      </c>
      <c r="E22" s="17">
        <v>1819</v>
      </c>
      <c r="F22" s="18">
        <f t="shared" si="0"/>
        <v>152</v>
      </c>
    </row>
    <row r="23" spans="1:6" ht="16.5" customHeight="1">
      <c r="A23" s="16" t="s">
        <v>59</v>
      </c>
      <c r="B23" s="16" t="s">
        <v>60</v>
      </c>
      <c r="C23" s="17">
        <v>0</v>
      </c>
      <c r="D23" s="17">
        <v>0</v>
      </c>
      <c r="E23" s="17">
        <v>52</v>
      </c>
      <c r="F23" s="18">
        <f t="shared" si="0"/>
        <v>4</v>
      </c>
    </row>
    <row r="24" spans="1:6" ht="16.5" customHeight="1">
      <c r="A24" s="16" t="s">
        <v>61</v>
      </c>
      <c r="B24" s="16" t="s">
        <v>62</v>
      </c>
      <c r="C24" s="17">
        <v>0</v>
      </c>
      <c r="D24" s="17">
        <v>0</v>
      </c>
      <c r="E24" s="17">
        <v>24</v>
      </c>
      <c r="F24" s="18">
        <f t="shared" si="0"/>
        <v>2</v>
      </c>
    </row>
    <row r="25" spans="1:6" ht="16.5" customHeight="1">
      <c r="A25" s="16" t="s">
        <v>63</v>
      </c>
      <c r="B25" s="16" t="s">
        <v>64</v>
      </c>
      <c r="C25" s="17">
        <v>6</v>
      </c>
      <c r="D25" s="17">
        <v>1</v>
      </c>
      <c r="E25" s="17">
        <v>362</v>
      </c>
      <c r="F25" s="18">
        <f t="shared" si="0"/>
        <v>30</v>
      </c>
    </row>
    <row r="26" spans="1:6" ht="16.5" customHeight="1">
      <c r="A26" s="16" t="s">
        <v>65</v>
      </c>
      <c r="B26" s="16" t="s">
        <v>66</v>
      </c>
      <c r="C26" s="17">
        <v>2</v>
      </c>
      <c r="D26" s="17">
        <v>0</v>
      </c>
      <c r="E26" s="17">
        <v>76</v>
      </c>
      <c r="F26" s="18">
        <f t="shared" si="0"/>
        <v>6</v>
      </c>
    </row>
    <row r="27" spans="1:6" ht="16.5" customHeight="1">
      <c r="A27" s="16" t="s">
        <v>69</v>
      </c>
      <c r="B27" s="16" t="s">
        <v>70</v>
      </c>
      <c r="C27" s="17">
        <v>28</v>
      </c>
      <c r="D27" s="17">
        <v>0</v>
      </c>
      <c r="E27" s="17">
        <v>592</v>
      </c>
      <c r="F27" s="18">
        <f t="shared" si="0"/>
        <v>49</v>
      </c>
    </row>
    <row r="28" spans="1:6" ht="16.5" customHeight="1">
      <c r="A28" s="16" t="s">
        <v>71</v>
      </c>
      <c r="B28" s="16" t="s">
        <v>72</v>
      </c>
      <c r="C28" s="17">
        <v>0</v>
      </c>
      <c r="D28" s="17">
        <v>0</v>
      </c>
      <c r="E28" s="17">
        <v>129</v>
      </c>
      <c r="F28" s="18">
        <f t="shared" si="0"/>
        <v>11</v>
      </c>
    </row>
    <row r="29" spans="1:6" ht="16.5" customHeight="1">
      <c r="A29" s="16" t="s">
        <v>73</v>
      </c>
      <c r="B29" s="16" t="s">
        <v>74</v>
      </c>
      <c r="C29" s="17">
        <v>0</v>
      </c>
      <c r="D29" s="17">
        <v>1</v>
      </c>
      <c r="E29" s="17">
        <v>38</v>
      </c>
      <c r="F29" s="18">
        <f t="shared" si="0"/>
        <v>3</v>
      </c>
    </row>
    <row r="30" spans="1:6" ht="16.5" customHeight="1">
      <c r="A30" s="16" t="s">
        <v>75</v>
      </c>
      <c r="B30" s="16" t="s">
        <v>312</v>
      </c>
      <c r="C30" s="17">
        <v>24</v>
      </c>
      <c r="D30" s="17">
        <v>21</v>
      </c>
      <c r="E30" s="17">
        <v>5651</v>
      </c>
      <c r="F30" s="18">
        <f t="shared" si="0"/>
        <v>471</v>
      </c>
    </row>
    <row r="31" spans="1:6" ht="16.5" customHeight="1">
      <c r="A31" s="16" t="s">
        <v>77</v>
      </c>
      <c r="B31" s="16" t="s">
        <v>78</v>
      </c>
      <c r="C31" s="17">
        <v>3</v>
      </c>
      <c r="D31" s="17">
        <v>6</v>
      </c>
      <c r="E31" s="17">
        <v>294</v>
      </c>
      <c r="F31" s="18">
        <f t="shared" si="0"/>
        <v>25</v>
      </c>
    </row>
    <row r="32" spans="1:6" ht="16.5" customHeight="1">
      <c r="A32" s="16" t="s">
        <v>79</v>
      </c>
      <c r="B32" s="16" t="s">
        <v>80</v>
      </c>
      <c r="C32" s="17">
        <v>0</v>
      </c>
      <c r="D32" s="17">
        <v>0</v>
      </c>
      <c r="E32" s="17">
        <v>12</v>
      </c>
      <c r="F32" s="18">
        <f t="shared" si="0"/>
        <v>1</v>
      </c>
    </row>
    <row r="33" spans="1:6" ht="16.5" customHeight="1">
      <c r="A33" s="16" t="s">
        <v>81</v>
      </c>
      <c r="B33" s="16" t="s">
        <v>82</v>
      </c>
      <c r="C33" s="17">
        <v>4</v>
      </c>
      <c r="D33" s="17">
        <v>0</v>
      </c>
      <c r="E33" s="17">
        <v>102</v>
      </c>
      <c r="F33" s="18">
        <f t="shared" si="0"/>
        <v>9</v>
      </c>
    </row>
    <row r="34" spans="1:6" ht="16.5" customHeight="1">
      <c r="A34" s="16" t="s">
        <v>85</v>
      </c>
      <c r="B34" s="16" t="s">
        <v>330</v>
      </c>
      <c r="C34" s="17">
        <v>3</v>
      </c>
      <c r="D34" s="17">
        <v>1</v>
      </c>
      <c r="E34" s="17">
        <v>432</v>
      </c>
      <c r="F34" s="18">
        <f t="shared" si="0"/>
        <v>36</v>
      </c>
    </row>
    <row r="35" spans="1:6" ht="16.5" customHeight="1">
      <c r="A35" s="16" t="s">
        <v>87</v>
      </c>
      <c r="B35" s="16" t="s">
        <v>88</v>
      </c>
      <c r="C35" s="17">
        <v>11</v>
      </c>
      <c r="D35" s="17">
        <v>10</v>
      </c>
      <c r="E35" s="17">
        <v>479</v>
      </c>
      <c r="F35" s="18">
        <f t="shared" si="0"/>
        <v>40</v>
      </c>
    </row>
    <row r="36" spans="1:6" ht="16.5" customHeight="1">
      <c r="A36" s="16" t="s">
        <v>93</v>
      </c>
      <c r="B36" s="16" t="s">
        <v>94</v>
      </c>
      <c r="C36" s="17">
        <v>3</v>
      </c>
      <c r="D36" s="17">
        <v>0</v>
      </c>
      <c r="E36" s="17">
        <v>213</v>
      </c>
      <c r="F36" s="18">
        <f t="shared" si="0"/>
        <v>18</v>
      </c>
    </row>
    <row r="37" spans="1:6" ht="16.5" customHeight="1">
      <c r="A37" s="16" t="s">
        <v>95</v>
      </c>
      <c r="B37" s="16" t="s">
        <v>96</v>
      </c>
      <c r="C37" s="17">
        <v>2</v>
      </c>
      <c r="D37" s="17">
        <v>2</v>
      </c>
      <c r="E37" s="17">
        <v>270</v>
      </c>
      <c r="F37" s="18">
        <f t="shared" si="0"/>
        <v>23</v>
      </c>
    </row>
    <row r="38" spans="1:6" ht="16.5" customHeight="1">
      <c r="A38" s="16" t="s">
        <v>97</v>
      </c>
      <c r="B38" s="16" t="s">
        <v>98</v>
      </c>
      <c r="C38" s="17">
        <v>1</v>
      </c>
      <c r="D38" s="17">
        <v>2</v>
      </c>
      <c r="E38" s="17">
        <v>133</v>
      </c>
      <c r="F38" s="18">
        <f t="shared" si="0"/>
        <v>11</v>
      </c>
    </row>
    <row r="39" spans="1:6" ht="16.5" customHeight="1">
      <c r="A39" s="16" t="s">
        <v>99</v>
      </c>
      <c r="B39" s="16" t="s">
        <v>100</v>
      </c>
      <c r="C39" s="17">
        <v>1</v>
      </c>
      <c r="D39" s="17">
        <v>2</v>
      </c>
      <c r="E39" s="17">
        <v>126</v>
      </c>
      <c r="F39" s="18">
        <f t="shared" si="0"/>
        <v>11</v>
      </c>
    </row>
    <row r="40" spans="1:6" ht="16.5" customHeight="1">
      <c r="A40" s="16" t="s">
        <v>101</v>
      </c>
      <c r="B40" s="16" t="s">
        <v>102</v>
      </c>
      <c r="C40" s="17">
        <v>0</v>
      </c>
      <c r="D40" s="17">
        <v>0</v>
      </c>
      <c r="E40" s="17">
        <v>60</v>
      </c>
      <c r="F40" s="18">
        <f t="shared" si="0"/>
        <v>5</v>
      </c>
    </row>
    <row r="41" spans="1:6" ht="16.5" customHeight="1">
      <c r="A41" s="16" t="s">
        <v>103</v>
      </c>
      <c r="B41" s="16" t="s">
        <v>104</v>
      </c>
      <c r="C41" s="17">
        <v>2</v>
      </c>
      <c r="D41" s="17">
        <v>0</v>
      </c>
      <c r="E41" s="17">
        <v>60</v>
      </c>
      <c r="F41" s="18">
        <f t="shared" si="0"/>
        <v>5</v>
      </c>
    </row>
    <row r="42" spans="1:6" ht="16.5" customHeight="1">
      <c r="A42" s="16" t="s">
        <v>105</v>
      </c>
      <c r="B42" s="16" t="s">
        <v>331</v>
      </c>
      <c r="C42" s="17">
        <v>0</v>
      </c>
      <c r="D42" s="17">
        <v>1</v>
      </c>
      <c r="E42" s="17">
        <v>223</v>
      </c>
      <c r="F42" s="18">
        <f t="shared" si="0"/>
        <v>19</v>
      </c>
    </row>
    <row r="43" spans="1:6" ht="16.5" customHeight="1">
      <c r="A43" s="16" t="s">
        <v>109</v>
      </c>
      <c r="B43" s="16" t="s">
        <v>110</v>
      </c>
      <c r="C43" s="17">
        <v>3</v>
      </c>
      <c r="D43" s="17">
        <v>0</v>
      </c>
      <c r="E43" s="17">
        <v>264</v>
      </c>
      <c r="F43" s="18">
        <f t="shared" si="0"/>
        <v>22</v>
      </c>
    </row>
    <row r="44" spans="1:6" ht="16.5" customHeight="1">
      <c r="A44" s="16" t="s">
        <v>111</v>
      </c>
      <c r="B44" s="16" t="s">
        <v>112</v>
      </c>
      <c r="C44" s="17">
        <v>7</v>
      </c>
      <c r="D44" s="17">
        <v>1</v>
      </c>
      <c r="E44" s="17">
        <v>1349</v>
      </c>
      <c r="F44" s="18">
        <f t="shared" si="0"/>
        <v>112</v>
      </c>
    </row>
    <row r="45" spans="1:6" ht="16.5" customHeight="1">
      <c r="A45" s="16" t="s">
        <v>113</v>
      </c>
      <c r="B45" s="16" t="s">
        <v>310</v>
      </c>
      <c r="C45" s="17">
        <v>1</v>
      </c>
      <c r="D45" s="17">
        <v>0</v>
      </c>
      <c r="E45" s="17">
        <v>496</v>
      </c>
      <c r="F45" s="18">
        <f t="shared" si="0"/>
        <v>41</v>
      </c>
    </row>
    <row r="46" spans="1:6" ht="16.5" customHeight="1">
      <c r="A46" s="16" t="s">
        <v>115</v>
      </c>
      <c r="B46" s="16" t="s">
        <v>116</v>
      </c>
      <c r="C46" s="17">
        <v>0</v>
      </c>
      <c r="D46" s="17">
        <v>0</v>
      </c>
      <c r="E46" s="17">
        <v>12</v>
      </c>
      <c r="F46" s="18">
        <f t="shared" si="0"/>
        <v>1</v>
      </c>
    </row>
    <row r="47" spans="1:6" ht="16.5" customHeight="1">
      <c r="A47" s="16" t="s">
        <v>119</v>
      </c>
      <c r="B47" s="16" t="s">
        <v>120</v>
      </c>
      <c r="C47" s="17">
        <v>2</v>
      </c>
      <c r="D47" s="17">
        <v>1</v>
      </c>
      <c r="E47" s="17">
        <v>73</v>
      </c>
      <c r="F47" s="18">
        <f t="shared" si="0"/>
        <v>6</v>
      </c>
    </row>
    <row r="48" spans="1:6" ht="16.5" customHeight="1">
      <c r="A48" s="16" t="s">
        <v>121</v>
      </c>
      <c r="B48" s="16" t="s">
        <v>122</v>
      </c>
      <c r="C48" s="17">
        <v>4</v>
      </c>
      <c r="D48" s="17">
        <v>3</v>
      </c>
      <c r="E48" s="17">
        <v>394</v>
      </c>
      <c r="F48" s="18">
        <f t="shared" si="0"/>
        <v>33</v>
      </c>
    </row>
    <row r="49" spans="1:6" ht="16.5" customHeight="1">
      <c r="A49" s="16" t="s">
        <v>123</v>
      </c>
      <c r="B49" s="16" t="s">
        <v>278</v>
      </c>
      <c r="C49" s="17">
        <v>3</v>
      </c>
      <c r="D49" s="17">
        <v>0</v>
      </c>
      <c r="E49" s="17">
        <v>66</v>
      </c>
      <c r="F49" s="18">
        <f t="shared" si="0"/>
        <v>6</v>
      </c>
    </row>
    <row r="50" spans="1:6" ht="16.5" customHeight="1">
      <c r="A50" s="16" t="s">
        <v>125</v>
      </c>
      <c r="B50" s="16" t="s">
        <v>126</v>
      </c>
      <c r="C50" s="17">
        <v>6</v>
      </c>
      <c r="D50" s="17">
        <v>0</v>
      </c>
      <c r="E50" s="17">
        <v>61</v>
      </c>
      <c r="F50" s="18">
        <f t="shared" si="0"/>
        <v>5</v>
      </c>
    </row>
    <row r="51" spans="1:6" ht="16.5" customHeight="1">
      <c r="A51" s="16" t="s">
        <v>127</v>
      </c>
      <c r="B51" s="16" t="s">
        <v>128</v>
      </c>
      <c r="C51" s="17">
        <v>1</v>
      </c>
      <c r="D51" s="17">
        <v>0</v>
      </c>
      <c r="E51" s="17">
        <v>76</v>
      </c>
      <c r="F51" s="18">
        <f t="shared" si="0"/>
        <v>6</v>
      </c>
    </row>
    <row r="52" spans="1:6" ht="16.5" customHeight="1">
      <c r="A52" s="16" t="s">
        <v>129</v>
      </c>
      <c r="B52" s="16" t="s">
        <v>130</v>
      </c>
      <c r="C52" s="17">
        <v>0</v>
      </c>
      <c r="D52" s="17">
        <v>1</v>
      </c>
      <c r="E52" s="17">
        <v>36</v>
      </c>
      <c r="F52" s="18">
        <f t="shared" si="0"/>
        <v>3</v>
      </c>
    </row>
    <row r="53" spans="1:6" ht="16.5" customHeight="1">
      <c r="A53" s="16" t="s">
        <v>131</v>
      </c>
      <c r="B53" s="16" t="s">
        <v>132</v>
      </c>
      <c r="C53" s="17">
        <v>5</v>
      </c>
      <c r="D53" s="17">
        <v>0</v>
      </c>
      <c r="E53" s="17">
        <v>713</v>
      </c>
      <c r="F53" s="18">
        <f t="shared" si="0"/>
        <v>59</v>
      </c>
    </row>
    <row r="54" spans="1:6" ht="16.5" customHeight="1">
      <c r="A54" s="16" t="s">
        <v>133</v>
      </c>
      <c r="B54" s="16" t="s">
        <v>134</v>
      </c>
      <c r="C54" s="17">
        <v>21</v>
      </c>
      <c r="D54" s="17">
        <v>6</v>
      </c>
      <c r="E54" s="17">
        <v>486</v>
      </c>
      <c r="F54" s="18">
        <f t="shared" si="0"/>
        <v>41</v>
      </c>
    </row>
    <row r="55" spans="1:6" ht="16.5" customHeight="1">
      <c r="A55" s="16" t="s">
        <v>135</v>
      </c>
      <c r="B55" s="16" t="s">
        <v>136</v>
      </c>
      <c r="C55" s="17">
        <v>11</v>
      </c>
      <c r="D55" s="17">
        <v>0</v>
      </c>
      <c r="E55" s="17">
        <v>171</v>
      </c>
      <c r="F55" s="18">
        <f t="shared" si="0"/>
        <v>14</v>
      </c>
    </row>
    <row r="56" spans="1:6" ht="16.5" customHeight="1">
      <c r="A56" s="16" t="s">
        <v>137</v>
      </c>
      <c r="B56" s="16" t="s">
        <v>138</v>
      </c>
      <c r="C56" s="17">
        <v>1</v>
      </c>
      <c r="D56" s="17">
        <v>0</v>
      </c>
      <c r="E56" s="17">
        <v>30</v>
      </c>
      <c r="F56" s="18">
        <f t="shared" si="0"/>
        <v>3</v>
      </c>
    </row>
    <row r="57" spans="1:6" ht="16.5" customHeight="1">
      <c r="A57" s="16" t="s">
        <v>141</v>
      </c>
      <c r="B57" s="16" t="s">
        <v>142</v>
      </c>
      <c r="C57" s="17">
        <v>2</v>
      </c>
      <c r="D57" s="17">
        <v>0</v>
      </c>
      <c r="E57" s="17">
        <v>65</v>
      </c>
      <c r="F57" s="18">
        <f t="shared" si="0"/>
        <v>5</v>
      </c>
    </row>
    <row r="58" spans="1:6" ht="16.5" customHeight="1">
      <c r="A58" s="16" t="s">
        <v>147</v>
      </c>
      <c r="B58" s="16" t="s">
        <v>148</v>
      </c>
      <c r="C58" s="17">
        <v>0</v>
      </c>
      <c r="D58" s="17">
        <v>0</v>
      </c>
      <c r="E58" s="17">
        <v>84</v>
      </c>
      <c r="F58" s="18">
        <f t="shared" si="0"/>
        <v>7</v>
      </c>
    </row>
    <row r="59" spans="1:6" ht="16.5" customHeight="1">
      <c r="A59" s="16" t="s">
        <v>149</v>
      </c>
      <c r="B59" s="16" t="s">
        <v>150</v>
      </c>
      <c r="C59" s="17">
        <v>2</v>
      </c>
      <c r="D59" s="17">
        <v>3</v>
      </c>
      <c r="E59" s="17">
        <v>228</v>
      </c>
      <c r="F59" s="18">
        <f t="shared" si="0"/>
        <v>19</v>
      </c>
    </row>
    <row r="60" spans="1:6" ht="16.5" customHeight="1">
      <c r="A60" s="16" t="s">
        <v>151</v>
      </c>
      <c r="B60" s="16" t="s">
        <v>152</v>
      </c>
      <c r="C60" s="17">
        <v>1</v>
      </c>
      <c r="D60" s="17">
        <v>0</v>
      </c>
      <c r="E60" s="17">
        <v>74</v>
      </c>
      <c r="F60" s="18">
        <f t="shared" si="0"/>
        <v>6</v>
      </c>
    </row>
    <row r="61" spans="1:6" ht="16.5" customHeight="1">
      <c r="A61" s="16" t="s">
        <v>153</v>
      </c>
      <c r="B61" s="16" t="s">
        <v>154</v>
      </c>
      <c r="C61" s="17">
        <v>1</v>
      </c>
      <c r="D61" s="17">
        <v>2</v>
      </c>
      <c r="E61" s="17">
        <v>374</v>
      </c>
      <c r="F61" s="18">
        <f t="shared" si="0"/>
        <v>31</v>
      </c>
    </row>
    <row r="62" spans="1:6" ht="16.5" customHeight="1">
      <c r="A62" s="16" t="s">
        <v>155</v>
      </c>
      <c r="B62" s="16" t="s">
        <v>156</v>
      </c>
      <c r="C62" s="17">
        <v>0</v>
      </c>
      <c r="D62" s="17">
        <v>0</v>
      </c>
      <c r="E62" s="17">
        <v>0</v>
      </c>
      <c r="F62" s="18">
        <f t="shared" si="0"/>
        <v>0</v>
      </c>
    </row>
    <row r="63" spans="1:6" ht="16.5" customHeight="1">
      <c r="A63" s="16" t="s">
        <v>157</v>
      </c>
      <c r="B63" s="16" t="s">
        <v>158</v>
      </c>
      <c r="C63" s="17">
        <v>1</v>
      </c>
      <c r="D63" s="17">
        <v>0</v>
      </c>
      <c r="E63" s="17">
        <v>63</v>
      </c>
      <c r="F63" s="18">
        <f t="shared" si="0"/>
        <v>5</v>
      </c>
    </row>
    <row r="64" spans="1:6" ht="16.5" customHeight="1">
      <c r="A64" s="16" t="s">
        <v>163</v>
      </c>
      <c r="B64" s="16" t="s">
        <v>164</v>
      </c>
      <c r="C64" s="17">
        <v>0</v>
      </c>
      <c r="D64" s="17">
        <v>0</v>
      </c>
      <c r="E64" s="17">
        <v>24</v>
      </c>
      <c r="F64" s="18">
        <f t="shared" si="0"/>
        <v>2</v>
      </c>
    </row>
    <row r="65" spans="1:6" ht="16.5" customHeight="1">
      <c r="A65" s="16" t="s">
        <v>165</v>
      </c>
      <c r="B65" s="16" t="s">
        <v>166</v>
      </c>
      <c r="C65" s="17">
        <v>0</v>
      </c>
      <c r="D65" s="17">
        <v>0</v>
      </c>
      <c r="E65" s="17">
        <v>48</v>
      </c>
      <c r="F65" s="18">
        <f t="shared" si="0"/>
        <v>4</v>
      </c>
    </row>
    <row r="66" spans="1:6" ht="16.5" customHeight="1">
      <c r="A66" s="16" t="s">
        <v>169</v>
      </c>
      <c r="B66" s="16" t="s">
        <v>170</v>
      </c>
      <c r="C66" s="17">
        <v>1</v>
      </c>
      <c r="D66" s="17">
        <v>0</v>
      </c>
      <c r="E66" s="17">
        <v>89</v>
      </c>
      <c r="F66" s="18">
        <f t="shared" si="0"/>
        <v>7</v>
      </c>
    </row>
    <row r="67" spans="1:6" ht="16.5" customHeight="1">
      <c r="A67" s="16" t="s">
        <v>171</v>
      </c>
      <c r="B67" s="16" t="s">
        <v>172</v>
      </c>
      <c r="C67" s="17">
        <v>1</v>
      </c>
      <c r="D67" s="17">
        <v>1</v>
      </c>
      <c r="E67" s="17">
        <v>132</v>
      </c>
      <c r="F67" s="18">
        <f t="shared" ref="F67:F121" si="1">ROUND(E67/12,0)</f>
        <v>11</v>
      </c>
    </row>
    <row r="68" spans="1:6" ht="16.5" customHeight="1">
      <c r="A68" s="16" t="s">
        <v>173</v>
      </c>
      <c r="B68" s="16" t="s">
        <v>174</v>
      </c>
      <c r="C68" s="17">
        <v>3</v>
      </c>
      <c r="D68" s="17">
        <v>1</v>
      </c>
      <c r="E68" s="17">
        <v>170</v>
      </c>
      <c r="F68" s="18">
        <f t="shared" si="1"/>
        <v>14</v>
      </c>
    </row>
    <row r="69" spans="1:6" ht="16.5" customHeight="1">
      <c r="A69" s="16" t="s">
        <v>175</v>
      </c>
      <c r="B69" s="16" t="s">
        <v>176</v>
      </c>
      <c r="C69" s="17">
        <v>2</v>
      </c>
      <c r="D69" s="17">
        <v>1</v>
      </c>
      <c r="E69" s="17">
        <v>28</v>
      </c>
      <c r="F69" s="18">
        <f t="shared" si="1"/>
        <v>2</v>
      </c>
    </row>
    <row r="70" spans="1:6" ht="16.5" customHeight="1">
      <c r="A70" s="16" t="s">
        <v>179</v>
      </c>
      <c r="B70" s="16" t="s">
        <v>180</v>
      </c>
      <c r="C70" s="17">
        <v>2</v>
      </c>
      <c r="D70" s="17">
        <v>0</v>
      </c>
      <c r="E70" s="17">
        <v>256</v>
      </c>
      <c r="F70" s="18">
        <f t="shared" si="1"/>
        <v>21</v>
      </c>
    </row>
    <row r="71" spans="1:6" ht="16.5" customHeight="1">
      <c r="A71" s="16" t="s">
        <v>183</v>
      </c>
      <c r="B71" s="16" t="s">
        <v>184</v>
      </c>
      <c r="C71" s="17">
        <v>1</v>
      </c>
      <c r="D71" s="17">
        <v>1</v>
      </c>
      <c r="E71" s="17">
        <v>42</v>
      </c>
      <c r="F71" s="18">
        <f t="shared" si="1"/>
        <v>4</v>
      </c>
    </row>
    <row r="72" spans="1:6" ht="16.5" customHeight="1">
      <c r="A72" s="16" t="s">
        <v>185</v>
      </c>
      <c r="B72" s="16" t="s">
        <v>186</v>
      </c>
      <c r="C72" s="17">
        <v>4</v>
      </c>
      <c r="D72" s="17">
        <v>1</v>
      </c>
      <c r="E72" s="17">
        <v>220</v>
      </c>
      <c r="F72" s="18">
        <f t="shared" si="1"/>
        <v>18</v>
      </c>
    </row>
    <row r="73" spans="1:6" ht="16.5" customHeight="1">
      <c r="A73" s="16" t="s">
        <v>187</v>
      </c>
      <c r="B73" s="16" t="s">
        <v>188</v>
      </c>
      <c r="C73" s="17">
        <v>3</v>
      </c>
      <c r="D73" s="17">
        <v>3</v>
      </c>
      <c r="E73" s="17">
        <v>98</v>
      </c>
      <c r="F73" s="18">
        <f t="shared" si="1"/>
        <v>8</v>
      </c>
    </row>
    <row r="74" spans="1:6" ht="16.5" customHeight="1">
      <c r="A74" s="16" t="s">
        <v>189</v>
      </c>
      <c r="B74" s="16" t="s">
        <v>190</v>
      </c>
      <c r="C74" s="17">
        <v>11</v>
      </c>
      <c r="D74" s="17">
        <v>3</v>
      </c>
      <c r="E74" s="17">
        <v>1021</v>
      </c>
      <c r="F74" s="18">
        <f t="shared" si="1"/>
        <v>85</v>
      </c>
    </row>
    <row r="75" spans="1:6" ht="16.5" customHeight="1">
      <c r="A75" s="16" t="s">
        <v>191</v>
      </c>
      <c r="B75" s="16" t="s">
        <v>192</v>
      </c>
      <c r="C75" s="17">
        <v>4</v>
      </c>
      <c r="D75" s="17">
        <v>0</v>
      </c>
      <c r="E75" s="17">
        <v>261</v>
      </c>
      <c r="F75" s="18">
        <f t="shared" si="1"/>
        <v>22</v>
      </c>
    </row>
    <row r="76" spans="1:6" ht="16.5" customHeight="1">
      <c r="A76" s="16" t="s">
        <v>195</v>
      </c>
      <c r="B76" s="16" t="s">
        <v>196</v>
      </c>
      <c r="C76" s="17">
        <v>1</v>
      </c>
      <c r="D76" s="17">
        <v>0</v>
      </c>
      <c r="E76" s="17">
        <v>83</v>
      </c>
      <c r="F76" s="18">
        <f t="shared" si="1"/>
        <v>7</v>
      </c>
    </row>
    <row r="77" spans="1:6" ht="16.5" customHeight="1">
      <c r="A77" s="16" t="s">
        <v>199</v>
      </c>
      <c r="B77" s="16" t="s">
        <v>200</v>
      </c>
      <c r="C77" s="17">
        <v>0</v>
      </c>
      <c r="D77" s="17">
        <v>0</v>
      </c>
      <c r="E77" s="17">
        <v>36</v>
      </c>
      <c r="F77" s="18">
        <f t="shared" si="1"/>
        <v>3</v>
      </c>
    </row>
    <row r="78" spans="1:6" ht="16.5" customHeight="1">
      <c r="A78" s="16" t="s">
        <v>203</v>
      </c>
      <c r="B78" s="16" t="s">
        <v>204</v>
      </c>
      <c r="C78" s="17">
        <v>7</v>
      </c>
      <c r="D78" s="17">
        <v>2</v>
      </c>
      <c r="E78" s="17">
        <v>767</v>
      </c>
      <c r="F78" s="18">
        <f t="shared" si="1"/>
        <v>64</v>
      </c>
    </row>
    <row r="79" spans="1:6" ht="16.5" customHeight="1">
      <c r="A79" s="16" t="s">
        <v>205</v>
      </c>
      <c r="B79" s="16" t="s">
        <v>206</v>
      </c>
      <c r="C79" s="17">
        <v>3</v>
      </c>
      <c r="D79" s="17">
        <v>2</v>
      </c>
      <c r="E79" s="17">
        <v>157</v>
      </c>
      <c r="F79" s="18">
        <f t="shared" si="1"/>
        <v>13</v>
      </c>
    </row>
    <row r="80" spans="1:6" ht="16.5" customHeight="1">
      <c r="A80" s="16" t="s">
        <v>207</v>
      </c>
      <c r="B80" s="16" t="s">
        <v>208</v>
      </c>
      <c r="C80" s="17">
        <v>26</v>
      </c>
      <c r="D80" s="17">
        <v>3</v>
      </c>
      <c r="E80" s="17">
        <v>1347</v>
      </c>
      <c r="F80" s="18">
        <f t="shared" si="1"/>
        <v>112</v>
      </c>
    </row>
    <row r="81" spans="1:6" ht="16.5" customHeight="1">
      <c r="A81" s="16" t="s">
        <v>209</v>
      </c>
      <c r="B81" s="16" t="s">
        <v>210</v>
      </c>
      <c r="C81" s="17">
        <v>2</v>
      </c>
      <c r="D81" s="17">
        <v>0</v>
      </c>
      <c r="E81" s="17">
        <v>53</v>
      </c>
      <c r="F81" s="18">
        <f t="shared" si="1"/>
        <v>4</v>
      </c>
    </row>
    <row r="82" spans="1:6" ht="16.5" customHeight="1">
      <c r="A82" s="16" t="s">
        <v>211</v>
      </c>
      <c r="B82" s="16" t="s">
        <v>212</v>
      </c>
      <c r="C82" s="17">
        <v>4</v>
      </c>
      <c r="D82" s="17">
        <v>1</v>
      </c>
      <c r="E82" s="17">
        <v>345</v>
      </c>
      <c r="F82" s="18">
        <f t="shared" si="1"/>
        <v>29</v>
      </c>
    </row>
    <row r="83" spans="1:6" ht="16.5" customHeight="1">
      <c r="A83" s="16" t="s">
        <v>213</v>
      </c>
      <c r="B83" s="16" t="s">
        <v>214</v>
      </c>
      <c r="C83" s="17">
        <v>4</v>
      </c>
      <c r="D83" s="17">
        <v>0</v>
      </c>
      <c r="E83" s="17">
        <v>243</v>
      </c>
      <c r="F83" s="18">
        <f t="shared" si="1"/>
        <v>20</v>
      </c>
    </row>
    <row r="84" spans="1:6" ht="16.5" customHeight="1">
      <c r="A84" s="16" t="s">
        <v>215</v>
      </c>
      <c r="B84" s="16" t="s">
        <v>216</v>
      </c>
      <c r="C84" s="17">
        <v>0</v>
      </c>
      <c r="D84" s="17">
        <v>2</v>
      </c>
      <c r="E84" s="17">
        <v>193</v>
      </c>
      <c r="F84" s="18">
        <f t="shared" si="1"/>
        <v>16</v>
      </c>
    </row>
    <row r="85" spans="1:6" ht="16.5" customHeight="1">
      <c r="A85" s="16" t="s">
        <v>217</v>
      </c>
      <c r="B85" s="16" t="s">
        <v>218</v>
      </c>
      <c r="C85" s="17">
        <v>0</v>
      </c>
      <c r="D85" s="17">
        <v>0</v>
      </c>
      <c r="E85" s="17">
        <v>24</v>
      </c>
      <c r="F85" s="18">
        <f t="shared" si="1"/>
        <v>2</v>
      </c>
    </row>
    <row r="86" spans="1:6" ht="16.5" customHeight="1">
      <c r="A86" s="16" t="s">
        <v>219</v>
      </c>
      <c r="B86" s="16" t="s">
        <v>220</v>
      </c>
      <c r="C86" s="17">
        <v>7</v>
      </c>
      <c r="D86" s="17">
        <v>1</v>
      </c>
      <c r="E86" s="17">
        <v>728</v>
      </c>
      <c r="F86" s="18">
        <f t="shared" si="1"/>
        <v>61</v>
      </c>
    </row>
    <row r="87" spans="1:6" ht="16.5" customHeight="1">
      <c r="A87" s="16" t="s">
        <v>221</v>
      </c>
      <c r="B87" s="16" t="s">
        <v>222</v>
      </c>
      <c r="C87" s="17">
        <v>9</v>
      </c>
      <c r="D87" s="17">
        <v>1</v>
      </c>
      <c r="E87" s="17">
        <v>1167</v>
      </c>
      <c r="F87" s="18">
        <f t="shared" si="1"/>
        <v>97</v>
      </c>
    </row>
    <row r="88" spans="1:6" ht="16.5" customHeight="1">
      <c r="A88" s="16" t="s">
        <v>225</v>
      </c>
      <c r="B88" s="16" t="s">
        <v>226</v>
      </c>
      <c r="C88" s="17">
        <v>0</v>
      </c>
      <c r="D88" s="17">
        <v>0</v>
      </c>
      <c r="E88" s="17">
        <v>36</v>
      </c>
      <c r="F88" s="18">
        <f t="shared" si="1"/>
        <v>3</v>
      </c>
    </row>
    <row r="89" spans="1:6" ht="16.5" customHeight="1">
      <c r="A89" s="16" t="s">
        <v>227</v>
      </c>
      <c r="B89" s="16" t="s">
        <v>228</v>
      </c>
      <c r="C89" s="17">
        <v>0</v>
      </c>
      <c r="D89" s="17">
        <v>0</v>
      </c>
      <c r="E89" s="17">
        <v>60</v>
      </c>
      <c r="F89" s="18">
        <f t="shared" si="1"/>
        <v>5</v>
      </c>
    </row>
    <row r="90" spans="1:6" ht="16.5" customHeight="1">
      <c r="A90" s="16" t="s">
        <v>229</v>
      </c>
      <c r="B90" s="16" t="s">
        <v>230</v>
      </c>
      <c r="C90" s="17">
        <v>7</v>
      </c>
      <c r="D90" s="17">
        <v>3</v>
      </c>
      <c r="E90" s="17">
        <v>766</v>
      </c>
      <c r="F90" s="18">
        <f t="shared" si="1"/>
        <v>64</v>
      </c>
    </row>
    <row r="91" spans="1:6" ht="16.5" customHeight="1">
      <c r="A91" s="16" t="s">
        <v>233</v>
      </c>
      <c r="B91" s="16" t="s">
        <v>234</v>
      </c>
      <c r="C91" s="17">
        <v>3</v>
      </c>
      <c r="D91" s="17">
        <v>1</v>
      </c>
      <c r="E91" s="17">
        <v>557</v>
      </c>
      <c r="F91" s="18">
        <f t="shared" si="1"/>
        <v>46</v>
      </c>
    </row>
    <row r="92" spans="1:6" ht="16.5" customHeight="1">
      <c r="A92" s="16" t="s">
        <v>235</v>
      </c>
      <c r="B92" s="16" t="s">
        <v>236</v>
      </c>
      <c r="C92" s="17">
        <v>3</v>
      </c>
      <c r="D92" s="17">
        <v>0</v>
      </c>
      <c r="E92" s="17">
        <v>282</v>
      </c>
      <c r="F92" s="18">
        <f t="shared" si="1"/>
        <v>24</v>
      </c>
    </row>
    <row r="93" spans="1:6" ht="16.5" customHeight="1">
      <c r="A93" s="16" t="s">
        <v>237</v>
      </c>
      <c r="B93" s="16" t="s">
        <v>238</v>
      </c>
      <c r="C93" s="17">
        <v>1</v>
      </c>
      <c r="D93" s="17">
        <v>2</v>
      </c>
      <c r="E93" s="17">
        <v>97</v>
      </c>
      <c r="F93" s="18">
        <f t="shared" si="1"/>
        <v>8</v>
      </c>
    </row>
    <row r="94" spans="1:6" ht="16.5" customHeight="1">
      <c r="A94" s="16" t="s">
        <v>243</v>
      </c>
      <c r="B94" s="16" t="s">
        <v>244</v>
      </c>
      <c r="C94" s="17">
        <v>10</v>
      </c>
      <c r="D94" s="17">
        <v>7</v>
      </c>
      <c r="E94" s="17">
        <v>892</v>
      </c>
      <c r="F94" s="18">
        <f t="shared" si="1"/>
        <v>74</v>
      </c>
    </row>
    <row r="95" spans="1:6" ht="16.5" customHeight="1">
      <c r="A95" s="16" t="s">
        <v>245</v>
      </c>
      <c r="B95" s="16" t="s">
        <v>246</v>
      </c>
      <c r="C95" s="17">
        <v>1</v>
      </c>
      <c r="D95" s="17">
        <v>0</v>
      </c>
      <c r="E95" s="17">
        <v>151</v>
      </c>
      <c r="F95" s="18">
        <f t="shared" si="1"/>
        <v>13</v>
      </c>
    </row>
    <row r="96" spans="1:6" ht="16.5" customHeight="1">
      <c r="A96" s="16" t="s">
        <v>247</v>
      </c>
      <c r="B96" s="16" t="s">
        <v>332</v>
      </c>
      <c r="C96" s="17">
        <v>5</v>
      </c>
      <c r="D96" s="17">
        <v>2</v>
      </c>
      <c r="E96" s="17">
        <v>207</v>
      </c>
      <c r="F96" s="18">
        <f t="shared" si="1"/>
        <v>17</v>
      </c>
    </row>
    <row r="97" spans="1:6" ht="16.5" customHeight="1">
      <c r="A97" s="16" t="s">
        <v>14</v>
      </c>
      <c r="B97" s="16" t="s">
        <v>15</v>
      </c>
      <c r="C97" s="17">
        <v>21</v>
      </c>
      <c r="D97" s="17">
        <v>1</v>
      </c>
      <c r="E97" s="17">
        <v>1630</v>
      </c>
      <c r="F97" s="18">
        <f t="shared" si="1"/>
        <v>136</v>
      </c>
    </row>
    <row r="98" spans="1:6" ht="16.5" customHeight="1">
      <c r="A98" s="16" t="s">
        <v>35</v>
      </c>
      <c r="B98" s="16" t="s">
        <v>36</v>
      </c>
      <c r="C98" s="17">
        <v>0</v>
      </c>
      <c r="D98" s="17">
        <v>0</v>
      </c>
      <c r="E98" s="17">
        <v>251</v>
      </c>
      <c r="F98" s="18">
        <f t="shared" si="1"/>
        <v>21</v>
      </c>
    </row>
    <row r="99" spans="1:6" ht="16.5" customHeight="1">
      <c r="A99" s="16" t="s">
        <v>53</v>
      </c>
      <c r="B99" s="16" t="s">
        <v>54</v>
      </c>
      <c r="C99" s="17">
        <v>14</v>
      </c>
      <c r="D99" s="17">
        <v>0</v>
      </c>
      <c r="E99" s="17">
        <v>789</v>
      </c>
      <c r="F99" s="18">
        <f t="shared" si="1"/>
        <v>66</v>
      </c>
    </row>
    <row r="100" spans="1:6" ht="16.5" customHeight="1">
      <c r="A100" s="16" t="s">
        <v>55</v>
      </c>
      <c r="B100" s="16" t="s">
        <v>56</v>
      </c>
      <c r="C100" s="17">
        <v>5</v>
      </c>
      <c r="D100" s="17">
        <v>3</v>
      </c>
      <c r="E100" s="17">
        <v>1198</v>
      </c>
      <c r="F100" s="18">
        <f t="shared" si="1"/>
        <v>100</v>
      </c>
    </row>
    <row r="101" spans="1:6" ht="16.5" customHeight="1">
      <c r="A101" s="16" t="s">
        <v>67</v>
      </c>
      <c r="B101" s="16" t="s">
        <v>68</v>
      </c>
      <c r="C101" s="17">
        <v>1</v>
      </c>
      <c r="D101" s="17">
        <v>1</v>
      </c>
      <c r="E101" s="17">
        <v>521</v>
      </c>
      <c r="F101" s="18">
        <f t="shared" si="1"/>
        <v>43</v>
      </c>
    </row>
    <row r="102" spans="1:6" ht="16.5" customHeight="1">
      <c r="A102" s="16" t="s">
        <v>83</v>
      </c>
      <c r="B102" s="16" t="s">
        <v>333</v>
      </c>
      <c r="C102" s="17">
        <v>0</v>
      </c>
      <c r="D102" s="17">
        <v>0</v>
      </c>
      <c r="E102" s="17">
        <v>24</v>
      </c>
      <c r="F102" s="18">
        <f t="shared" si="1"/>
        <v>2</v>
      </c>
    </row>
    <row r="103" spans="1:6" ht="16.5" customHeight="1">
      <c r="A103" s="16" t="s">
        <v>89</v>
      </c>
      <c r="B103" s="16" t="s">
        <v>90</v>
      </c>
      <c r="C103" s="17">
        <v>5</v>
      </c>
      <c r="D103" s="17">
        <v>0</v>
      </c>
      <c r="E103" s="17">
        <v>528</v>
      </c>
      <c r="F103" s="18">
        <f t="shared" si="1"/>
        <v>44</v>
      </c>
    </row>
    <row r="104" spans="1:6" ht="16.5" customHeight="1">
      <c r="A104" s="16" t="s">
        <v>91</v>
      </c>
      <c r="B104" s="16" t="s">
        <v>92</v>
      </c>
      <c r="C104" s="17">
        <v>2</v>
      </c>
      <c r="D104" s="17">
        <v>0</v>
      </c>
      <c r="E104" s="17">
        <v>132</v>
      </c>
      <c r="F104" s="18">
        <f t="shared" si="1"/>
        <v>11</v>
      </c>
    </row>
    <row r="105" spans="1:6" ht="16.5" customHeight="1">
      <c r="A105" s="16" t="s">
        <v>107</v>
      </c>
      <c r="B105" s="16" t="s">
        <v>108</v>
      </c>
      <c r="C105" s="17">
        <v>12</v>
      </c>
      <c r="D105" s="17">
        <v>4</v>
      </c>
      <c r="E105" s="17">
        <v>1594</v>
      </c>
      <c r="F105" s="18">
        <f t="shared" si="1"/>
        <v>133</v>
      </c>
    </row>
    <row r="106" spans="1:6" ht="16.5" customHeight="1">
      <c r="A106" s="16" t="s">
        <v>117</v>
      </c>
      <c r="B106" s="16" t="s">
        <v>118</v>
      </c>
      <c r="C106" s="17">
        <v>2</v>
      </c>
      <c r="D106" s="17">
        <v>1</v>
      </c>
      <c r="E106" s="17">
        <v>195</v>
      </c>
      <c r="F106" s="18">
        <f t="shared" si="1"/>
        <v>16</v>
      </c>
    </row>
    <row r="107" spans="1:6" ht="16.5" customHeight="1">
      <c r="A107" s="16" t="s">
        <v>139</v>
      </c>
      <c r="B107" s="16" t="s">
        <v>140</v>
      </c>
      <c r="C107" s="17">
        <v>18</v>
      </c>
      <c r="D107" s="17">
        <v>3</v>
      </c>
      <c r="E107" s="17">
        <v>1411</v>
      </c>
      <c r="F107" s="18">
        <f t="shared" si="1"/>
        <v>118</v>
      </c>
    </row>
    <row r="108" spans="1:6" ht="16.5" customHeight="1">
      <c r="A108" s="16" t="s">
        <v>143</v>
      </c>
      <c r="B108" s="16" t="s">
        <v>144</v>
      </c>
      <c r="C108" s="17">
        <v>4</v>
      </c>
      <c r="D108" s="17">
        <v>0</v>
      </c>
      <c r="E108" s="17">
        <v>194</v>
      </c>
      <c r="F108" s="18">
        <f t="shared" si="1"/>
        <v>16</v>
      </c>
    </row>
    <row r="109" spans="1:6" ht="16.5" customHeight="1">
      <c r="A109" s="16" t="s">
        <v>145</v>
      </c>
      <c r="B109" s="16" t="s">
        <v>146</v>
      </c>
      <c r="C109" s="17">
        <v>0</v>
      </c>
      <c r="D109" s="17">
        <v>0</v>
      </c>
      <c r="E109" s="17">
        <v>48</v>
      </c>
      <c r="F109" s="18">
        <f t="shared" si="1"/>
        <v>4</v>
      </c>
    </row>
    <row r="110" spans="1:6" ht="16.5" customHeight="1">
      <c r="A110" s="16" t="s">
        <v>159</v>
      </c>
      <c r="B110" s="16" t="s">
        <v>160</v>
      </c>
      <c r="C110" s="17">
        <v>16</v>
      </c>
      <c r="D110" s="17">
        <v>6</v>
      </c>
      <c r="E110" s="17">
        <v>3092</v>
      </c>
      <c r="F110" s="18">
        <f t="shared" si="1"/>
        <v>258</v>
      </c>
    </row>
    <row r="111" spans="1:6" ht="16.5" customHeight="1">
      <c r="A111" s="16" t="s">
        <v>161</v>
      </c>
      <c r="B111" s="16" t="s">
        <v>162</v>
      </c>
      <c r="C111" s="17">
        <v>11</v>
      </c>
      <c r="D111" s="17">
        <v>5</v>
      </c>
      <c r="E111" s="17">
        <v>2057</v>
      </c>
      <c r="F111" s="18">
        <f t="shared" si="1"/>
        <v>171</v>
      </c>
    </row>
    <row r="112" spans="1:6" ht="16.5" customHeight="1">
      <c r="A112" s="16" t="s">
        <v>167</v>
      </c>
      <c r="B112" s="16" t="s">
        <v>168</v>
      </c>
      <c r="C112" s="17">
        <v>0</v>
      </c>
      <c r="D112" s="17">
        <v>0</v>
      </c>
      <c r="E112" s="17">
        <v>144</v>
      </c>
      <c r="F112" s="18">
        <f t="shared" si="1"/>
        <v>12</v>
      </c>
    </row>
    <row r="113" spans="1:6" ht="16.5" customHeight="1">
      <c r="A113" s="16" t="s">
        <v>177</v>
      </c>
      <c r="B113" s="16" t="s">
        <v>178</v>
      </c>
      <c r="C113" s="17">
        <v>10</v>
      </c>
      <c r="D113" s="17">
        <v>4</v>
      </c>
      <c r="E113" s="17">
        <v>890</v>
      </c>
      <c r="F113" s="18">
        <f t="shared" si="1"/>
        <v>74</v>
      </c>
    </row>
    <row r="114" spans="1:6" ht="16.5" customHeight="1">
      <c r="A114" s="16" t="s">
        <v>181</v>
      </c>
      <c r="B114" s="16" t="s">
        <v>182</v>
      </c>
      <c r="C114" s="17">
        <v>9</v>
      </c>
      <c r="D114" s="17">
        <v>11</v>
      </c>
      <c r="E114" s="17">
        <v>1142</v>
      </c>
      <c r="F114" s="18">
        <f t="shared" si="1"/>
        <v>95</v>
      </c>
    </row>
    <row r="115" spans="1:6" ht="16.5" customHeight="1">
      <c r="A115" s="16" t="s">
        <v>193</v>
      </c>
      <c r="B115" s="16" t="s">
        <v>194</v>
      </c>
      <c r="C115" s="17">
        <v>4</v>
      </c>
      <c r="D115" s="17">
        <v>0</v>
      </c>
      <c r="E115" s="17">
        <v>228</v>
      </c>
      <c r="F115" s="18">
        <f t="shared" si="1"/>
        <v>19</v>
      </c>
    </row>
    <row r="116" spans="1:6" ht="16.5" customHeight="1">
      <c r="A116" s="16" t="s">
        <v>197</v>
      </c>
      <c r="B116" s="16" t="s">
        <v>334</v>
      </c>
      <c r="C116" s="17">
        <v>34</v>
      </c>
      <c r="D116" s="17">
        <v>6</v>
      </c>
      <c r="E116" s="17">
        <v>5651</v>
      </c>
      <c r="F116" s="18">
        <f t="shared" si="1"/>
        <v>471</v>
      </c>
    </row>
    <row r="117" spans="1:6" ht="16.5" customHeight="1">
      <c r="A117" s="16" t="s">
        <v>201</v>
      </c>
      <c r="B117" s="16" t="s">
        <v>335</v>
      </c>
      <c r="C117" s="17">
        <v>43</v>
      </c>
      <c r="D117" s="17">
        <v>4</v>
      </c>
      <c r="E117" s="17">
        <v>3253</v>
      </c>
      <c r="F117" s="18">
        <f t="shared" si="1"/>
        <v>271</v>
      </c>
    </row>
    <row r="118" spans="1:6" ht="16.5" customHeight="1">
      <c r="A118" s="16" t="s">
        <v>223</v>
      </c>
      <c r="B118" s="16" t="s">
        <v>224</v>
      </c>
      <c r="C118" s="17">
        <v>4</v>
      </c>
      <c r="D118" s="17">
        <v>3</v>
      </c>
      <c r="E118" s="17">
        <v>368</v>
      </c>
      <c r="F118" s="18">
        <f t="shared" si="1"/>
        <v>31</v>
      </c>
    </row>
    <row r="119" spans="1:6" ht="16.5" customHeight="1">
      <c r="A119" s="16" t="s">
        <v>231</v>
      </c>
      <c r="B119" s="16" t="s">
        <v>232</v>
      </c>
      <c r="C119" s="17">
        <v>15</v>
      </c>
      <c r="D119" s="17">
        <v>2</v>
      </c>
      <c r="E119" s="17">
        <v>2399</v>
      </c>
      <c r="F119" s="18">
        <f t="shared" si="1"/>
        <v>200</v>
      </c>
    </row>
    <row r="120" spans="1:6" ht="16.5" customHeight="1">
      <c r="A120" s="16" t="s">
        <v>239</v>
      </c>
      <c r="B120" s="16" t="s">
        <v>240</v>
      </c>
      <c r="C120" s="17">
        <v>1</v>
      </c>
      <c r="D120" s="17">
        <v>0</v>
      </c>
      <c r="E120" s="17">
        <v>80</v>
      </c>
      <c r="F120" s="18">
        <f t="shared" si="1"/>
        <v>7</v>
      </c>
    </row>
    <row r="121" spans="1:6" ht="16.5" customHeight="1">
      <c r="A121" s="16" t="s">
        <v>241</v>
      </c>
      <c r="B121" s="16" t="s">
        <v>242</v>
      </c>
      <c r="C121" s="17">
        <v>5</v>
      </c>
      <c r="D121" s="17">
        <v>3</v>
      </c>
      <c r="E121" s="17">
        <v>492</v>
      </c>
      <c r="F121" s="18">
        <f t="shared" si="1"/>
        <v>41</v>
      </c>
    </row>
    <row r="122" spans="1:6">
      <c r="C122" s="18">
        <f>SUM(C2:C121)</f>
        <v>606</v>
      </c>
      <c r="D122" s="18">
        <f>SUM(D2:D121)</f>
        <v>180</v>
      </c>
      <c r="E122" s="18">
        <f>SUM(E2:E121)</f>
        <v>62001</v>
      </c>
      <c r="F122" s="18">
        <f>SUM(F2:F121)</f>
        <v>5166</v>
      </c>
    </row>
    <row r="123" spans="1:6">
      <c r="C123" s="18">
        <f>+C122/12</f>
        <v>50.5</v>
      </c>
      <c r="D123" s="18">
        <f>+D122/12</f>
        <v>15</v>
      </c>
      <c r="E123" s="18">
        <f>+E122/12</f>
        <v>5166.75</v>
      </c>
    </row>
    <row r="124" spans="1:6" ht="12.75" customHeight="1">
      <c r="A124" s="1680" t="s">
        <v>747</v>
      </c>
      <c r="B124" s="1680"/>
      <c r="C124" s="1681"/>
    </row>
    <row r="125" spans="1:6">
      <c r="A125" s="18" t="s">
        <v>748</v>
      </c>
    </row>
  </sheetData>
  <mergeCells count="1">
    <mergeCell ref="A124:C124"/>
  </mergeCells>
  <pageMargins left="0.75" right="0.75" top="1" bottom="1" header="0.5" footer="0.5"/>
  <pageSetup orientation="portrait" r:id="rId1"/>
</worksheet>
</file>

<file path=xl/worksheets/sheet26.xml><?xml version="1.0" encoding="utf-8"?>
<worksheet xmlns="http://schemas.openxmlformats.org/spreadsheetml/2006/main" xmlns:r="http://schemas.openxmlformats.org/officeDocument/2006/relationships">
  <dimension ref="B1:X125"/>
  <sheetViews>
    <sheetView topLeftCell="B1" zoomScaleNormal="132" zoomScaleSheetLayoutView="132" workbookViewId="0">
      <pane xSplit="2" ySplit="4" topLeftCell="D5" activePane="bottomRight" state="frozen"/>
      <selection activeCell="B1" sqref="B1"/>
      <selection pane="topRight" activeCell="D1" sqref="D1"/>
      <selection pane="bottomLeft" activeCell="B5" sqref="B5"/>
      <selection pane="bottomRight" activeCell="D5" sqref="D5"/>
    </sheetView>
  </sheetViews>
  <sheetFormatPr defaultRowHeight="15.75"/>
  <cols>
    <col min="1" max="2" width="9" style="5"/>
    <col min="3" max="3" width="20.75" style="5" customWidth="1"/>
    <col min="4" max="4" width="13.125" style="5" customWidth="1"/>
    <col min="5" max="5" width="10.75" style="5" bestFit="1" customWidth="1"/>
    <col min="6" max="6" width="7.875" style="5" bestFit="1" customWidth="1"/>
    <col min="7" max="7" width="6.875" style="5" bestFit="1" customWidth="1"/>
    <col min="8" max="8" width="11.25" style="5" customWidth="1"/>
    <col min="9" max="9" width="7.125" style="5" bestFit="1" customWidth="1"/>
    <col min="10" max="10" width="12.625" style="5" bestFit="1" customWidth="1"/>
    <col min="11" max="11" width="6.75" style="5" customWidth="1"/>
    <col min="12" max="12" width="6.875" style="5" bestFit="1" customWidth="1"/>
    <col min="13" max="13" width="19.25" style="5" bestFit="1" customWidth="1"/>
    <col min="14" max="14" width="6.875" style="5" bestFit="1" customWidth="1"/>
    <col min="15" max="15" width="9" style="5" customWidth="1"/>
    <col min="16" max="16" width="8.625" style="5" customWidth="1"/>
    <col min="17" max="17" width="11.875" style="5" bestFit="1" customWidth="1"/>
    <col min="18" max="18" width="18.125" style="5" customWidth="1"/>
    <col min="19" max="19" width="15.625" style="5" bestFit="1" customWidth="1"/>
    <col min="20" max="20" width="18.375" style="5" customWidth="1"/>
    <col min="21" max="21" width="17.625" style="5" customWidth="1"/>
    <col min="22" max="22" width="17.5" style="5" customWidth="1"/>
    <col min="23" max="23" width="16.625" style="5" customWidth="1"/>
    <col min="24" max="24" width="10.875" style="5" bestFit="1" customWidth="1"/>
    <col min="25" max="16384" width="9" style="5"/>
  </cols>
  <sheetData>
    <row r="1" spans="2:24">
      <c r="B1" s="5">
        <v>1</v>
      </c>
      <c r="C1" s="5">
        <f>+B1+1</f>
        <v>2</v>
      </c>
      <c r="D1" s="5">
        <f t="shared" ref="D1:O1" si="0">+C1+1</f>
        <v>3</v>
      </c>
      <c r="E1" s="5">
        <f t="shared" si="0"/>
        <v>4</v>
      </c>
      <c r="F1" s="5">
        <f t="shared" si="0"/>
        <v>5</v>
      </c>
      <c r="G1" s="5">
        <f t="shared" si="0"/>
        <v>6</v>
      </c>
      <c r="H1" s="5">
        <f t="shared" si="0"/>
        <v>7</v>
      </c>
      <c r="I1" s="5">
        <f t="shared" si="0"/>
        <v>8</v>
      </c>
      <c r="J1" s="5">
        <f t="shared" si="0"/>
        <v>9</v>
      </c>
      <c r="K1" s="5">
        <f t="shared" si="0"/>
        <v>10</v>
      </c>
      <c r="L1" s="5">
        <f t="shared" si="0"/>
        <v>11</v>
      </c>
      <c r="M1" s="5">
        <f t="shared" si="0"/>
        <v>12</v>
      </c>
      <c r="N1" s="5">
        <f t="shared" si="0"/>
        <v>13</v>
      </c>
      <c r="O1" s="5">
        <f t="shared" si="0"/>
        <v>14</v>
      </c>
    </row>
    <row r="2" spans="2:24">
      <c r="B2" s="5" t="s">
        <v>710</v>
      </c>
    </row>
    <row r="3" spans="2:24">
      <c r="B3" s="5" t="s">
        <v>711</v>
      </c>
    </row>
    <row r="4" spans="2:24" s="6" customFormat="1" ht="58.5" customHeight="1">
      <c r="B4" s="6" t="s">
        <v>4</v>
      </c>
      <c r="C4" s="7" t="s">
        <v>712</v>
      </c>
      <c r="D4" s="7" t="s">
        <v>713</v>
      </c>
      <c r="E4" s="7" t="s">
        <v>613</v>
      </c>
      <c r="F4" s="7" t="s">
        <v>714</v>
      </c>
      <c r="G4" s="7" t="s">
        <v>715</v>
      </c>
      <c r="H4" s="7" t="s">
        <v>716</v>
      </c>
      <c r="I4" s="7" t="s">
        <v>717</v>
      </c>
      <c r="J4" s="7" t="s">
        <v>718</v>
      </c>
      <c r="K4" s="7" t="s">
        <v>707</v>
      </c>
      <c r="L4" s="7" t="s">
        <v>608</v>
      </c>
      <c r="M4" s="7" t="s">
        <v>719</v>
      </c>
      <c r="N4" s="7" t="s">
        <v>2</v>
      </c>
      <c r="O4" s="7" t="s">
        <v>728</v>
      </c>
      <c r="P4" s="7" t="s">
        <v>611</v>
      </c>
      <c r="Q4" s="7" t="s">
        <v>720</v>
      </c>
      <c r="R4" s="7" t="s">
        <v>721</v>
      </c>
      <c r="S4" s="7" t="s">
        <v>722</v>
      </c>
      <c r="T4" s="7" t="s">
        <v>723</v>
      </c>
      <c r="U4" s="7" t="s">
        <v>724</v>
      </c>
      <c r="V4" s="7" t="s">
        <v>725</v>
      </c>
      <c r="W4" s="7" t="s">
        <v>726</v>
      </c>
      <c r="X4" s="7" t="s">
        <v>727</v>
      </c>
    </row>
    <row r="5" spans="2:24">
      <c r="B5" s="5" t="s">
        <v>10</v>
      </c>
      <c r="C5" s="8" t="s">
        <v>11</v>
      </c>
      <c r="D5" s="8" t="s">
        <v>271</v>
      </c>
      <c r="E5" s="9">
        <v>337</v>
      </c>
      <c r="F5" s="9">
        <v>163</v>
      </c>
      <c r="G5" s="9">
        <v>172</v>
      </c>
      <c r="H5" s="9">
        <v>2</v>
      </c>
      <c r="I5" s="9">
        <v>48</v>
      </c>
      <c r="J5" s="9">
        <v>2</v>
      </c>
      <c r="K5" s="9">
        <v>0</v>
      </c>
      <c r="L5" s="9">
        <v>117</v>
      </c>
      <c r="M5" s="9">
        <v>0</v>
      </c>
      <c r="N5" s="9">
        <v>207</v>
      </c>
      <c r="O5" s="9">
        <f>+M5+K5+J5</f>
        <v>2</v>
      </c>
      <c r="P5" s="9"/>
      <c r="Q5" s="9">
        <v>13</v>
      </c>
      <c r="R5" s="9">
        <v>18</v>
      </c>
      <c r="S5" s="9">
        <v>37</v>
      </c>
      <c r="T5" s="9">
        <v>88</v>
      </c>
      <c r="U5" s="9">
        <v>73</v>
      </c>
      <c r="V5" s="9">
        <v>55</v>
      </c>
      <c r="W5" s="9">
        <v>29</v>
      </c>
      <c r="X5" s="9">
        <v>37</v>
      </c>
    </row>
    <row r="6" spans="2:24">
      <c r="B6" s="5" t="s">
        <v>12</v>
      </c>
      <c r="C6" s="8" t="s">
        <v>13</v>
      </c>
      <c r="D6" s="8" t="s">
        <v>272</v>
      </c>
      <c r="E6" s="9">
        <v>740</v>
      </c>
      <c r="F6" s="9">
        <v>336</v>
      </c>
      <c r="G6" s="9">
        <v>360</v>
      </c>
      <c r="H6" s="9">
        <v>44</v>
      </c>
      <c r="I6" s="9">
        <v>72</v>
      </c>
      <c r="J6" s="9">
        <v>0</v>
      </c>
      <c r="K6" s="9">
        <v>3</v>
      </c>
      <c r="L6" s="9">
        <v>173</v>
      </c>
      <c r="M6" s="9">
        <v>3</v>
      </c>
      <c r="N6" s="9">
        <v>458</v>
      </c>
      <c r="O6" s="9">
        <f t="shared" ref="O6:O69" si="1">+M6+K6+J6</f>
        <v>6</v>
      </c>
      <c r="P6" s="9"/>
      <c r="Q6" s="9">
        <v>135</v>
      </c>
      <c r="R6" s="9">
        <v>26</v>
      </c>
      <c r="S6" s="9">
        <v>100</v>
      </c>
      <c r="T6" s="9">
        <v>128</v>
      </c>
      <c r="U6" s="9">
        <v>104</v>
      </c>
      <c r="V6" s="9">
        <v>113</v>
      </c>
      <c r="W6" s="9">
        <v>57</v>
      </c>
      <c r="X6" s="9">
        <v>212</v>
      </c>
    </row>
    <row r="7" spans="2:24">
      <c r="B7" s="5" t="s">
        <v>14</v>
      </c>
      <c r="C7" s="8" t="s">
        <v>15</v>
      </c>
      <c r="D7" s="8" t="s">
        <v>274</v>
      </c>
      <c r="E7" s="9">
        <v>1541</v>
      </c>
      <c r="F7" s="9">
        <v>803</v>
      </c>
      <c r="G7" s="9">
        <v>721</v>
      </c>
      <c r="H7" s="9">
        <v>17</v>
      </c>
      <c r="I7" s="9">
        <v>480</v>
      </c>
      <c r="J7" s="9">
        <v>4</v>
      </c>
      <c r="K7" s="9">
        <v>30</v>
      </c>
      <c r="L7" s="9">
        <v>836</v>
      </c>
      <c r="M7" s="9">
        <v>3</v>
      </c>
      <c r="N7" s="9">
        <v>642</v>
      </c>
      <c r="O7" s="9">
        <f t="shared" si="1"/>
        <v>37</v>
      </c>
      <c r="P7" s="9"/>
      <c r="Q7" s="9">
        <v>85</v>
      </c>
      <c r="R7" s="9">
        <v>139</v>
      </c>
      <c r="S7" s="9">
        <v>273</v>
      </c>
      <c r="T7" s="9">
        <v>382</v>
      </c>
      <c r="U7" s="9">
        <v>277</v>
      </c>
      <c r="V7" s="9">
        <v>203</v>
      </c>
      <c r="W7" s="9">
        <v>89</v>
      </c>
      <c r="X7" s="9">
        <v>178</v>
      </c>
    </row>
    <row r="8" spans="2:24">
      <c r="B8" s="5" t="s">
        <v>16</v>
      </c>
      <c r="C8" s="1" t="s">
        <v>307</v>
      </c>
      <c r="D8" s="8" t="s">
        <v>272</v>
      </c>
      <c r="E8" s="10">
        <v>523</v>
      </c>
      <c r="F8" s="10">
        <v>251</v>
      </c>
      <c r="G8" s="10">
        <v>269</v>
      </c>
      <c r="H8" s="10">
        <v>3</v>
      </c>
      <c r="I8" s="10">
        <v>5</v>
      </c>
      <c r="J8" s="10">
        <v>0</v>
      </c>
      <c r="K8" s="10">
        <v>0</v>
      </c>
      <c r="L8" s="10">
        <v>65</v>
      </c>
      <c r="M8" s="10">
        <v>1</v>
      </c>
      <c r="N8" s="10">
        <v>468</v>
      </c>
      <c r="O8" s="9">
        <f t="shared" si="1"/>
        <v>1</v>
      </c>
      <c r="P8" s="10">
        <v>0</v>
      </c>
      <c r="Q8" s="10">
        <v>21</v>
      </c>
      <c r="R8" s="10">
        <v>24</v>
      </c>
      <c r="S8" s="10">
        <v>57</v>
      </c>
      <c r="T8" s="10">
        <v>84</v>
      </c>
      <c r="U8" s="10">
        <v>65</v>
      </c>
      <c r="V8" s="10">
        <v>71</v>
      </c>
      <c r="W8" s="10">
        <v>35</v>
      </c>
      <c r="X8" s="10">
        <v>187</v>
      </c>
    </row>
    <row r="9" spans="2:24">
      <c r="B9" s="5" t="s">
        <v>18</v>
      </c>
      <c r="C9" s="8" t="s">
        <v>19</v>
      </c>
      <c r="D9" s="8" t="s">
        <v>273</v>
      </c>
      <c r="E9" s="9">
        <v>158</v>
      </c>
      <c r="F9" s="9">
        <v>79</v>
      </c>
      <c r="G9" s="9">
        <v>78</v>
      </c>
      <c r="H9" s="9">
        <v>1</v>
      </c>
      <c r="I9" s="9">
        <v>2</v>
      </c>
      <c r="J9" s="9">
        <v>0</v>
      </c>
      <c r="K9" s="9">
        <v>0</v>
      </c>
      <c r="L9" s="9">
        <v>40</v>
      </c>
      <c r="M9" s="9">
        <v>0</v>
      </c>
      <c r="N9" s="9">
        <v>114</v>
      </c>
      <c r="O9" s="9">
        <f t="shared" si="1"/>
        <v>0</v>
      </c>
      <c r="P9" s="9"/>
      <c r="Q9" s="9">
        <v>5</v>
      </c>
      <c r="R9" s="9">
        <v>10</v>
      </c>
      <c r="S9" s="9">
        <v>25</v>
      </c>
      <c r="T9" s="9">
        <v>28</v>
      </c>
      <c r="U9" s="9">
        <v>32</v>
      </c>
      <c r="V9" s="9">
        <v>24</v>
      </c>
      <c r="W9" s="9">
        <v>10</v>
      </c>
      <c r="X9" s="9">
        <v>29</v>
      </c>
    </row>
    <row r="10" spans="2:24">
      <c r="B10" s="5" t="s">
        <v>20</v>
      </c>
      <c r="C10" s="8" t="s">
        <v>21</v>
      </c>
      <c r="D10" s="8" t="s">
        <v>272</v>
      </c>
      <c r="E10" s="9">
        <v>205</v>
      </c>
      <c r="F10" s="9">
        <v>95</v>
      </c>
      <c r="G10" s="9">
        <v>109</v>
      </c>
      <c r="H10" s="9">
        <v>1</v>
      </c>
      <c r="I10" s="9">
        <v>4</v>
      </c>
      <c r="J10" s="9">
        <v>3</v>
      </c>
      <c r="K10" s="9">
        <v>1</v>
      </c>
      <c r="L10" s="9">
        <v>54</v>
      </c>
      <c r="M10" s="9">
        <v>0</v>
      </c>
      <c r="N10" s="9">
        <v>161</v>
      </c>
      <c r="O10" s="9">
        <f t="shared" si="1"/>
        <v>4</v>
      </c>
      <c r="P10" s="9"/>
      <c r="Q10" s="9">
        <v>3</v>
      </c>
      <c r="R10" s="9">
        <v>13</v>
      </c>
      <c r="S10" s="9">
        <v>51</v>
      </c>
      <c r="T10" s="9">
        <v>44</v>
      </c>
      <c r="U10" s="9">
        <v>29</v>
      </c>
      <c r="V10" s="9">
        <v>32</v>
      </c>
      <c r="W10" s="9">
        <v>7</v>
      </c>
      <c r="X10" s="9">
        <v>29</v>
      </c>
    </row>
    <row r="11" spans="2:24">
      <c r="B11" s="5" t="s">
        <v>22</v>
      </c>
      <c r="C11" s="8" t="s">
        <v>23</v>
      </c>
      <c r="D11" s="8" t="s">
        <v>272</v>
      </c>
      <c r="E11" s="9">
        <v>254</v>
      </c>
      <c r="F11" s="9">
        <v>119</v>
      </c>
      <c r="G11" s="9">
        <v>128</v>
      </c>
      <c r="H11" s="9">
        <v>7</v>
      </c>
      <c r="I11" s="9">
        <v>2</v>
      </c>
      <c r="J11" s="9">
        <v>0</v>
      </c>
      <c r="K11" s="9">
        <v>0</v>
      </c>
      <c r="L11" s="9">
        <v>91</v>
      </c>
      <c r="M11" s="9">
        <v>0</v>
      </c>
      <c r="N11" s="9">
        <v>171</v>
      </c>
      <c r="O11" s="9">
        <f t="shared" si="1"/>
        <v>0</v>
      </c>
      <c r="P11" s="9"/>
      <c r="Q11" s="9">
        <v>21</v>
      </c>
      <c r="R11" s="9">
        <v>18</v>
      </c>
      <c r="S11" s="9">
        <v>43</v>
      </c>
      <c r="T11" s="9">
        <v>31</v>
      </c>
      <c r="U11" s="9">
        <v>49</v>
      </c>
      <c r="V11" s="9">
        <v>43</v>
      </c>
      <c r="W11" s="9">
        <v>26</v>
      </c>
      <c r="X11" s="9">
        <v>44</v>
      </c>
    </row>
    <row r="12" spans="2:24">
      <c r="B12" s="5" t="s">
        <v>24</v>
      </c>
      <c r="C12" s="8" t="s">
        <v>25</v>
      </c>
      <c r="D12" s="8" t="s">
        <v>274</v>
      </c>
      <c r="E12" s="9">
        <v>1234</v>
      </c>
      <c r="F12" s="9">
        <v>588</v>
      </c>
      <c r="G12" s="9">
        <v>628</v>
      </c>
      <c r="H12" s="9">
        <v>18</v>
      </c>
      <c r="I12" s="9">
        <v>577</v>
      </c>
      <c r="J12" s="9">
        <v>1</v>
      </c>
      <c r="K12" s="9">
        <v>78</v>
      </c>
      <c r="L12" s="9">
        <v>332</v>
      </c>
      <c r="M12" s="9">
        <v>0</v>
      </c>
      <c r="N12" s="9">
        <v>781</v>
      </c>
      <c r="O12" s="9">
        <f t="shared" si="1"/>
        <v>79</v>
      </c>
      <c r="P12" s="9"/>
      <c r="Q12" s="9">
        <v>72</v>
      </c>
      <c r="R12" s="9">
        <v>79</v>
      </c>
      <c r="S12" s="9">
        <v>183</v>
      </c>
      <c r="T12" s="9">
        <v>277</v>
      </c>
      <c r="U12" s="9">
        <v>234</v>
      </c>
      <c r="V12" s="9">
        <v>198</v>
      </c>
      <c r="W12" s="9">
        <v>76</v>
      </c>
      <c r="X12" s="9">
        <v>187</v>
      </c>
    </row>
    <row r="13" spans="2:24" ht="31.5">
      <c r="B13" s="5" t="s">
        <v>26</v>
      </c>
      <c r="C13" s="1" t="s">
        <v>308</v>
      </c>
      <c r="D13" s="8" t="s">
        <v>272</v>
      </c>
      <c r="E13" s="10">
        <v>3155</v>
      </c>
      <c r="F13" s="10">
        <v>1547</v>
      </c>
      <c r="G13" s="10">
        <v>1513</v>
      </c>
      <c r="H13" s="10">
        <v>95</v>
      </c>
      <c r="I13" s="10">
        <v>133</v>
      </c>
      <c r="J13" s="10">
        <v>8</v>
      </c>
      <c r="K13" s="10">
        <v>9</v>
      </c>
      <c r="L13" s="10">
        <v>419</v>
      </c>
      <c r="M13" s="10">
        <v>6</v>
      </c>
      <c r="N13" s="10">
        <v>2691</v>
      </c>
      <c r="O13" s="9">
        <f t="shared" si="1"/>
        <v>23</v>
      </c>
      <c r="P13" s="10">
        <v>0</v>
      </c>
      <c r="Q13" s="10">
        <v>190</v>
      </c>
      <c r="R13" s="10">
        <v>135</v>
      </c>
      <c r="S13" s="10">
        <v>336</v>
      </c>
      <c r="T13" s="10">
        <v>532</v>
      </c>
      <c r="U13" s="10">
        <v>485</v>
      </c>
      <c r="V13" s="10">
        <v>368</v>
      </c>
      <c r="W13" s="10">
        <v>144</v>
      </c>
      <c r="X13" s="10">
        <v>1155</v>
      </c>
    </row>
    <row r="14" spans="2:24">
      <c r="B14" s="5" t="s">
        <v>27</v>
      </c>
      <c r="C14" s="8" t="s">
        <v>28</v>
      </c>
      <c r="D14" s="8" t="s">
        <v>272</v>
      </c>
      <c r="E14" s="9">
        <v>23</v>
      </c>
      <c r="F14" s="9">
        <v>12</v>
      </c>
      <c r="G14" s="9">
        <v>11</v>
      </c>
      <c r="H14" s="9">
        <v>0</v>
      </c>
      <c r="I14" s="9">
        <v>0</v>
      </c>
      <c r="J14" s="9">
        <v>0</v>
      </c>
      <c r="K14" s="9">
        <v>0</v>
      </c>
      <c r="L14" s="9">
        <v>2</v>
      </c>
      <c r="M14" s="9">
        <v>0</v>
      </c>
      <c r="N14" s="9">
        <v>23</v>
      </c>
      <c r="O14" s="9">
        <f t="shared" si="1"/>
        <v>0</v>
      </c>
      <c r="P14" s="9"/>
      <c r="Q14" s="9">
        <v>0</v>
      </c>
      <c r="R14" s="9">
        <v>1</v>
      </c>
      <c r="S14" s="9">
        <v>5</v>
      </c>
      <c r="T14" s="9">
        <v>6</v>
      </c>
      <c r="U14" s="9">
        <v>4</v>
      </c>
      <c r="V14" s="9">
        <v>3</v>
      </c>
      <c r="W14" s="9">
        <v>1</v>
      </c>
      <c r="X14" s="9">
        <v>3</v>
      </c>
    </row>
    <row r="15" spans="2:24">
      <c r="B15" s="5" t="s">
        <v>29</v>
      </c>
      <c r="C15" s="1" t="s">
        <v>309</v>
      </c>
      <c r="D15" s="8" t="s">
        <v>272</v>
      </c>
      <c r="E15" s="10">
        <v>1072</v>
      </c>
      <c r="F15" s="10">
        <v>517</v>
      </c>
      <c r="G15" s="10">
        <v>552</v>
      </c>
      <c r="H15" s="10">
        <v>3</v>
      </c>
      <c r="I15" s="10">
        <v>13</v>
      </c>
      <c r="J15" s="10">
        <v>0</v>
      </c>
      <c r="K15" s="10">
        <v>6</v>
      </c>
      <c r="L15" s="10">
        <v>105</v>
      </c>
      <c r="M15" s="10">
        <v>1</v>
      </c>
      <c r="N15" s="10">
        <v>987</v>
      </c>
      <c r="O15" s="9">
        <f t="shared" si="1"/>
        <v>7</v>
      </c>
      <c r="P15" s="10">
        <v>0</v>
      </c>
      <c r="Q15" s="10">
        <v>17</v>
      </c>
      <c r="R15" s="10">
        <v>86</v>
      </c>
      <c r="S15" s="10">
        <v>196</v>
      </c>
      <c r="T15" s="10">
        <v>231</v>
      </c>
      <c r="U15" s="10">
        <v>174</v>
      </c>
      <c r="V15" s="10">
        <v>202</v>
      </c>
      <c r="W15" s="10">
        <v>97</v>
      </c>
      <c r="X15" s="10">
        <v>86</v>
      </c>
    </row>
    <row r="16" spans="2:24">
      <c r="B16" s="5" t="s">
        <v>31</v>
      </c>
      <c r="C16" s="8" t="s">
        <v>32</v>
      </c>
      <c r="D16" s="8" t="s">
        <v>275</v>
      </c>
      <c r="E16" s="9">
        <v>103</v>
      </c>
      <c r="F16" s="9">
        <v>52</v>
      </c>
      <c r="G16" s="9">
        <v>51</v>
      </c>
      <c r="H16" s="9">
        <v>0</v>
      </c>
      <c r="I16" s="9">
        <v>0</v>
      </c>
      <c r="J16" s="9">
        <v>0</v>
      </c>
      <c r="K16" s="9">
        <v>0</v>
      </c>
      <c r="L16" s="9">
        <v>17</v>
      </c>
      <c r="M16" s="9">
        <v>1</v>
      </c>
      <c r="N16" s="9">
        <v>91</v>
      </c>
      <c r="O16" s="9">
        <f t="shared" si="1"/>
        <v>1</v>
      </c>
      <c r="P16" s="9"/>
      <c r="Q16" s="9">
        <v>2</v>
      </c>
      <c r="R16" s="9">
        <v>6</v>
      </c>
      <c r="S16" s="9">
        <v>13</v>
      </c>
      <c r="T16" s="9">
        <v>31</v>
      </c>
      <c r="U16" s="9">
        <v>19</v>
      </c>
      <c r="V16" s="9">
        <v>27</v>
      </c>
      <c r="W16" s="9">
        <v>2</v>
      </c>
      <c r="X16" s="9">
        <v>5</v>
      </c>
    </row>
    <row r="17" spans="2:24">
      <c r="B17" s="5" t="s">
        <v>33</v>
      </c>
      <c r="C17" s="8" t="s">
        <v>34</v>
      </c>
      <c r="D17" s="8" t="s">
        <v>272</v>
      </c>
      <c r="E17" s="9">
        <v>91</v>
      </c>
      <c r="F17" s="9">
        <v>47</v>
      </c>
      <c r="G17" s="9">
        <v>44</v>
      </c>
      <c r="H17" s="9">
        <v>0</v>
      </c>
      <c r="I17" s="9">
        <v>3</v>
      </c>
      <c r="J17" s="9">
        <v>0</v>
      </c>
      <c r="K17" s="9">
        <v>0</v>
      </c>
      <c r="L17" s="9">
        <v>5</v>
      </c>
      <c r="M17" s="9">
        <v>0</v>
      </c>
      <c r="N17" s="9">
        <v>86</v>
      </c>
      <c r="O17" s="9">
        <f t="shared" si="1"/>
        <v>0</v>
      </c>
      <c r="P17" s="9"/>
      <c r="Q17" s="9">
        <v>2</v>
      </c>
      <c r="R17" s="9">
        <v>8</v>
      </c>
      <c r="S17" s="9">
        <v>15</v>
      </c>
      <c r="T17" s="9">
        <v>15</v>
      </c>
      <c r="U17" s="9">
        <v>22</v>
      </c>
      <c r="V17" s="9">
        <v>14</v>
      </c>
      <c r="W17" s="9">
        <v>4</v>
      </c>
      <c r="X17" s="9">
        <v>13</v>
      </c>
    </row>
    <row r="18" spans="2:24">
      <c r="B18" s="5" t="s">
        <v>35</v>
      </c>
      <c r="C18" s="8" t="s">
        <v>36</v>
      </c>
      <c r="D18" s="8" t="s">
        <v>275</v>
      </c>
      <c r="E18" s="9">
        <v>488</v>
      </c>
      <c r="F18" s="9">
        <v>239</v>
      </c>
      <c r="G18" s="9">
        <v>236</v>
      </c>
      <c r="H18" s="9">
        <v>13</v>
      </c>
      <c r="I18" s="9">
        <v>7</v>
      </c>
      <c r="J18" s="9">
        <v>0</v>
      </c>
      <c r="K18" s="9">
        <v>0</v>
      </c>
      <c r="L18" s="9">
        <v>31</v>
      </c>
      <c r="M18" s="9">
        <v>0</v>
      </c>
      <c r="N18" s="9">
        <v>367</v>
      </c>
      <c r="O18" s="9">
        <f t="shared" si="1"/>
        <v>0</v>
      </c>
      <c r="P18" s="9"/>
      <c r="Q18" s="9">
        <v>104</v>
      </c>
      <c r="R18" s="9">
        <v>46</v>
      </c>
      <c r="S18" s="9">
        <v>104</v>
      </c>
      <c r="T18" s="9">
        <v>109</v>
      </c>
      <c r="U18" s="9">
        <v>77</v>
      </c>
      <c r="V18" s="9">
        <v>53</v>
      </c>
      <c r="W18" s="9">
        <v>15</v>
      </c>
      <c r="X18" s="9">
        <v>84</v>
      </c>
    </row>
    <row r="19" spans="2:24">
      <c r="B19" s="5" t="s">
        <v>37</v>
      </c>
      <c r="C19" s="8" t="s">
        <v>38</v>
      </c>
      <c r="D19" s="8" t="s">
        <v>271</v>
      </c>
      <c r="E19" s="9">
        <v>58</v>
      </c>
      <c r="F19" s="9">
        <v>25</v>
      </c>
      <c r="G19" s="9">
        <v>32</v>
      </c>
      <c r="H19" s="9">
        <v>1</v>
      </c>
      <c r="I19" s="9">
        <v>0</v>
      </c>
      <c r="J19" s="9">
        <v>0</v>
      </c>
      <c r="K19" s="9">
        <v>0</v>
      </c>
      <c r="L19" s="9">
        <v>30</v>
      </c>
      <c r="M19" s="9">
        <v>1</v>
      </c>
      <c r="N19" s="9">
        <v>28</v>
      </c>
      <c r="O19" s="9">
        <f t="shared" si="1"/>
        <v>1</v>
      </c>
      <c r="P19" s="9"/>
      <c r="Q19" s="9">
        <v>2</v>
      </c>
      <c r="R19" s="9">
        <v>6</v>
      </c>
      <c r="S19" s="9">
        <v>6</v>
      </c>
      <c r="T19" s="9">
        <v>14</v>
      </c>
      <c r="U19" s="9">
        <v>8</v>
      </c>
      <c r="V19" s="9">
        <v>10</v>
      </c>
      <c r="W19" s="9">
        <v>4</v>
      </c>
      <c r="X19" s="9">
        <v>10</v>
      </c>
    </row>
    <row r="20" spans="2:24">
      <c r="B20" s="5" t="s">
        <v>39</v>
      </c>
      <c r="C20" s="8" t="s">
        <v>40</v>
      </c>
      <c r="D20" s="8" t="s">
        <v>275</v>
      </c>
      <c r="E20" s="9">
        <v>406</v>
      </c>
      <c r="F20" s="9">
        <v>187</v>
      </c>
      <c r="G20" s="9">
        <v>218</v>
      </c>
      <c r="H20" s="9">
        <v>1</v>
      </c>
      <c r="I20" s="9">
        <v>2</v>
      </c>
      <c r="J20" s="9">
        <v>0</v>
      </c>
      <c r="K20" s="9">
        <v>0</v>
      </c>
      <c r="L20" s="9">
        <v>2</v>
      </c>
      <c r="M20" s="9">
        <v>0</v>
      </c>
      <c r="N20" s="9">
        <v>403</v>
      </c>
      <c r="O20" s="9">
        <f t="shared" si="1"/>
        <v>0</v>
      </c>
      <c r="P20" s="9"/>
      <c r="Q20" s="9">
        <v>1</v>
      </c>
      <c r="R20" s="9">
        <v>43</v>
      </c>
      <c r="S20" s="9">
        <v>73</v>
      </c>
      <c r="T20" s="9">
        <v>111</v>
      </c>
      <c r="U20" s="9">
        <v>93</v>
      </c>
      <c r="V20" s="9">
        <v>44</v>
      </c>
      <c r="W20" s="9">
        <v>23</v>
      </c>
      <c r="X20" s="9">
        <v>19</v>
      </c>
    </row>
    <row r="21" spans="2:24">
      <c r="B21" s="5" t="s">
        <v>41</v>
      </c>
      <c r="C21" s="8" t="s">
        <v>42</v>
      </c>
      <c r="D21" s="8" t="s">
        <v>273</v>
      </c>
      <c r="E21" s="9">
        <v>194</v>
      </c>
      <c r="F21" s="9">
        <v>82</v>
      </c>
      <c r="G21" s="9">
        <v>110</v>
      </c>
      <c r="H21" s="9">
        <v>2</v>
      </c>
      <c r="I21" s="9">
        <v>11</v>
      </c>
      <c r="J21" s="9">
        <v>0</v>
      </c>
      <c r="K21" s="9">
        <v>1</v>
      </c>
      <c r="L21" s="9">
        <v>56</v>
      </c>
      <c r="M21" s="9">
        <v>1</v>
      </c>
      <c r="N21" s="9">
        <v>139</v>
      </c>
      <c r="O21" s="9">
        <f t="shared" si="1"/>
        <v>2</v>
      </c>
      <c r="P21" s="9"/>
      <c r="Q21" s="9">
        <v>5</v>
      </c>
      <c r="R21" s="9">
        <v>8</v>
      </c>
      <c r="S21" s="9">
        <v>29</v>
      </c>
      <c r="T21" s="9">
        <v>40</v>
      </c>
      <c r="U21" s="9">
        <v>39</v>
      </c>
      <c r="V21" s="9">
        <v>40</v>
      </c>
      <c r="W21" s="9">
        <v>17</v>
      </c>
      <c r="X21" s="9">
        <v>21</v>
      </c>
    </row>
    <row r="22" spans="2:24">
      <c r="B22" s="5" t="s">
        <v>43</v>
      </c>
      <c r="C22" s="8" t="s">
        <v>44</v>
      </c>
      <c r="D22" s="8" t="s">
        <v>272</v>
      </c>
      <c r="E22" s="9">
        <v>1302</v>
      </c>
      <c r="F22" s="9">
        <v>625</v>
      </c>
      <c r="G22" s="9">
        <v>645</v>
      </c>
      <c r="H22" s="9">
        <v>32</v>
      </c>
      <c r="I22" s="9">
        <v>31</v>
      </c>
      <c r="J22" s="9">
        <v>1</v>
      </c>
      <c r="K22" s="9">
        <v>1</v>
      </c>
      <c r="L22" s="9">
        <v>279</v>
      </c>
      <c r="M22" s="9">
        <v>2</v>
      </c>
      <c r="N22" s="9">
        <v>1065</v>
      </c>
      <c r="O22" s="9">
        <f t="shared" si="1"/>
        <v>4</v>
      </c>
      <c r="P22" s="9"/>
      <c r="Q22" s="9">
        <v>44</v>
      </c>
      <c r="R22" s="9">
        <v>65</v>
      </c>
      <c r="S22" s="9">
        <v>190</v>
      </c>
      <c r="T22" s="9">
        <v>276</v>
      </c>
      <c r="U22" s="9">
        <v>247</v>
      </c>
      <c r="V22" s="9">
        <v>213</v>
      </c>
      <c r="W22" s="9">
        <v>97</v>
      </c>
      <c r="X22" s="9">
        <v>214</v>
      </c>
    </row>
    <row r="23" spans="2:24">
      <c r="B23" s="5" t="s">
        <v>45</v>
      </c>
      <c r="C23" s="8" t="s">
        <v>46</v>
      </c>
      <c r="D23" s="8" t="s">
        <v>273</v>
      </c>
      <c r="E23" s="9">
        <v>342</v>
      </c>
      <c r="F23" s="9">
        <v>157</v>
      </c>
      <c r="G23" s="9">
        <v>170</v>
      </c>
      <c r="H23" s="9">
        <v>15</v>
      </c>
      <c r="I23" s="9">
        <v>10</v>
      </c>
      <c r="J23" s="9">
        <v>0</v>
      </c>
      <c r="K23" s="9">
        <v>1</v>
      </c>
      <c r="L23" s="9">
        <v>86</v>
      </c>
      <c r="M23" s="9">
        <v>0</v>
      </c>
      <c r="N23" s="9">
        <v>237</v>
      </c>
      <c r="O23" s="9">
        <f t="shared" si="1"/>
        <v>1</v>
      </c>
      <c r="P23" s="9"/>
      <c r="Q23" s="9">
        <v>27</v>
      </c>
      <c r="R23" s="9">
        <v>16</v>
      </c>
      <c r="S23" s="9">
        <v>35</v>
      </c>
      <c r="T23" s="9">
        <v>53</v>
      </c>
      <c r="U23" s="9">
        <v>57</v>
      </c>
      <c r="V23" s="9">
        <v>53</v>
      </c>
      <c r="W23" s="9">
        <v>17</v>
      </c>
      <c r="X23" s="9">
        <v>111</v>
      </c>
    </row>
    <row r="24" spans="2:24">
      <c r="B24" s="5" t="s">
        <v>47</v>
      </c>
      <c r="C24" s="8" t="s">
        <v>48</v>
      </c>
      <c r="D24" s="8" t="s">
        <v>275</v>
      </c>
      <c r="E24" s="9">
        <v>423</v>
      </c>
      <c r="F24" s="9">
        <v>205</v>
      </c>
      <c r="G24" s="9">
        <v>215</v>
      </c>
      <c r="H24" s="9">
        <v>3</v>
      </c>
      <c r="I24" s="9">
        <v>30</v>
      </c>
      <c r="J24" s="9">
        <v>1</v>
      </c>
      <c r="K24" s="9">
        <v>0</v>
      </c>
      <c r="L24" s="9">
        <v>3</v>
      </c>
      <c r="M24" s="9">
        <v>0</v>
      </c>
      <c r="N24" s="9">
        <v>414</v>
      </c>
      <c r="O24" s="9">
        <f t="shared" si="1"/>
        <v>1</v>
      </c>
      <c r="P24" s="9"/>
      <c r="Q24" s="9">
        <v>6</v>
      </c>
      <c r="R24" s="9">
        <v>25</v>
      </c>
      <c r="S24" s="9">
        <v>80</v>
      </c>
      <c r="T24" s="9">
        <v>83</v>
      </c>
      <c r="U24" s="9">
        <v>88</v>
      </c>
      <c r="V24" s="9">
        <v>72</v>
      </c>
      <c r="W24" s="9">
        <v>46</v>
      </c>
      <c r="X24" s="9">
        <v>29</v>
      </c>
    </row>
    <row r="25" spans="2:24">
      <c r="B25" s="5" t="s">
        <v>49</v>
      </c>
      <c r="C25" s="8" t="s">
        <v>276</v>
      </c>
      <c r="D25" s="8" t="s">
        <v>273</v>
      </c>
      <c r="E25" s="9">
        <v>43</v>
      </c>
      <c r="F25" s="9">
        <v>21</v>
      </c>
      <c r="G25" s="9">
        <v>19</v>
      </c>
      <c r="H25" s="9">
        <v>3</v>
      </c>
      <c r="I25" s="9">
        <v>0</v>
      </c>
      <c r="J25" s="9">
        <v>6</v>
      </c>
      <c r="K25" s="9">
        <v>0</v>
      </c>
      <c r="L25" s="9">
        <v>9</v>
      </c>
      <c r="M25" s="9">
        <v>0</v>
      </c>
      <c r="N25" s="9">
        <v>24</v>
      </c>
      <c r="O25" s="9">
        <f t="shared" si="1"/>
        <v>6</v>
      </c>
      <c r="P25" s="9"/>
      <c r="Q25" s="9">
        <v>6</v>
      </c>
      <c r="R25" s="9">
        <v>1</v>
      </c>
      <c r="S25" s="9">
        <v>2</v>
      </c>
      <c r="T25" s="9">
        <v>9</v>
      </c>
      <c r="U25" s="9">
        <v>8</v>
      </c>
      <c r="V25" s="9">
        <v>7</v>
      </c>
      <c r="W25" s="9">
        <v>6</v>
      </c>
      <c r="X25" s="9">
        <v>10</v>
      </c>
    </row>
    <row r="26" spans="2:24">
      <c r="B26" s="5" t="s">
        <v>51</v>
      </c>
      <c r="C26" s="8" t="s">
        <v>52</v>
      </c>
      <c r="D26" s="8" t="s">
        <v>272</v>
      </c>
      <c r="E26" s="9">
        <v>139</v>
      </c>
      <c r="F26" s="9">
        <v>63</v>
      </c>
      <c r="G26" s="9">
        <v>76</v>
      </c>
      <c r="H26" s="9">
        <v>0</v>
      </c>
      <c r="I26" s="9">
        <v>0</v>
      </c>
      <c r="J26" s="9">
        <v>0</v>
      </c>
      <c r="K26" s="9">
        <v>0</v>
      </c>
      <c r="L26" s="9">
        <v>48</v>
      </c>
      <c r="M26" s="9">
        <v>0</v>
      </c>
      <c r="N26" s="9">
        <v>101</v>
      </c>
      <c r="O26" s="9">
        <f t="shared" si="1"/>
        <v>0</v>
      </c>
      <c r="P26" s="9"/>
      <c r="Q26" s="9">
        <v>2</v>
      </c>
      <c r="R26" s="9">
        <v>9</v>
      </c>
      <c r="S26" s="9">
        <v>21</v>
      </c>
      <c r="T26" s="9">
        <v>35</v>
      </c>
      <c r="U26" s="9">
        <v>26</v>
      </c>
      <c r="V26" s="9">
        <v>26</v>
      </c>
      <c r="W26" s="9">
        <v>4</v>
      </c>
      <c r="X26" s="9">
        <v>18</v>
      </c>
    </row>
    <row r="27" spans="2:24">
      <c r="B27" s="5" t="s">
        <v>53</v>
      </c>
      <c r="C27" s="8" t="s">
        <v>54</v>
      </c>
      <c r="D27" s="8" t="s">
        <v>272</v>
      </c>
      <c r="E27" s="9">
        <v>987</v>
      </c>
      <c r="F27" s="9">
        <v>475</v>
      </c>
      <c r="G27" s="9">
        <v>477</v>
      </c>
      <c r="H27" s="9">
        <v>35</v>
      </c>
      <c r="I27" s="9">
        <v>66</v>
      </c>
      <c r="J27" s="9">
        <v>1</v>
      </c>
      <c r="K27" s="9">
        <v>20</v>
      </c>
      <c r="L27" s="9">
        <v>609</v>
      </c>
      <c r="M27" s="9">
        <v>0</v>
      </c>
      <c r="N27" s="9">
        <v>386</v>
      </c>
      <c r="O27" s="9">
        <f t="shared" si="1"/>
        <v>21</v>
      </c>
      <c r="P27" s="9"/>
      <c r="Q27" s="9">
        <v>57</v>
      </c>
      <c r="R27" s="9">
        <v>47</v>
      </c>
      <c r="S27" s="9">
        <v>164</v>
      </c>
      <c r="T27" s="9">
        <v>187</v>
      </c>
      <c r="U27" s="9">
        <v>127</v>
      </c>
      <c r="V27" s="9">
        <v>121</v>
      </c>
      <c r="W27" s="9">
        <v>56</v>
      </c>
      <c r="X27" s="9">
        <v>285</v>
      </c>
    </row>
    <row r="28" spans="2:24">
      <c r="B28" s="5" t="s">
        <v>55</v>
      </c>
      <c r="C28" s="8" t="s">
        <v>56</v>
      </c>
      <c r="D28" s="8" t="s">
        <v>271</v>
      </c>
      <c r="E28" s="9">
        <v>2358</v>
      </c>
      <c r="F28" s="9">
        <v>1143</v>
      </c>
      <c r="G28" s="9">
        <v>1172</v>
      </c>
      <c r="H28" s="9">
        <v>43</v>
      </c>
      <c r="I28" s="9">
        <v>113</v>
      </c>
      <c r="J28" s="9">
        <v>4</v>
      </c>
      <c r="K28" s="9">
        <v>39</v>
      </c>
      <c r="L28" s="9">
        <v>927</v>
      </c>
      <c r="M28" s="9">
        <v>5</v>
      </c>
      <c r="N28" s="9">
        <v>1354</v>
      </c>
      <c r="O28" s="9">
        <f t="shared" si="1"/>
        <v>48</v>
      </c>
      <c r="P28" s="9"/>
      <c r="Q28" s="9">
        <v>78</v>
      </c>
      <c r="R28" s="9">
        <v>135</v>
      </c>
      <c r="S28" s="9">
        <v>386</v>
      </c>
      <c r="T28" s="9">
        <v>496</v>
      </c>
      <c r="U28" s="9">
        <v>416</v>
      </c>
      <c r="V28" s="9">
        <v>420</v>
      </c>
      <c r="W28" s="9">
        <v>216</v>
      </c>
      <c r="X28" s="9">
        <v>289</v>
      </c>
    </row>
    <row r="29" spans="2:24" ht="31.5">
      <c r="B29" s="5" t="s">
        <v>57</v>
      </c>
      <c r="C29" s="1" t="s">
        <v>305</v>
      </c>
      <c r="D29" s="8" t="s">
        <v>273</v>
      </c>
      <c r="E29" s="10">
        <v>3302</v>
      </c>
      <c r="F29" s="10">
        <v>1677</v>
      </c>
      <c r="G29" s="10">
        <v>1567</v>
      </c>
      <c r="H29" s="10">
        <v>58</v>
      </c>
      <c r="I29" s="10">
        <v>259</v>
      </c>
      <c r="J29" s="10">
        <v>4</v>
      </c>
      <c r="K29" s="10">
        <v>46</v>
      </c>
      <c r="L29" s="10">
        <v>1057</v>
      </c>
      <c r="M29" s="10">
        <v>10</v>
      </c>
      <c r="N29" s="10">
        <v>2175</v>
      </c>
      <c r="O29" s="9">
        <f t="shared" si="1"/>
        <v>60</v>
      </c>
      <c r="P29" s="10">
        <v>0</v>
      </c>
      <c r="Q29" s="10">
        <v>142</v>
      </c>
      <c r="R29" s="10">
        <v>159</v>
      </c>
      <c r="S29" s="10">
        <v>350</v>
      </c>
      <c r="T29" s="10">
        <v>561</v>
      </c>
      <c r="U29" s="10">
        <v>592</v>
      </c>
      <c r="V29" s="10">
        <v>511</v>
      </c>
      <c r="W29" s="10">
        <v>282</v>
      </c>
      <c r="X29" s="10">
        <v>847</v>
      </c>
    </row>
    <row r="30" spans="2:24">
      <c r="B30" s="5" t="s">
        <v>59</v>
      </c>
      <c r="C30" s="8" t="s">
        <v>60</v>
      </c>
      <c r="D30" s="8" t="s">
        <v>274</v>
      </c>
      <c r="E30" s="9">
        <v>83</v>
      </c>
      <c r="F30" s="9">
        <v>47</v>
      </c>
      <c r="G30" s="9">
        <v>33</v>
      </c>
      <c r="H30" s="9">
        <v>3</v>
      </c>
      <c r="I30" s="9">
        <v>6</v>
      </c>
      <c r="J30" s="9">
        <v>3</v>
      </c>
      <c r="K30" s="9">
        <v>1</v>
      </c>
      <c r="L30" s="9">
        <v>13</v>
      </c>
      <c r="M30" s="9">
        <v>0</v>
      </c>
      <c r="N30" s="9">
        <v>58</v>
      </c>
      <c r="O30" s="9">
        <f t="shared" si="1"/>
        <v>4</v>
      </c>
      <c r="P30" s="9"/>
      <c r="Q30" s="9">
        <v>18</v>
      </c>
      <c r="R30" s="9">
        <v>6</v>
      </c>
      <c r="S30" s="9">
        <v>6</v>
      </c>
      <c r="T30" s="9">
        <v>12</v>
      </c>
      <c r="U30" s="9">
        <v>12</v>
      </c>
      <c r="V30" s="9">
        <v>20</v>
      </c>
      <c r="W30" s="9">
        <v>11</v>
      </c>
      <c r="X30" s="9">
        <v>16</v>
      </c>
    </row>
    <row r="31" spans="2:24">
      <c r="B31" s="5" t="s">
        <v>61</v>
      </c>
      <c r="C31" s="8" t="s">
        <v>62</v>
      </c>
      <c r="D31" s="8" t="s">
        <v>272</v>
      </c>
      <c r="E31" s="9">
        <v>17</v>
      </c>
      <c r="F31" s="9">
        <v>10</v>
      </c>
      <c r="G31" s="9">
        <v>7</v>
      </c>
      <c r="H31" s="9">
        <v>0</v>
      </c>
      <c r="I31" s="9">
        <v>1</v>
      </c>
      <c r="J31" s="9">
        <v>0</v>
      </c>
      <c r="K31" s="9">
        <v>0</v>
      </c>
      <c r="L31" s="9">
        <v>0</v>
      </c>
      <c r="M31" s="9">
        <v>0</v>
      </c>
      <c r="N31" s="9">
        <v>17</v>
      </c>
      <c r="O31" s="9">
        <f t="shared" si="1"/>
        <v>0</v>
      </c>
      <c r="P31" s="9"/>
      <c r="Q31" s="9">
        <v>0</v>
      </c>
      <c r="R31" s="9">
        <v>1</v>
      </c>
      <c r="S31" s="9">
        <v>0</v>
      </c>
      <c r="T31" s="9">
        <v>2</v>
      </c>
      <c r="U31" s="9">
        <v>5</v>
      </c>
      <c r="V31" s="9">
        <v>5</v>
      </c>
      <c r="W31" s="9">
        <v>1</v>
      </c>
      <c r="X31" s="9">
        <v>3</v>
      </c>
    </row>
    <row r="32" spans="2:24">
      <c r="B32" s="5" t="s">
        <v>63</v>
      </c>
      <c r="C32" s="8" t="s">
        <v>64</v>
      </c>
      <c r="D32" s="8" t="s">
        <v>274</v>
      </c>
      <c r="E32" s="9">
        <v>672</v>
      </c>
      <c r="F32" s="9">
        <v>302</v>
      </c>
      <c r="G32" s="9">
        <v>355</v>
      </c>
      <c r="H32" s="9">
        <v>15</v>
      </c>
      <c r="I32" s="9">
        <v>54</v>
      </c>
      <c r="J32" s="9">
        <v>0</v>
      </c>
      <c r="K32" s="9">
        <v>0</v>
      </c>
      <c r="L32" s="9">
        <v>91</v>
      </c>
      <c r="M32" s="9">
        <v>3</v>
      </c>
      <c r="N32" s="9">
        <v>348</v>
      </c>
      <c r="O32" s="9">
        <f t="shared" si="1"/>
        <v>3</v>
      </c>
      <c r="P32" s="9"/>
      <c r="Q32" s="9">
        <v>234</v>
      </c>
      <c r="R32" s="9">
        <v>48</v>
      </c>
      <c r="S32" s="9">
        <v>79</v>
      </c>
      <c r="T32" s="9">
        <v>112</v>
      </c>
      <c r="U32" s="9">
        <v>85</v>
      </c>
      <c r="V32" s="9">
        <v>93</v>
      </c>
      <c r="W32" s="9">
        <v>34</v>
      </c>
      <c r="X32" s="9">
        <v>221</v>
      </c>
    </row>
    <row r="33" spans="2:24">
      <c r="B33" s="5" t="s">
        <v>65</v>
      </c>
      <c r="C33" s="8" t="s">
        <v>66</v>
      </c>
      <c r="D33" s="8" t="s">
        <v>273</v>
      </c>
      <c r="E33" s="9">
        <v>175</v>
      </c>
      <c r="F33" s="9">
        <v>79</v>
      </c>
      <c r="G33" s="9">
        <v>95</v>
      </c>
      <c r="H33" s="9">
        <v>1</v>
      </c>
      <c r="I33" s="9">
        <v>5</v>
      </c>
      <c r="J33" s="9">
        <v>0</v>
      </c>
      <c r="K33" s="9">
        <v>0</v>
      </c>
      <c r="L33" s="9">
        <v>78</v>
      </c>
      <c r="M33" s="9">
        <v>1</v>
      </c>
      <c r="N33" s="9">
        <v>94</v>
      </c>
      <c r="O33" s="9">
        <f t="shared" si="1"/>
        <v>1</v>
      </c>
      <c r="P33" s="9"/>
      <c r="Q33" s="9">
        <v>6</v>
      </c>
      <c r="R33" s="9">
        <v>11</v>
      </c>
      <c r="S33" s="9">
        <v>38</v>
      </c>
      <c r="T33" s="9">
        <v>46</v>
      </c>
      <c r="U33" s="9">
        <v>34</v>
      </c>
      <c r="V33" s="9">
        <v>29</v>
      </c>
      <c r="W33" s="9">
        <v>9</v>
      </c>
      <c r="X33" s="9">
        <v>8</v>
      </c>
    </row>
    <row r="34" spans="2:24">
      <c r="B34" s="5" t="s">
        <v>67</v>
      </c>
      <c r="C34" s="8" t="s">
        <v>68</v>
      </c>
      <c r="D34" s="8" t="s">
        <v>272</v>
      </c>
      <c r="E34" s="9">
        <v>649</v>
      </c>
      <c r="F34" s="9">
        <v>319</v>
      </c>
      <c r="G34" s="9">
        <v>324</v>
      </c>
      <c r="H34" s="9">
        <v>6</v>
      </c>
      <c r="I34" s="9">
        <v>12</v>
      </c>
      <c r="J34" s="9">
        <v>2</v>
      </c>
      <c r="K34" s="9">
        <v>3</v>
      </c>
      <c r="L34" s="9">
        <v>415</v>
      </c>
      <c r="M34" s="9">
        <v>4</v>
      </c>
      <c r="N34" s="9">
        <v>217</v>
      </c>
      <c r="O34" s="9">
        <f t="shared" si="1"/>
        <v>9</v>
      </c>
      <c r="P34" s="9"/>
      <c r="Q34" s="9">
        <v>20</v>
      </c>
      <c r="R34" s="9">
        <v>64</v>
      </c>
      <c r="S34" s="9">
        <v>135</v>
      </c>
      <c r="T34" s="9">
        <v>143</v>
      </c>
      <c r="U34" s="9">
        <v>121</v>
      </c>
      <c r="V34" s="9">
        <v>97</v>
      </c>
      <c r="W34" s="9">
        <v>32</v>
      </c>
      <c r="X34" s="9">
        <v>57</v>
      </c>
    </row>
    <row r="35" spans="2:24">
      <c r="B35" s="5" t="s">
        <v>69</v>
      </c>
      <c r="C35" s="8" t="s">
        <v>70</v>
      </c>
      <c r="D35" s="8" t="s">
        <v>275</v>
      </c>
      <c r="E35" s="9">
        <v>228</v>
      </c>
      <c r="F35" s="9">
        <v>107</v>
      </c>
      <c r="G35" s="9">
        <v>119</v>
      </c>
      <c r="H35" s="9">
        <v>2</v>
      </c>
      <c r="I35" s="9">
        <v>3</v>
      </c>
      <c r="J35" s="9">
        <v>0</v>
      </c>
      <c r="K35" s="9">
        <v>0</v>
      </c>
      <c r="L35" s="9">
        <v>2</v>
      </c>
      <c r="M35" s="9">
        <v>0</v>
      </c>
      <c r="N35" s="9">
        <v>226</v>
      </c>
      <c r="O35" s="9">
        <f t="shared" si="1"/>
        <v>0</v>
      </c>
      <c r="P35" s="9"/>
      <c r="Q35" s="9">
        <v>1</v>
      </c>
      <c r="R35" s="9">
        <v>18</v>
      </c>
      <c r="S35" s="9">
        <v>52</v>
      </c>
      <c r="T35" s="9">
        <v>62</v>
      </c>
      <c r="U35" s="9">
        <v>48</v>
      </c>
      <c r="V35" s="9">
        <v>32</v>
      </c>
      <c r="W35" s="9">
        <v>11</v>
      </c>
      <c r="X35" s="9">
        <v>5</v>
      </c>
    </row>
    <row r="36" spans="2:24">
      <c r="B36" s="5" t="s">
        <v>71</v>
      </c>
      <c r="C36" s="8" t="s">
        <v>72</v>
      </c>
      <c r="D36" s="8" t="s">
        <v>271</v>
      </c>
      <c r="E36" s="9">
        <v>164</v>
      </c>
      <c r="F36" s="9">
        <v>71</v>
      </c>
      <c r="G36" s="9">
        <v>91</v>
      </c>
      <c r="H36" s="9">
        <v>2</v>
      </c>
      <c r="I36" s="9">
        <v>6</v>
      </c>
      <c r="J36" s="9">
        <v>0</v>
      </c>
      <c r="K36" s="9">
        <v>0</v>
      </c>
      <c r="L36" s="9">
        <v>49</v>
      </c>
      <c r="M36" s="9">
        <v>0</v>
      </c>
      <c r="N36" s="9">
        <v>115</v>
      </c>
      <c r="O36" s="9">
        <f t="shared" si="1"/>
        <v>0</v>
      </c>
      <c r="P36" s="9"/>
      <c r="Q36" s="9">
        <v>6</v>
      </c>
      <c r="R36" s="9">
        <v>9</v>
      </c>
      <c r="S36" s="9">
        <v>23</v>
      </c>
      <c r="T36" s="9">
        <v>22</v>
      </c>
      <c r="U36" s="9">
        <v>41</v>
      </c>
      <c r="V36" s="9">
        <v>31</v>
      </c>
      <c r="W36" s="9">
        <v>18</v>
      </c>
      <c r="X36" s="9">
        <v>20</v>
      </c>
    </row>
    <row r="37" spans="2:24">
      <c r="B37" s="5" t="s">
        <v>73</v>
      </c>
      <c r="C37" s="8" t="s">
        <v>74</v>
      </c>
      <c r="D37" s="8" t="s">
        <v>273</v>
      </c>
      <c r="E37" s="9">
        <v>126</v>
      </c>
      <c r="F37" s="9">
        <v>64</v>
      </c>
      <c r="G37" s="9">
        <v>58</v>
      </c>
      <c r="H37" s="9">
        <v>4</v>
      </c>
      <c r="I37" s="9">
        <v>2</v>
      </c>
      <c r="J37" s="9">
        <v>0</v>
      </c>
      <c r="K37" s="9">
        <v>0</v>
      </c>
      <c r="L37" s="9">
        <v>47</v>
      </c>
      <c r="M37" s="9">
        <v>0</v>
      </c>
      <c r="N37" s="9">
        <v>66</v>
      </c>
      <c r="O37" s="9">
        <f t="shared" si="1"/>
        <v>0</v>
      </c>
      <c r="P37" s="9"/>
      <c r="Q37" s="9">
        <v>15</v>
      </c>
      <c r="R37" s="9">
        <v>7</v>
      </c>
      <c r="S37" s="9">
        <v>21</v>
      </c>
      <c r="T37" s="9">
        <v>21</v>
      </c>
      <c r="U37" s="9">
        <v>14</v>
      </c>
      <c r="V37" s="9">
        <v>25</v>
      </c>
      <c r="W37" s="9">
        <v>6</v>
      </c>
      <c r="X37" s="9">
        <v>32</v>
      </c>
    </row>
    <row r="38" spans="2:24" ht="31.5">
      <c r="B38" s="5" t="s">
        <v>75</v>
      </c>
      <c r="C38" s="1" t="s">
        <v>306</v>
      </c>
      <c r="D38" s="8" t="s">
        <v>274</v>
      </c>
      <c r="E38" s="10">
        <v>7614</v>
      </c>
      <c r="F38" s="10">
        <v>3598</v>
      </c>
      <c r="G38" s="10">
        <v>3823</v>
      </c>
      <c r="H38" s="10">
        <v>193</v>
      </c>
      <c r="I38" s="10">
        <v>2484</v>
      </c>
      <c r="J38" s="10">
        <v>24</v>
      </c>
      <c r="K38" s="10">
        <v>456</v>
      </c>
      <c r="L38" s="10">
        <v>1979</v>
      </c>
      <c r="M38" s="10">
        <v>21</v>
      </c>
      <c r="N38" s="10">
        <v>5069</v>
      </c>
      <c r="O38" s="9">
        <f t="shared" si="1"/>
        <v>501</v>
      </c>
      <c r="P38" s="10">
        <v>0</v>
      </c>
      <c r="Q38" s="10">
        <v>427</v>
      </c>
      <c r="R38" s="10">
        <v>337</v>
      </c>
      <c r="S38" s="10">
        <v>940</v>
      </c>
      <c r="T38" s="10">
        <v>1622</v>
      </c>
      <c r="U38" s="10">
        <v>1449</v>
      </c>
      <c r="V38" s="10">
        <v>1363</v>
      </c>
      <c r="W38" s="10">
        <v>635</v>
      </c>
      <c r="X38" s="10">
        <v>1268</v>
      </c>
    </row>
    <row r="39" spans="2:24">
      <c r="B39" s="5" t="s">
        <v>77</v>
      </c>
      <c r="C39" s="8" t="s">
        <v>78</v>
      </c>
      <c r="D39" s="8" t="s">
        <v>274</v>
      </c>
      <c r="E39" s="9">
        <v>633</v>
      </c>
      <c r="F39" s="9">
        <v>332</v>
      </c>
      <c r="G39" s="9">
        <v>288</v>
      </c>
      <c r="H39" s="9">
        <v>13</v>
      </c>
      <c r="I39" s="9">
        <v>38</v>
      </c>
      <c r="J39" s="9">
        <v>2</v>
      </c>
      <c r="K39" s="9">
        <v>3</v>
      </c>
      <c r="L39" s="9">
        <v>154</v>
      </c>
      <c r="M39" s="9">
        <v>0</v>
      </c>
      <c r="N39" s="9">
        <v>448</v>
      </c>
      <c r="O39" s="9">
        <f t="shared" si="1"/>
        <v>5</v>
      </c>
      <c r="P39" s="9"/>
      <c r="Q39" s="9">
        <v>60</v>
      </c>
      <c r="R39" s="9">
        <v>28</v>
      </c>
      <c r="S39" s="9">
        <v>72</v>
      </c>
      <c r="T39" s="9">
        <v>124</v>
      </c>
      <c r="U39" s="9">
        <v>127</v>
      </c>
      <c r="V39" s="9">
        <v>94</v>
      </c>
      <c r="W39" s="9">
        <v>43</v>
      </c>
      <c r="X39" s="9">
        <v>145</v>
      </c>
    </row>
    <row r="40" spans="2:24">
      <c r="B40" s="5" t="s">
        <v>79</v>
      </c>
      <c r="C40" s="8" t="s">
        <v>80</v>
      </c>
      <c r="D40" s="8" t="s">
        <v>275</v>
      </c>
      <c r="E40" s="9">
        <v>126</v>
      </c>
      <c r="F40" s="9">
        <v>66</v>
      </c>
      <c r="G40" s="9">
        <v>58</v>
      </c>
      <c r="H40" s="9">
        <v>2</v>
      </c>
      <c r="I40" s="9">
        <v>8</v>
      </c>
      <c r="J40" s="9">
        <v>0</v>
      </c>
      <c r="K40" s="9">
        <v>2</v>
      </c>
      <c r="L40" s="9">
        <v>4</v>
      </c>
      <c r="M40" s="9">
        <v>0</v>
      </c>
      <c r="N40" s="9">
        <v>120</v>
      </c>
      <c r="O40" s="9">
        <f t="shared" si="1"/>
        <v>2</v>
      </c>
      <c r="P40" s="9"/>
      <c r="Q40" s="9">
        <v>3</v>
      </c>
      <c r="R40" s="9">
        <v>10</v>
      </c>
      <c r="S40" s="9">
        <v>22</v>
      </c>
      <c r="T40" s="9">
        <v>24</v>
      </c>
      <c r="U40" s="9">
        <v>24</v>
      </c>
      <c r="V40" s="9">
        <v>18</v>
      </c>
      <c r="W40" s="9">
        <v>10</v>
      </c>
      <c r="X40" s="9">
        <v>18</v>
      </c>
    </row>
    <row r="41" spans="2:24">
      <c r="B41" s="5" t="s">
        <v>81</v>
      </c>
      <c r="C41" s="8" t="s">
        <v>82</v>
      </c>
      <c r="D41" s="8" t="s">
        <v>273</v>
      </c>
      <c r="E41" s="9">
        <v>201</v>
      </c>
      <c r="F41" s="9">
        <v>93</v>
      </c>
      <c r="G41" s="9">
        <v>106</v>
      </c>
      <c r="H41" s="9">
        <v>2</v>
      </c>
      <c r="I41" s="9">
        <v>5</v>
      </c>
      <c r="J41" s="9">
        <v>0</v>
      </c>
      <c r="K41" s="9">
        <v>0</v>
      </c>
      <c r="L41" s="9">
        <v>37</v>
      </c>
      <c r="M41" s="9">
        <v>0</v>
      </c>
      <c r="N41" s="9">
        <v>143</v>
      </c>
      <c r="O41" s="9">
        <f t="shared" si="1"/>
        <v>0</v>
      </c>
      <c r="P41" s="9"/>
      <c r="Q41" s="9">
        <v>21</v>
      </c>
      <c r="R41" s="9">
        <v>3</v>
      </c>
      <c r="S41" s="9">
        <v>21</v>
      </c>
      <c r="T41" s="9">
        <v>46</v>
      </c>
      <c r="U41" s="9">
        <v>46</v>
      </c>
      <c r="V41" s="9">
        <v>34</v>
      </c>
      <c r="W41" s="9">
        <v>7</v>
      </c>
      <c r="X41" s="9">
        <v>44</v>
      </c>
    </row>
    <row r="42" spans="2:24">
      <c r="B42" s="5" t="s">
        <v>83</v>
      </c>
      <c r="C42" s="8" t="s">
        <v>84</v>
      </c>
      <c r="D42" s="8" t="s">
        <v>271</v>
      </c>
      <c r="E42" s="9">
        <v>137</v>
      </c>
      <c r="F42" s="9">
        <v>62</v>
      </c>
      <c r="G42" s="9">
        <v>75</v>
      </c>
      <c r="H42" s="9">
        <v>0</v>
      </c>
      <c r="I42" s="9">
        <v>0</v>
      </c>
      <c r="J42" s="9">
        <v>0</v>
      </c>
      <c r="K42" s="9">
        <v>0</v>
      </c>
      <c r="L42" s="9">
        <v>107</v>
      </c>
      <c r="M42" s="9">
        <v>0</v>
      </c>
      <c r="N42" s="9">
        <v>28</v>
      </c>
      <c r="O42" s="9">
        <f t="shared" si="1"/>
        <v>0</v>
      </c>
      <c r="P42" s="9"/>
      <c r="Q42" s="9">
        <v>3</v>
      </c>
      <c r="R42" s="9">
        <v>8</v>
      </c>
      <c r="S42" s="9">
        <v>22</v>
      </c>
      <c r="T42" s="9">
        <v>27</v>
      </c>
      <c r="U42" s="9">
        <v>12</v>
      </c>
      <c r="V42" s="9">
        <v>21</v>
      </c>
      <c r="W42" s="9">
        <v>10</v>
      </c>
      <c r="X42" s="9">
        <v>37</v>
      </c>
    </row>
    <row r="43" spans="2:24">
      <c r="B43" s="5" t="s">
        <v>85</v>
      </c>
      <c r="C43" s="8" t="s">
        <v>86</v>
      </c>
      <c r="D43" s="8" t="s">
        <v>272</v>
      </c>
      <c r="E43" s="9">
        <v>1377</v>
      </c>
      <c r="F43" s="9">
        <v>663</v>
      </c>
      <c r="G43" s="9">
        <v>689</v>
      </c>
      <c r="H43" s="9">
        <v>25</v>
      </c>
      <c r="I43" s="9">
        <v>72</v>
      </c>
      <c r="J43" s="9">
        <v>0</v>
      </c>
      <c r="K43" s="9">
        <v>0</v>
      </c>
      <c r="L43" s="9">
        <v>137</v>
      </c>
      <c r="M43" s="9">
        <v>2</v>
      </c>
      <c r="N43" s="9">
        <v>1204</v>
      </c>
      <c r="O43" s="9">
        <f t="shared" si="1"/>
        <v>2</v>
      </c>
      <c r="P43" s="9"/>
      <c r="Q43" s="9">
        <v>103</v>
      </c>
      <c r="R43" s="9">
        <v>130</v>
      </c>
      <c r="S43" s="9">
        <v>255</v>
      </c>
      <c r="T43" s="9">
        <v>297</v>
      </c>
      <c r="U43" s="9">
        <v>244</v>
      </c>
      <c r="V43" s="9">
        <v>230</v>
      </c>
      <c r="W43" s="9">
        <v>85</v>
      </c>
      <c r="X43" s="9">
        <v>136</v>
      </c>
    </row>
    <row r="44" spans="2:24">
      <c r="B44" s="5" t="s">
        <v>87</v>
      </c>
      <c r="C44" s="8" t="s">
        <v>88</v>
      </c>
      <c r="D44" s="8" t="s">
        <v>274</v>
      </c>
      <c r="E44" s="9">
        <v>1263</v>
      </c>
      <c r="F44" s="9">
        <v>587</v>
      </c>
      <c r="G44" s="9">
        <v>653</v>
      </c>
      <c r="H44" s="9">
        <v>23</v>
      </c>
      <c r="I44" s="9">
        <v>127</v>
      </c>
      <c r="J44" s="9">
        <v>5</v>
      </c>
      <c r="K44" s="9">
        <v>2</v>
      </c>
      <c r="L44" s="9">
        <v>78</v>
      </c>
      <c r="M44" s="9">
        <v>0</v>
      </c>
      <c r="N44" s="9">
        <v>845</v>
      </c>
      <c r="O44" s="9">
        <f t="shared" si="1"/>
        <v>7</v>
      </c>
      <c r="P44" s="9"/>
      <c r="Q44" s="9">
        <v>370</v>
      </c>
      <c r="R44" s="9">
        <v>87</v>
      </c>
      <c r="S44" s="9">
        <v>185</v>
      </c>
      <c r="T44" s="9">
        <v>257</v>
      </c>
      <c r="U44" s="9">
        <v>248</v>
      </c>
      <c r="V44" s="9">
        <v>206</v>
      </c>
      <c r="W44" s="9">
        <v>104</v>
      </c>
      <c r="X44" s="9">
        <v>176</v>
      </c>
    </row>
    <row r="45" spans="2:24">
      <c r="B45" s="5" t="s">
        <v>89</v>
      </c>
      <c r="C45" s="8" t="s">
        <v>90</v>
      </c>
      <c r="D45" s="8" t="s">
        <v>274</v>
      </c>
      <c r="E45" s="9">
        <v>362</v>
      </c>
      <c r="F45" s="9">
        <v>178</v>
      </c>
      <c r="G45" s="9">
        <v>183</v>
      </c>
      <c r="H45" s="9">
        <v>1</v>
      </c>
      <c r="I45" s="9">
        <v>30</v>
      </c>
      <c r="J45" s="9">
        <v>0</v>
      </c>
      <c r="K45" s="9">
        <v>1</v>
      </c>
      <c r="L45" s="9">
        <v>160</v>
      </c>
      <c r="M45" s="9">
        <v>6</v>
      </c>
      <c r="N45" s="9">
        <v>187</v>
      </c>
      <c r="O45" s="9">
        <f t="shared" si="1"/>
        <v>7</v>
      </c>
      <c r="P45" s="9"/>
      <c r="Q45" s="9">
        <v>23</v>
      </c>
      <c r="R45" s="9">
        <v>43</v>
      </c>
      <c r="S45" s="9">
        <v>89</v>
      </c>
      <c r="T45" s="9">
        <v>81</v>
      </c>
      <c r="U45" s="9">
        <v>58</v>
      </c>
      <c r="V45" s="9">
        <v>43</v>
      </c>
      <c r="W45" s="9">
        <v>10</v>
      </c>
      <c r="X45" s="9">
        <v>38</v>
      </c>
    </row>
    <row r="46" spans="2:24">
      <c r="B46" s="5" t="s">
        <v>91</v>
      </c>
      <c r="C46" s="8" t="s">
        <v>92</v>
      </c>
      <c r="D46" s="8" t="s">
        <v>275</v>
      </c>
      <c r="E46" s="9">
        <v>87</v>
      </c>
      <c r="F46" s="9">
        <v>50</v>
      </c>
      <c r="G46" s="9">
        <v>37</v>
      </c>
      <c r="H46" s="9">
        <v>0</v>
      </c>
      <c r="I46" s="9">
        <v>19</v>
      </c>
      <c r="J46" s="9">
        <v>0</v>
      </c>
      <c r="K46" s="9">
        <v>0</v>
      </c>
      <c r="L46" s="9">
        <v>18</v>
      </c>
      <c r="M46" s="9">
        <v>0</v>
      </c>
      <c r="N46" s="9">
        <v>79</v>
      </c>
      <c r="O46" s="9">
        <f t="shared" si="1"/>
        <v>0</v>
      </c>
      <c r="P46" s="9"/>
      <c r="Q46" s="9">
        <v>5</v>
      </c>
      <c r="R46" s="9">
        <v>9</v>
      </c>
      <c r="S46" s="9">
        <v>20</v>
      </c>
      <c r="T46" s="9">
        <v>21</v>
      </c>
      <c r="U46" s="9">
        <v>20</v>
      </c>
      <c r="V46" s="9">
        <v>9</v>
      </c>
      <c r="W46" s="9">
        <v>1</v>
      </c>
      <c r="X46" s="9">
        <v>7</v>
      </c>
    </row>
    <row r="47" spans="2:24">
      <c r="B47" s="5" t="s">
        <v>93</v>
      </c>
      <c r="C47" s="8" t="s">
        <v>94</v>
      </c>
      <c r="D47" s="8" t="s">
        <v>275</v>
      </c>
      <c r="E47" s="9">
        <v>463</v>
      </c>
      <c r="F47" s="9">
        <v>220</v>
      </c>
      <c r="G47" s="9">
        <v>240</v>
      </c>
      <c r="H47" s="9">
        <v>3</v>
      </c>
      <c r="I47" s="9">
        <v>4</v>
      </c>
      <c r="J47" s="9">
        <v>0</v>
      </c>
      <c r="K47" s="9">
        <v>0</v>
      </c>
      <c r="L47" s="9">
        <v>10</v>
      </c>
      <c r="M47" s="9">
        <v>0</v>
      </c>
      <c r="N47" s="9">
        <v>447</v>
      </c>
      <c r="O47" s="9">
        <f t="shared" si="1"/>
        <v>0</v>
      </c>
      <c r="P47" s="9"/>
      <c r="Q47" s="9">
        <v>7</v>
      </c>
      <c r="R47" s="9">
        <v>29</v>
      </c>
      <c r="S47" s="9">
        <v>75</v>
      </c>
      <c r="T47" s="9">
        <v>129</v>
      </c>
      <c r="U47" s="9">
        <v>81</v>
      </c>
      <c r="V47" s="9">
        <v>57</v>
      </c>
      <c r="W47" s="9">
        <v>18</v>
      </c>
      <c r="X47" s="9">
        <v>74</v>
      </c>
    </row>
    <row r="48" spans="2:24">
      <c r="B48" s="5" t="s">
        <v>95</v>
      </c>
      <c r="C48" s="8" t="s">
        <v>96</v>
      </c>
      <c r="D48" s="8" t="s">
        <v>271</v>
      </c>
      <c r="E48" s="9">
        <v>545</v>
      </c>
      <c r="F48" s="9">
        <v>258</v>
      </c>
      <c r="G48" s="9">
        <v>280</v>
      </c>
      <c r="H48" s="9">
        <v>7</v>
      </c>
      <c r="I48" s="9">
        <v>16</v>
      </c>
      <c r="J48" s="9">
        <v>0</v>
      </c>
      <c r="K48" s="9">
        <v>4</v>
      </c>
      <c r="L48" s="9">
        <v>60</v>
      </c>
      <c r="M48" s="9">
        <v>2</v>
      </c>
      <c r="N48" s="9">
        <v>430</v>
      </c>
      <c r="O48" s="9">
        <f t="shared" si="1"/>
        <v>6</v>
      </c>
      <c r="P48" s="9"/>
      <c r="Q48" s="9">
        <v>63</v>
      </c>
      <c r="R48" s="9">
        <v>24</v>
      </c>
      <c r="S48" s="9">
        <v>80</v>
      </c>
      <c r="T48" s="9">
        <v>121</v>
      </c>
      <c r="U48" s="9">
        <v>99</v>
      </c>
      <c r="V48" s="9">
        <v>102</v>
      </c>
      <c r="W48" s="9">
        <v>50</v>
      </c>
      <c r="X48" s="9">
        <v>69</v>
      </c>
    </row>
    <row r="49" spans="2:24">
      <c r="B49" s="5" t="s">
        <v>97</v>
      </c>
      <c r="C49" s="8" t="s">
        <v>98</v>
      </c>
      <c r="D49" s="8" t="s">
        <v>273</v>
      </c>
      <c r="E49" s="9">
        <v>89</v>
      </c>
      <c r="F49" s="9">
        <v>46</v>
      </c>
      <c r="G49" s="9">
        <v>42</v>
      </c>
      <c r="H49" s="9">
        <v>1</v>
      </c>
      <c r="I49" s="9">
        <v>2</v>
      </c>
      <c r="J49" s="9">
        <v>0</v>
      </c>
      <c r="K49" s="9">
        <v>1</v>
      </c>
      <c r="L49" s="9">
        <v>36</v>
      </c>
      <c r="M49" s="9">
        <v>0</v>
      </c>
      <c r="N49" s="9">
        <v>44</v>
      </c>
      <c r="O49" s="9">
        <f t="shared" si="1"/>
        <v>1</v>
      </c>
      <c r="P49" s="9"/>
      <c r="Q49" s="9">
        <v>13</v>
      </c>
      <c r="R49" s="9">
        <v>5</v>
      </c>
      <c r="S49" s="9">
        <v>12</v>
      </c>
      <c r="T49" s="9">
        <v>19</v>
      </c>
      <c r="U49" s="9">
        <v>10</v>
      </c>
      <c r="V49" s="9">
        <v>12</v>
      </c>
      <c r="W49" s="9">
        <v>4</v>
      </c>
      <c r="X49" s="9">
        <v>27</v>
      </c>
    </row>
    <row r="50" spans="2:24">
      <c r="B50" s="5" t="s">
        <v>99</v>
      </c>
      <c r="C50" s="8" t="s">
        <v>100</v>
      </c>
      <c r="D50" s="8" t="s">
        <v>275</v>
      </c>
      <c r="E50" s="9">
        <v>330</v>
      </c>
      <c r="F50" s="9">
        <v>156</v>
      </c>
      <c r="G50" s="9">
        <v>174</v>
      </c>
      <c r="H50" s="9">
        <v>0</v>
      </c>
      <c r="I50" s="9">
        <v>27</v>
      </c>
      <c r="J50" s="9">
        <v>0</v>
      </c>
      <c r="K50" s="9">
        <v>0</v>
      </c>
      <c r="L50" s="9">
        <v>14</v>
      </c>
      <c r="M50" s="9">
        <v>0</v>
      </c>
      <c r="N50" s="9">
        <v>318</v>
      </c>
      <c r="O50" s="9">
        <f t="shared" si="1"/>
        <v>0</v>
      </c>
      <c r="P50" s="9"/>
      <c r="Q50" s="9">
        <v>4</v>
      </c>
      <c r="R50" s="9">
        <v>22</v>
      </c>
      <c r="S50" s="9">
        <v>47</v>
      </c>
      <c r="T50" s="9">
        <v>80</v>
      </c>
      <c r="U50" s="9">
        <v>68</v>
      </c>
      <c r="V50" s="9">
        <v>66</v>
      </c>
      <c r="W50" s="9">
        <v>21</v>
      </c>
      <c r="X50" s="9">
        <v>26</v>
      </c>
    </row>
    <row r="51" spans="2:24">
      <c r="B51" s="5" t="s">
        <v>101</v>
      </c>
      <c r="C51" s="8" t="s">
        <v>102</v>
      </c>
      <c r="D51" s="8" t="s">
        <v>274</v>
      </c>
      <c r="E51" s="9">
        <v>208</v>
      </c>
      <c r="F51" s="9">
        <v>101</v>
      </c>
      <c r="G51" s="9">
        <v>106</v>
      </c>
      <c r="H51" s="9">
        <v>1</v>
      </c>
      <c r="I51" s="9">
        <v>4</v>
      </c>
      <c r="J51" s="9">
        <v>0</v>
      </c>
      <c r="K51" s="9">
        <v>1</v>
      </c>
      <c r="L51" s="9">
        <v>24</v>
      </c>
      <c r="M51" s="9">
        <v>0</v>
      </c>
      <c r="N51" s="9">
        <v>167</v>
      </c>
      <c r="O51" s="9">
        <f t="shared" si="1"/>
        <v>1</v>
      </c>
      <c r="P51" s="9"/>
      <c r="Q51" s="9">
        <v>23</v>
      </c>
      <c r="R51" s="9">
        <v>9</v>
      </c>
      <c r="S51" s="9">
        <v>27</v>
      </c>
      <c r="T51" s="9">
        <v>58</v>
      </c>
      <c r="U51" s="9">
        <v>34</v>
      </c>
      <c r="V51" s="9">
        <v>21</v>
      </c>
      <c r="W51" s="9">
        <v>8</v>
      </c>
      <c r="X51" s="9">
        <v>51</v>
      </c>
    </row>
    <row r="52" spans="2:24">
      <c r="B52" s="5" t="s">
        <v>103</v>
      </c>
      <c r="C52" s="1" t="s">
        <v>290</v>
      </c>
      <c r="D52" s="8" t="s">
        <v>271</v>
      </c>
      <c r="E52" s="10">
        <v>205</v>
      </c>
      <c r="F52" s="10">
        <v>101</v>
      </c>
      <c r="G52" s="10">
        <v>99</v>
      </c>
      <c r="H52" s="10">
        <v>5</v>
      </c>
      <c r="I52" s="10">
        <v>3</v>
      </c>
      <c r="J52" s="10">
        <v>0</v>
      </c>
      <c r="K52" s="10">
        <v>0</v>
      </c>
      <c r="L52" s="10">
        <v>153</v>
      </c>
      <c r="M52" s="10">
        <v>0</v>
      </c>
      <c r="N52" s="10">
        <v>42</v>
      </c>
      <c r="O52" s="9">
        <f t="shared" si="1"/>
        <v>0</v>
      </c>
      <c r="P52" s="10">
        <v>0</v>
      </c>
      <c r="Q52" s="10">
        <v>17</v>
      </c>
      <c r="R52" s="10">
        <v>19</v>
      </c>
      <c r="S52" s="10">
        <v>30</v>
      </c>
      <c r="T52" s="10">
        <v>41</v>
      </c>
      <c r="U52" s="10">
        <v>37</v>
      </c>
      <c r="V52" s="10">
        <v>36</v>
      </c>
      <c r="W52" s="10">
        <v>20</v>
      </c>
      <c r="X52" s="10">
        <v>22</v>
      </c>
    </row>
    <row r="53" spans="2:24">
      <c r="B53" s="5" t="s">
        <v>105</v>
      </c>
      <c r="C53" s="8" t="s">
        <v>106</v>
      </c>
      <c r="D53" s="8" t="s">
        <v>272</v>
      </c>
      <c r="E53" s="9">
        <v>344</v>
      </c>
      <c r="F53" s="9">
        <v>176</v>
      </c>
      <c r="G53" s="9">
        <v>166</v>
      </c>
      <c r="H53" s="9">
        <v>2</v>
      </c>
      <c r="I53" s="9">
        <v>5</v>
      </c>
      <c r="J53" s="9">
        <v>1</v>
      </c>
      <c r="K53" s="9">
        <v>0</v>
      </c>
      <c r="L53" s="9">
        <v>171</v>
      </c>
      <c r="M53" s="9">
        <v>0</v>
      </c>
      <c r="N53" s="9">
        <v>179</v>
      </c>
      <c r="O53" s="9">
        <f t="shared" si="1"/>
        <v>1</v>
      </c>
      <c r="P53" s="9"/>
      <c r="Q53" s="9">
        <v>11</v>
      </c>
      <c r="R53" s="9">
        <v>17</v>
      </c>
      <c r="S53" s="9">
        <v>59</v>
      </c>
      <c r="T53" s="9">
        <v>87</v>
      </c>
      <c r="U53" s="9">
        <v>82</v>
      </c>
      <c r="V53" s="9">
        <v>69</v>
      </c>
      <c r="W53" s="9">
        <v>11</v>
      </c>
      <c r="X53" s="9">
        <v>19</v>
      </c>
    </row>
    <row r="54" spans="2:24">
      <c r="B54" s="5" t="s">
        <v>107</v>
      </c>
      <c r="C54" s="8" t="s">
        <v>108</v>
      </c>
      <c r="D54" s="8" t="s">
        <v>271</v>
      </c>
      <c r="E54" s="9">
        <v>1587</v>
      </c>
      <c r="F54" s="9">
        <v>804</v>
      </c>
      <c r="G54" s="9">
        <v>756</v>
      </c>
      <c r="H54" s="9">
        <v>27</v>
      </c>
      <c r="I54" s="9">
        <v>56</v>
      </c>
      <c r="J54" s="9">
        <v>4</v>
      </c>
      <c r="K54" s="9">
        <v>8</v>
      </c>
      <c r="L54" s="9">
        <v>931</v>
      </c>
      <c r="M54" s="9">
        <v>1</v>
      </c>
      <c r="N54" s="9">
        <v>603</v>
      </c>
      <c r="O54" s="9">
        <f t="shared" si="1"/>
        <v>13</v>
      </c>
      <c r="P54" s="9"/>
      <c r="Q54" s="9">
        <v>120</v>
      </c>
      <c r="R54" s="9">
        <v>105</v>
      </c>
      <c r="S54" s="9">
        <v>254</v>
      </c>
      <c r="T54" s="9">
        <v>341</v>
      </c>
      <c r="U54" s="9">
        <v>271</v>
      </c>
      <c r="V54" s="9">
        <v>260</v>
      </c>
      <c r="W54" s="9">
        <v>95</v>
      </c>
      <c r="X54" s="9">
        <v>261</v>
      </c>
    </row>
    <row r="55" spans="2:24">
      <c r="B55" s="5" t="s">
        <v>109</v>
      </c>
      <c r="C55" s="8" t="s">
        <v>110</v>
      </c>
      <c r="D55" s="8" t="s">
        <v>273</v>
      </c>
      <c r="E55" s="9">
        <v>745</v>
      </c>
      <c r="F55" s="9">
        <v>349</v>
      </c>
      <c r="G55" s="9">
        <v>384</v>
      </c>
      <c r="H55" s="9">
        <v>12</v>
      </c>
      <c r="I55" s="9">
        <v>34</v>
      </c>
      <c r="J55" s="9">
        <v>1</v>
      </c>
      <c r="K55" s="9">
        <v>9</v>
      </c>
      <c r="L55" s="9">
        <v>153</v>
      </c>
      <c r="M55" s="9">
        <v>0</v>
      </c>
      <c r="N55" s="9">
        <v>586</v>
      </c>
      <c r="O55" s="9">
        <f t="shared" si="1"/>
        <v>10</v>
      </c>
      <c r="P55" s="9"/>
      <c r="Q55" s="9">
        <v>41</v>
      </c>
      <c r="R55" s="9">
        <v>38</v>
      </c>
      <c r="S55" s="9">
        <v>103</v>
      </c>
      <c r="T55" s="9">
        <v>151</v>
      </c>
      <c r="U55" s="9">
        <v>128</v>
      </c>
      <c r="V55" s="9">
        <v>122</v>
      </c>
      <c r="W55" s="9">
        <v>73</v>
      </c>
      <c r="X55" s="9">
        <v>130</v>
      </c>
    </row>
    <row r="56" spans="2:24">
      <c r="B56" s="5" t="s">
        <v>111</v>
      </c>
      <c r="C56" s="8" t="s">
        <v>112</v>
      </c>
      <c r="D56" s="8" t="s">
        <v>273</v>
      </c>
      <c r="E56" s="9">
        <v>2289</v>
      </c>
      <c r="F56" s="9">
        <v>1115</v>
      </c>
      <c r="G56" s="9">
        <v>1111</v>
      </c>
      <c r="H56" s="9">
        <v>63</v>
      </c>
      <c r="I56" s="9">
        <v>143</v>
      </c>
      <c r="J56" s="9">
        <v>11</v>
      </c>
      <c r="K56" s="9">
        <v>48</v>
      </c>
      <c r="L56" s="9">
        <v>1081</v>
      </c>
      <c r="M56" s="9">
        <v>5</v>
      </c>
      <c r="N56" s="9">
        <v>1101</v>
      </c>
      <c r="O56" s="9">
        <f t="shared" si="1"/>
        <v>64</v>
      </c>
      <c r="P56" s="9"/>
      <c r="Q56" s="9">
        <v>154</v>
      </c>
      <c r="R56" s="9">
        <v>127</v>
      </c>
      <c r="S56" s="9">
        <v>330</v>
      </c>
      <c r="T56" s="9">
        <v>440</v>
      </c>
      <c r="U56" s="9">
        <v>426</v>
      </c>
      <c r="V56" s="9">
        <v>345</v>
      </c>
      <c r="W56" s="9">
        <v>142</v>
      </c>
      <c r="X56" s="9">
        <v>479</v>
      </c>
    </row>
    <row r="57" spans="2:24">
      <c r="B57" s="5" t="s">
        <v>113</v>
      </c>
      <c r="C57" s="1" t="s">
        <v>310</v>
      </c>
      <c r="D57" s="8" t="s">
        <v>272</v>
      </c>
      <c r="E57" s="10">
        <v>1263</v>
      </c>
      <c r="F57" s="10">
        <v>603</v>
      </c>
      <c r="G57" s="10">
        <v>608</v>
      </c>
      <c r="H57" s="10">
        <v>52</v>
      </c>
      <c r="I57" s="10">
        <v>58</v>
      </c>
      <c r="J57" s="10">
        <v>0</v>
      </c>
      <c r="K57" s="10">
        <v>3</v>
      </c>
      <c r="L57" s="10">
        <v>336</v>
      </c>
      <c r="M57" s="10">
        <v>23</v>
      </c>
      <c r="N57" s="10">
        <v>737</v>
      </c>
      <c r="O57" s="9">
        <f t="shared" si="1"/>
        <v>26</v>
      </c>
      <c r="P57" s="10">
        <v>0</v>
      </c>
      <c r="Q57" s="10">
        <v>174</v>
      </c>
      <c r="R57" s="10">
        <v>109</v>
      </c>
      <c r="S57" s="10">
        <v>211</v>
      </c>
      <c r="T57" s="10">
        <v>258</v>
      </c>
      <c r="U57" s="10">
        <v>204</v>
      </c>
      <c r="V57" s="10">
        <v>167</v>
      </c>
      <c r="W57" s="10">
        <v>62</v>
      </c>
      <c r="X57" s="10">
        <v>252</v>
      </c>
    </row>
    <row r="58" spans="2:24">
      <c r="B58" s="5" t="s">
        <v>115</v>
      </c>
      <c r="C58" s="8" t="s">
        <v>116</v>
      </c>
      <c r="D58" s="8" t="s">
        <v>272</v>
      </c>
      <c r="E58" s="9">
        <v>49</v>
      </c>
      <c r="F58" s="9">
        <v>12</v>
      </c>
      <c r="G58" s="9">
        <v>34</v>
      </c>
      <c r="H58" s="9">
        <v>3</v>
      </c>
      <c r="I58" s="9">
        <v>1</v>
      </c>
      <c r="J58" s="9">
        <v>0</v>
      </c>
      <c r="K58" s="9">
        <v>0</v>
      </c>
      <c r="L58" s="9">
        <v>0</v>
      </c>
      <c r="M58" s="9">
        <v>0</v>
      </c>
      <c r="N58" s="9">
        <v>46</v>
      </c>
      <c r="O58" s="9">
        <f t="shared" si="1"/>
        <v>0</v>
      </c>
      <c r="P58" s="9"/>
      <c r="Q58" s="9">
        <v>3</v>
      </c>
      <c r="R58" s="9">
        <v>5</v>
      </c>
      <c r="S58" s="9">
        <v>2</v>
      </c>
      <c r="T58" s="9">
        <v>12</v>
      </c>
      <c r="U58" s="9">
        <v>4</v>
      </c>
      <c r="V58" s="9">
        <v>2</v>
      </c>
      <c r="W58" s="9">
        <v>2</v>
      </c>
      <c r="X58" s="9">
        <v>22</v>
      </c>
    </row>
    <row r="59" spans="2:24">
      <c r="B59" s="5" t="s">
        <v>117</v>
      </c>
      <c r="C59" s="8" t="s">
        <v>118</v>
      </c>
      <c r="D59" s="8" t="s">
        <v>273</v>
      </c>
      <c r="E59" s="9">
        <v>538</v>
      </c>
      <c r="F59" s="9">
        <v>243</v>
      </c>
      <c r="G59" s="9">
        <v>288</v>
      </c>
      <c r="H59" s="9">
        <v>7</v>
      </c>
      <c r="I59" s="9">
        <v>27</v>
      </c>
      <c r="J59" s="9">
        <v>2</v>
      </c>
      <c r="K59" s="9">
        <v>9</v>
      </c>
      <c r="L59" s="9">
        <v>240</v>
      </c>
      <c r="M59" s="9">
        <v>4</v>
      </c>
      <c r="N59" s="9">
        <v>261</v>
      </c>
      <c r="O59" s="9">
        <f t="shared" si="1"/>
        <v>15</v>
      </c>
      <c r="P59" s="9"/>
      <c r="Q59" s="9">
        <v>58</v>
      </c>
      <c r="R59" s="9">
        <v>36</v>
      </c>
      <c r="S59" s="9">
        <v>92</v>
      </c>
      <c r="T59" s="9">
        <v>122</v>
      </c>
      <c r="U59" s="9">
        <v>83</v>
      </c>
      <c r="V59" s="9">
        <v>65</v>
      </c>
      <c r="W59" s="9">
        <v>26</v>
      </c>
      <c r="X59" s="9">
        <v>114</v>
      </c>
    </row>
    <row r="60" spans="2:24">
      <c r="B60" s="5" t="s">
        <v>119</v>
      </c>
      <c r="C60" s="8" t="s">
        <v>120</v>
      </c>
      <c r="D60" s="8" t="s">
        <v>271</v>
      </c>
      <c r="E60" s="9">
        <v>285</v>
      </c>
      <c r="F60" s="9">
        <v>141</v>
      </c>
      <c r="G60" s="9">
        <v>144</v>
      </c>
      <c r="H60" s="9">
        <v>0</v>
      </c>
      <c r="I60" s="9">
        <v>13</v>
      </c>
      <c r="J60" s="9">
        <v>0</v>
      </c>
      <c r="K60" s="9">
        <v>0</v>
      </c>
      <c r="L60" s="9">
        <v>105</v>
      </c>
      <c r="M60" s="9">
        <v>0</v>
      </c>
      <c r="N60" s="9">
        <v>187</v>
      </c>
      <c r="O60" s="9">
        <f t="shared" si="1"/>
        <v>0</v>
      </c>
      <c r="P60" s="9"/>
      <c r="Q60" s="9">
        <v>2</v>
      </c>
      <c r="R60" s="9">
        <v>24</v>
      </c>
      <c r="S60" s="9">
        <v>53</v>
      </c>
      <c r="T60" s="9">
        <v>61</v>
      </c>
      <c r="U60" s="9">
        <v>50</v>
      </c>
      <c r="V60" s="9">
        <v>44</v>
      </c>
      <c r="W60" s="9">
        <v>20</v>
      </c>
      <c r="X60" s="9">
        <v>33</v>
      </c>
    </row>
    <row r="61" spans="2:24">
      <c r="B61" s="5" t="s">
        <v>121</v>
      </c>
      <c r="C61" s="8" t="s">
        <v>122</v>
      </c>
      <c r="D61" s="8" t="s">
        <v>271</v>
      </c>
      <c r="E61" s="9">
        <v>596</v>
      </c>
      <c r="F61" s="9">
        <v>334</v>
      </c>
      <c r="G61" s="9">
        <v>259</v>
      </c>
      <c r="H61" s="9">
        <v>3</v>
      </c>
      <c r="I61" s="9">
        <v>44</v>
      </c>
      <c r="J61" s="9">
        <v>0</v>
      </c>
      <c r="K61" s="9">
        <v>3</v>
      </c>
      <c r="L61" s="9">
        <v>200</v>
      </c>
      <c r="M61" s="9">
        <v>2</v>
      </c>
      <c r="N61" s="9">
        <v>411</v>
      </c>
      <c r="O61" s="9">
        <f t="shared" si="1"/>
        <v>5</v>
      </c>
      <c r="P61" s="9"/>
      <c r="Q61" s="9">
        <v>36</v>
      </c>
      <c r="R61" s="9">
        <v>43</v>
      </c>
      <c r="S61" s="9">
        <v>136</v>
      </c>
      <c r="T61" s="9">
        <v>134</v>
      </c>
      <c r="U61" s="9">
        <v>124</v>
      </c>
      <c r="V61" s="9">
        <v>88</v>
      </c>
      <c r="W61" s="9">
        <v>37</v>
      </c>
      <c r="X61" s="9">
        <v>34</v>
      </c>
    </row>
    <row r="62" spans="2:24">
      <c r="B62" s="5" t="s">
        <v>123</v>
      </c>
      <c r="C62" s="8" t="s">
        <v>124</v>
      </c>
      <c r="D62" s="8" t="s">
        <v>273</v>
      </c>
      <c r="E62" s="9">
        <v>83</v>
      </c>
      <c r="F62" s="9">
        <v>34</v>
      </c>
      <c r="G62" s="9">
        <v>48</v>
      </c>
      <c r="H62" s="9">
        <v>1</v>
      </c>
      <c r="I62" s="9">
        <v>3</v>
      </c>
      <c r="J62" s="9">
        <v>0</v>
      </c>
      <c r="K62" s="9">
        <v>0</v>
      </c>
      <c r="L62" s="9">
        <v>32</v>
      </c>
      <c r="M62" s="9">
        <v>1</v>
      </c>
      <c r="N62" s="9">
        <v>50</v>
      </c>
      <c r="O62" s="9">
        <f t="shared" si="1"/>
        <v>1</v>
      </c>
      <c r="P62" s="9"/>
      <c r="Q62" s="9">
        <v>4</v>
      </c>
      <c r="R62" s="9">
        <v>4</v>
      </c>
      <c r="S62" s="9">
        <v>19</v>
      </c>
      <c r="T62" s="9">
        <v>20</v>
      </c>
      <c r="U62" s="9">
        <v>13</v>
      </c>
      <c r="V62" s="9">
        <v>12</v>
      </c>
      <c r="W62" s="9">
        <v>5</v>
      </c>
      <c r="X62" s="9">
        <v>10</v>
      </c>
    </row>
    <row r="63" spans="2:24">
      <c r="B63" s="5" t="s">
        <v>125</v>
      </c>
      <c r="C63" s="8" t="s">
        <v>126</v>
      </c>
      <c r="D63" s="8" t="s">
        <v>274</v>
      </c>
      <c r="E63" s="9">
        <v>155</v>
      </c>
      <c r="F63" s="9">
        <v>80</v>
      </c>
      <c r="G63" s="9">
        <v>74</v>
      </c>
      <c r="H63" s="9">
        <v>1</v>
      </c>
      <c r="I63" s="9">
        <v>4</v>
      </c>
      <c r="J63" s="9">
        <v>0</v>
      </c>
      <c r="K63" s="9">
        <v>2</v>
      </c>
      <c r="L63" s="9">
        <v>43</v>
      </c>
      <c r="M63" s="9">
        <v>0</v>
      </c>
      <c r="N63" s="9">
        <v>103</v>
      </c>
      <c r="O63" s="9">
        <f t="shared" si="1"/>
        <v>2</v>
      </c>
      <c r="P63" s="9"/>
      <c r="Q63" s="9">
        <v>14</v>
      </c>
      <c r="R63" s="9">
        <v>7</v>
      </c>
      <c r="S63" s="9">
        <v>23</v>
      </c>
      <c r="T63" s="9">
        <v>35</v>
      </c>
      <c r="U63" s="9">
        <v>29</v>
      </c>
      <c r="V63" s="9">
        <v>19</v>
      </c>
      <c r="W63" s="9">
        <v>8</v>
      </c>
      <c r="X63" s="9">
        <v>34</v>
      </c>
    </row>
    <row r="64" spans="2:24">
      <c r="B64" s="5" t="s">
        <v>127</v>
      </c>
      <c r="C64" s="8" t="s">
        <v>128</v>
      </c>
      <c r="D64" s="8" t="s">
        <v>273</v>
      </c>
      <c r="E64" s="9">
        <v>100</v>
      </c>
      <c r="F64" s="9">
        <v>57</v>
      </c>
      <c r="G64" s="9">
        <v>43</v>
      </c>
      <c r="H64" s="9">
        <v>0</v>
      </c>
      <c r="I64" s="9">
        <v>1</v>
      </c>
      <c r="J64" s="9">
        <v>0</v>
      </c>
      <c r="K64" s="9">
        <v>0</v>
      </c>
      <c r="L64" s="9">
        <v>17</v>
      </c>
      <c r="M64" s="9">
        <v>0</v>
      </c>
      <c r="N64" s="9">
        <v>74</v>
      </c>
      <c r="O64" s="9">
        <f t="shared" si="1"/>
        <v>0</v>
      </c>
      <c r="P64" s="9"/>
      <c r="Q64" s="9">
        <v>13</v>
      </c>
      <c r="R64" s="9">
        <v>7</v>
      </c>
      <c r="S64" s="9">
        <v>15</v>
      </c>
      <c r="T64" s="9">
        <v>16</v>
      </c>
      <c r="U64" s="9">
        <v>14</v>
      </c>
      <c r="V64" s="9">
        <v>12</v>
      </c>
      <c r="W64" s="9">
        <v>2</v>
      </c>
      <c r="X64" s="9">
        <v>34</v>
      </c>
    </row>
    <row r="65" spans="2:24">
      <c r="B65" s="5" t="s">
        <v>129</v>
      </c>
      <c r="C65" s="8" t="s">
        <v>130</v>
      </c>
      <c r="D65" s="8" t="s">
        <v>273</v>
      </c>
      <c r="E65" s="9">
        <v>75</v>
      </c>
      <c r="F65" s="9">
        <v>51</v>
      </c>
      <c r="G65" s="9">
        <v>23</v>
      </c>
      <c r="H65" s="9">
        <v>1</v>
      </c>
      <c r="I65" s="9">
        <v>0</v>
      </c>
      <c r="J65" s="9">
        <v>0</v>
      </c>
      <c r="K65" s="9">
        <v>0</v>
      </c>
      <c r="L65" s="9">
        <v>38</v>
      </c>
      <c r="M65" s="9">
        <v>0</v>
      </c>
      <c r="N65" s="9">
        <v>37</v>
      </c>
      <c r="O65" s="9">
        <f t="shared" si="1"/>
        <v>0</v>
      </c>
      <c r="P65" s="9"/>
      <c r="Q65" s="9">
        <v>2</v>
      </c>
      <c r="R65" s="9">
        <v>3</v>
      </c>
      <c r="S65" s="9">
        <v>5</v>
      </c>
      <c r="T65" s="9">
        <v>9</v>
      </c>
      <c r="U65" s="9">
        <v>12</v>
      </c>
      <c r="V65" s="9">
        <v>7</v>
      </c>
      <c r="W65" s="9">
        <v>1</v>
      </c>
      <c r="X65" s="9">
        <v>38</v>
      </c>
    </row>
    <row r="66" spans="2:24">
      <c r="B66" s="5" t="s">
        <v>131</v>
      </c>
      <c r="C66" s="8" t="s">
        <v>132</v>
      </c>
      <c r="D66" s="8" t="s">
        <v>275</v>
      </c>
      <c r="E66" s="9">
        <v>645</v>
      </c>
      <c r="F66" s="9">
        <v>331</v>
      </c>
      <c r="G66" s="9">
        <v>311</v>
      </c>
      <c r="H66" s="9">
        <v>3</v>
      </c>
      <c r="I66" s="9">
        <v>12</v>
      </c>
      <c r="J66" s="9">
        <v>0</v>
      </c>
      <c r="K66" s="9">
        <v>0</v>
      </c>
      <c r="L66" s="9">
        <v>9</v>
      </c>
      <c r="M66" s="9">
        <v>5</v>
      </c>
      <c r="N66" s="9">
        <v>619</v>
      </c>
      <c r="O66" s="9">
        <f t="shared" si="1"/>
        <v>5</v>
      </c>
      <c r="P66" s="9"/>
      <c r="Q66" s="9">
        <v>14</v>
      </c>
      <c r="R66" s="9">
        <v>68</v>
      </c>
      <c r="S66" s="9">
        <v>152</v>
      </c>
      <c r="T66" s="9">
        <v>143</v>
      </c>
      <c r="U66" s="9">
        <v>117</v>
      </c>
      <c r="V66" s="9">
        <v>92</v>
      </c>
      <c r="W66" s="9">
        <v>37</v>
      </c>
      <c r="X66" s="9">
        <v>36</v>
      </c>
    </row>
    <row r="67" spans="2:24">
      <c r="B67" s="5" t="s">
        <v>133</v>
      </c>
      <c r="C67" s="8" t="s">
        <v>134</v>
      </c>
      <c r="D67" s="8" t="s">
        <v>274</v>
      </c>
      <c r="E67" s="9">
        <v>2983</v>
      </c>
      <c r="F67" s="9">
        <v>1451</v>
      </c>
      <c r="G67" s="9">
        <v>1465</v>
      </c>
      <c r="H67" s="9">
        <v>67</v>
      </c>
      <c r="I67" s="9">
        <v>502</v>
      </c>
      <c r="J67" s="9">
        <v>0</v>
      </c>
      <c r="K67" s="9">
        <v>38</v>
      </c>
      <c r="L67" s="9">
        <v>104</v>
      </c>
      <c r="M67" s="9">
        <v>0</v>
      </c>
      <c r="N67" s="9">
        <v>305</v>
      </c>
      <c r="O67" s="9">
        <f t="shared" si="1"/>
        <v>38</v>
      </c>
      <c r="P67" s="9"/>
      <c r="Q67" s="9">
        <v>2557</v>
      </c>
      <c r="R67" s="9">
        <v>118</v>
      </c>
      <c r="S67" s="9">
        <v>277</v>
      </c>
      <c r="T67" s="9">
        <v>552</v>
      </c>
      <c r="U67" s="9">
        <v>615</v>
      </c>
      <c r="V67" s="9">
        <v>557</v>
      </c>
      <c r="W67" s="9">
        <v>224</v>
      </c>
      <c r="X67" s="9">
        <v>640</v>
      </c>
    </row>
    <row r="68" spans="2:24">
      <c r="B68" s="5" t="s">
        <v>135</v>
      </c>
      <c r="C68" s="8" t="s">
        <v>136</v>
      </c>
      <c r="D68" s="8" t="s">
        <v>274</v>
      </c>
      <c r="E68" s="9">
        <v>524</v>
      </c>
      <c r="F68" s="9">
        <v>259</v>
      </c>
      <c r="G68" s="9">
        <v>256</v>
      </c>
      <c r="H68" s="9">
        <v>9</v>
      </c>
      <c r="I68" s="9">
        <v>9</v>
      </c>
      <c r="J68" s="9">
        <v>5</v>
      </c>
      <c r="K68" s="9">
        <v>2</v>
      </c>
      <c r="L68" s="9">
        <v>117</v>
      </c>
      <c r="M68" s="9">
        <v>0</v>
      </c>
      <c r="N68" s="9">
        <v>392</v>
      </c>
      <c r="O68" s="9">
        <f t="shared" si="1"/>
        <v>7</v>
      </c>
      <c r="P68" s="9"/>
      <c r="Q68" s="9">
        <v>42</v>
      </c>
      <c r="R68" s="9">
        <v>39</v>
      </c>
      <c r="S68" s="9">
        <v>75</v>
      </c>
      <c r="T68" s="9">
        <v>99</v>
      </c>
      <c r="U68" s="9">
        <v>101</v>
      </c>
      <c r="V68" s="9">
        <v>82</v>
      </c>
      <c r="W68" s="9">
        <v>15</v>
      </c>
      <c r="X68" s="9">
        <v>113</v>
      </c>
    </row>
    <row r="69" spans="2:24">
      <c r="B69" s="5" t="s">
        <v>137</v>
      </c>
      <c r="C69" s="8" t="s">
        <v>138</v>
      </c>
      <c r="D69" s="8" t="s">
        <v>273</v>
      </c>
      <c r="E69" s="9">
        <v>102</v>
      </c>
      <c r="F69" s="9">
        <v>43</v>
      </c>
      <c r="G69" s="9">
        <v>59</v>
      </c>
      <c r="H69" s="9">
        <v>0</v>
      </c>
      <c r="I69" s="9">
        <v>3</v>
      </c>
      <c r="J69" s="9">
        <v>0</v>
      </c>
      <c r="K69" s="9">
        <v>0</v>
      </c>
      <c r="L69" s="9">
        <v>41</v>
      </c>
      <c r="M69" s="9">
        <v>0</v>
      </c>
      <c r="N69" s="9">
        <v>58</v>
      </c>
      <c r="O69" s="9">
        <f t="shared" si="1"/>
        <v>0</v>
      </c>
      <c r="P69" s="9"/>
      <c r="Q69" s="9">
        <v>3</v>
      </c>
      <c r="R69" s="9">
        <v>8</v>
      </c>
      <c r="S69" s="9">
        <v>13</v>
      </c>
      <c r="T69" s="9">
        <v>25</v>
      </c>
      <c r="U69" s="9">
        <v>14</v>
      </c>
      <c r="V69" s="9">
        <v>24</v>
      </c>
      <c r="W69" s="9">
        <v>3</v>
      </c>
      <c r="X69" s="9">
        <v>15</v>
      </c>
    </row>
    <row r="70" spans="2:24">
      <c r="B70" s="5" t="s">
        <v>139</v>
      </c>
      <c r="C70" s="8" t="s">
        <v>140</v>
      </c>
      <c r="D70" s="8" t="s">
        <v>272</v>
      </c>
      <c r="E70" s="9">
        <v>1240</v>
      </c>
      <c r="F70" s="9">
        <v>569</v>
      </c>
      <c r="G70" s="9">
        <v>653</v>
      </c>
      <c r="H70" s="9">
        <v>18</v>
      </c>
      <c r="I70" s="9">
        <v>37</v>
      </c>
      <c r="J70" s="9">
        <v>3</v>
      </c>
      <c r="K70" s="9">
        <v>4</v>
      </c>
      <c r="L70" s="9">
        <v>766</v>
      </c>
      <c r="M70" s="9">
        <v>0</v>
      </c>
      <c r="N70" s="9">
        <v>503</v>
      </c>
      <c r="O70" s="9">
        <f t="shared" ref="O70:O125" si="2">+M70+K70+J70</f>
        <v>7</v>
      </c>
      <c r="P70" s="9"/>
      <c r="Q70" s="9">
        <v>38</v>
      </c>
      <c r="R70" s="9">
        <v>128</v>
      </c>
      <c r="S70" s="9">
        <v>244</v>
      </c>
      <c r="T70" s="9">
        <v>292</v>
      </c>
      <c r="U70" s="9">
        <v>186</v>
      </c>
      <c r="V70" s="9">
        <v>156</v>
      </c>
      <c r="W70" s="9">
        <v>54</v>
      </c>
      <c r="X70" s="9">
        <v>180</v>
      </c>
    </row>
    <row r="71" spans="2:24">
      <c r="B71" s="5" t="s">
        <v>141</v>
      </c>
      <c r="C71" s="8" t="s">
        <v>142</v>
      </c>
      <c r="D71" s="8" t="s">
        <v>274</v>
      </c>
      <c r="E71" s="9">
        <v>128</v>
      </c>
      <c r="F71" s="9">
        <v>59</v>
      </c>
      <c r="G71" s="9">
        <v>68</v>
      </c>
      <c r="H71" s="9">
        <v>1</v>
      </c>
      <c r="I71" s="9">
        <v>8</v>
      </c>
      <c r="J71" s="9">
        <v>0</v>
      </c>
      <c r="K71" s="9">
        <v>2</v>
      </c>
      <c r="L71" s="9">
        <v>21</v>
      </c>
      <c r="M71" s="9">
        <v>1</v>
      </c>
      <c r="N71" s="9">
        <v>111</v>
      </c>
      <c r="O71" s="9">
        <f t="shared" si="2"/>
        <v>3</v>
      </c>
      <c r="P71" s="9"/>
      <c r="Q71" s="9">
        <v>4</v>
      </c>
      <c r="R71" s="9">
        <v>14</v>
      </c>
      <c r="S71" s="9">
        <v>13</v>
      </c>
      <c r="T71" s="9">
        <v>28</v>
      </c>
      <c r="U71" s="9">
        <v>24</v>
      </c>
      <c r="V71" s="9">
        <v>21</v>
      </c>
      <c r="W71" s="9">
        <v>10</v>
      </c>
      <c r="X71" s="9">
        <v>18</v>
      </c>
    </row>
    <row r="72" spans="2:24">
      <c r="B72" s="5" t="s">
        <v>143</v>
      </c>
      <c r="C72" s="8" t="s">
        <v>144</v>
      </c>
      <c r="D72" s="8" t="s">
        <v>274</v>
      </c>
      <c r="E72" s="9">
        <v>343</v>
      </c>
      <c r="F72" s="9">
        <v>170</v>
      </c>
      <c r="G72" s="9">
        <v>169</v>
      </c>
      <c r="H72" s="9">
        <v>4</v>
      </c>
      <c r="I72" s="9">
        <v>129</v>
      </c>
      <c r="J72" s="9">
        <v>0</v>
      </c>
      <c r="K72" s="9">
        <v>4</v>
      </c>
      <c r="L72" s="9">
        <v>95</v>
      </c>
      <c r="M72" s="9">
        <v>1</v>
      </c>
      <c r="N72" s="9">
        <v>243</v>
      </c>
      <c r="O72" s="9">
        <f t="shared" si="2"/>
        <v>5</v>
      </c>
      <c r="P72" s="9"/>
      <c r="Q72" s="9">
        <v>19</v>
      </c>
      <c r="R72" s="9">
        <v>25</v>
      </c>
      <c r="S72" s="9">
        <v>51</v>
      </c>
      <c r="T72" s="9">
        <v>76</v>
      </c>
      <c r="U72" s="9">
        <v>77</v>
      </c>
      <c r="V72" s="9">
        <v>52</v>
      </c>
      <c r="W72" s="9">
        <v>9</v>
      </c>
      <c r="X72" s="9">
        <v>53</v>
      </c>
    </row>
    <row r="73" spans="2:24">
      <c r="B73" s="5" t="s">
        <v>145</v>
      </c>
      <c r="C73" s="8" t="s">
        <v>146</v>
      </c>
      <c r="D73" s="8" t="s">
        <v>274</v>
      </c>
      <c r="E73" s="9">
        <v>145</v>
      </c>
      <c r="F73" s="9">
        <v>71</v>
      </c>
      <c r="G73" s="9">
        <v>70</v>
      </c>
      <c r="H73" s="9">
        <v>4</v>
      </c>
      <c r="I73" s="9">
        <v>46</v>
      </c>
      <c r="J73" s="9">
        <v>0</v>
      </c>
      <c r="K73" s="9">
        <v>6</v>
      </c>
      <c r="L73" s="9">
        <v>18</v>
      </c>
      <c r="M73" s="9">
        <v>0</v>
      </c>
      <c r="N73" s="9">
        <v>106</v>
      </c>
      <c r="O73" s="9">
        <f t="shared" si="2"/>
        <v>6</v>
      </c>
      <c r="P73" s="9"/>
      <c r="Q73" s="9">
        <v>22</v>
      </c>
      <c r="R73" s="9">
        <v>4</v>
      </c>
      <c r="S73" s="9">
        <v>16</v>
      </c>
      <c r="T73" s="9">
        <v>17</v>
      </c>
      <c r="U73" s="9">
        <v>21</v>
      </c>
      <c r="V73" s="9">
        <v>17</v>
      </c>
      <c r="W73" s="9">
        <v>8</v>
      </c>
      <c r="X73" s="9">
        <v>62</v>
      </c>
    </row>
    <row r="74" spans="2:24">
      <c r="B74" s="5" t="s">
        <v>147</v>
      </c>
      <c r="C74" s="8" t="s">
        <v>148</v>
      </c>
      <c r="D74" s="8" t="s">
        <v>271</v>
      </c>
      <c r="E74" s="9">
        <v>162</v>
      </c>
      <c r="F74" s="9">
        <v>83</v>
      </c>
      <c r="G74" s="9">
        <v>78</v>
      </c>
      <c r="H74" s="9">
        <v>1</v>
      </c>
      <c r="I74" s="9">
        <v>5</v>
      </c>
      <c r="J74" s="9">
        <v>0</v>
      </c>
      <c r="K74" s="9">
        <v>2</v>
      </c>
      <c r="L74" s="9">
        <v>42</v>
      </c>
      <c r="M74" s="9">
        <v>0</v>
      </c>
      <c r="N74" s="9">
        <v>124</v>
      </c>
      <c r="O74" s="9">
        <f t="shared" si="2"/>
        <v>2</v>
      </c>
      <c r="P74" s="9"/>
      <c r="Q74" s="9">
        <v>12</v>
      </c>
      <c r="R74" s="9">
        <v>12</v>
      </c>
      <c r="S74" s="9">
        <v>20</v>
      </c>
      <c r="T74" s="9">
        <v>21</v>
      </c>
      <c r="U74" s="9">
        <v>33</v>
      </c>
      <c r="V74" s="9">
        <v>22</v>
      </c>
      <c r="W74" s="9">
        <v>13</v>
      </c>
      <c r="X74" s="9">
        <v>41</v>
      </c>
    </row>
    <row r="75" spans="2:24">
      <c r="B75" s="5" t="s">
        <v>149</v>
      </c>
      <c r="C75" s="8" t="s">
        <v>150</v>
      </c>
      <c r="D75" s="8" t="s">
        <v>272</v>
      </c>
      <c r="E75" s="9">
        <v>390</v>
      </c>
      <c r="F75" s="9">
        <v>182</v>
      </c>
      <c r="G75" s="9">
        <v>208</v>
      </c>
      <c r="H75" s="9">
        <v>0</v>
      </c>
      <c r="I75" s="9">
        <v>5</v>
      </c>
      <c r="J75" s="9">
        <v>0</v>
      </c>
      <c r="K75" s="9">
        <v>0</v>
      </c>
      <c r="L75" s="9">
        <v>190</v>
      </c>
      <c r="M75" s="9">
        <v>0</v>
      </c>
      <c r="N75" s="9">
        <v>196</v>
      </c>
      <c r="O75" s="9">
        <f t="shared" si="2"/>
        <v>0</v>
      </c>
      <c r="P75" s="9"/>
      <c r="Q75" s="9">
        <v>11</v>
      </c>
      <c r="R75" s="9">
        <v>20</v>
      </c>
      <c r="S75" s="9">
        <v>44</v>
      </c>
      <c r="T75" s="9">
        <v>95</v>
      </c>
      <c r="U75" s="9">
        <v>82</v>
      </c>
      <c r="V75" s="9">
        <v>56</v>
      </c>
      <c r="W75" s="9">
        <v>19</v>
      </c>
      <c r="X75" s="9">
        <v>74</v>
      </c>
    </row>
    <row r="76" spans="2:24">
      <c r="B76" s="5" t="s">
        <v>151</v>
      </c>
      <c r="C76" s="8" t="s">
        <v>152</v>
      </c>
      <c r="D76" s="8" t="s">
        <v>273</v>
      </c>
      <c r="E76" s="9">
        <v>164</v>
      </c>
      <c r="F76" s="9">
        <v>77</v>
      </c>
      <c r="G76" s="9">
        <v>82</v>
      </c>
      <c r="H76" s="9">
        <v>5</v>
      </c>
      <c r="I76" s="9">
        <v>2</v>
      </c>
      <c r="J76" s="9">
        <v>0</v>
      </c>
      <c r="K76" s="9">
        <v>0</v>
      </c>
      <c r="L76" s="9">
        <v>45</v>
      </c>
      <c r="M76" s="9">
        <v>0</v>
      </c>
      <c r="N76" s="9">
        <v>102</v>
      </c>
      <c r="O76" s="9">
        <f t="shared" si="2"/>
        <v>0</v>
      </c>
      <c r="P76" s="9"/>
      <c r="Q76" s="9">
        <v>19</v>
      </c>
      <c r="R76" s="9">
        <v>7</v>
      </c>
      <c r="S76" s="9">
        <v>22</v>
      </c>
      <c r="T76" s="9">
        <v>21</v>
      </c>
      <c r="U76" s="9">
        <v>28</v>
      </c>
      <c r="V76" s="9">
        <v>19</v>
      </c>
      <c r="W76" s="9">
        <v>10</v>
      </c>
      <c r="X76" s="9">
        <v>57</v>
      </c>
    </row>
    <row r="77" spans="2:24">
      <c r="B77" s="5" t="s">
        <v>153</v>
      </c>
      <c r="C77" s="8" t="s">
        <v>154</v>
      </c>
      <c r="D77" s="8" t="s">
        <v>275</v>
      </c>
      <c r="E77" s="9">
        <v>573</v>
      </c>
      <c r="F77" s="9">
        <v>279</v>
      </c>
      <c r="G77" s="9">
        <v>291</v>
      </c>
      <c r="H77" s="9">
        <v>3</v>
      </c>
      <c r="I77" s="9">
        <v>9</v>
      </c>
      <c r="J77" s="9">
        <v>1</v>
      </c>
      <c r="K77" s="9">
        <v>1</v>
      </c>
      <c r="L77" s="9">
        <v>37</v>
      </c>
      <c r="M77" s="9">
        <v>0</v>
      </c>
      <c r="N77" s="9">
        <v>526</v>
      </c>
      <c r="O77" s="9">
        <f t="shared" si="2"/>
        <v>2</v>
      </c>
      <c r="P77" s="9"/>
      <c r="Q77" s="9">
        <v>21</v>
      </c>
      <c r="R77" s="9">
        <v>48</v>
      </c>
      <c r="S77" s="9">
        <v>108</v>
      </c>
      <c r="T77" s="9">
        <v>134</v>
      </c>
      <c r="U77" s="9">
        <v>118</v>
      </c>
      <c r="V77" s="9">
        <v>88</v>
      </c>
      <c r="W77" s="9">
        <v>26</v>
      </c>
      <c r="X77" s="9">
        <v>51</v>
      </c>
    </row>
    <row r="78" spans="2:24">
      <c r="B78" s="5" t="s">
        <v>155</v>
      </c>
      <c r="C78" s="8" t="s">
        <v>156</v>
      </c>
      <c r="D78" s="8" t="s">
        <v>272</v>
      </c>
      <c r="E78" s="9">
        <v>172</v>
      </c>
      <c r="F78" s="9">
        <v>68</v>
      </c>
      <c r="G78" s="9">
        <v>103</v>
      </c>
      <c r="H78" s="9">
        <v>1</v>
      </c>
      <c r="I78" s="9">
        <v>2</v>
      </c>
      <c r="J78" s="9">
        <v>0</v>
      </c>
      <c r="K78" s="9">
        <v>0</v>
      </c>
      <c r="L78" s="9">
        <v>13</v>
      </c>
      <c r="M78" s="9">
        <v>0</v>
      </c>
      <c r="N78" s="9">
        <v>154</v>
      </c>
      <c r="O78" s="9">
        <f t="shared" si="2"/>
        <v>0</v>
      </c>
      <c r="P78" s="9"/>
      <c r="Q78" s="9">
        <v>10</v>
      </c>
      <c r="R78" s="9">
        <v>10</v>
      </c>
      <c r="S78" s="9">
        <v>30</v>
      </c>
      <c r="T78" s="9">
        <v>40</v>
      </c>
      <c r="U78" s="9">
        <v>26</v>
      </c>
      <c r="V78" s="9">
        <v>28</v>
      </c>
      <c r="W78" s="9">
        <v>18</v>
      </c>
      <c r="X78" s="9">
        <v>20</v>
      </c>
    </row>
    <row r="79" spans="2:24">
      <c r="B79" s="5" t="s">
        <v>157</v>
      </c>
      <c r="C79" s="8" t="s">
        <v>158</v>
      </c>
      <c r="D79" s="8" t="s">
        <v>273</v>
      </c>
      <c r="E79" s="9">
        <v>165</v>
      </c>
      <c r="F79" s="9">
        <v>83</v>
      </c>
      <c r="G79" s="9">
        <v>77</v>
      </c>
      <c r="H79" s="9">
        <v>5</v>
      </c>
      <c r="I79" s="9">
        <v>1</v>
      </c>
      <c r="J79" s="9">
        <v>0</v>
      </c>
      <c r="K79" s="9">
        <v>0</v>
      </c>
      <c r="L79" s="9">
        <v>23</v>
      </c>
      <c r="M79" s="9">
        <v>0</v>
      </c>
      <c r="N79" s="9">
        <v>124</v>
      </c>
      <c r="O79" s="9">
        <f t="shared" si="2"/>
        <v>0</v>
      </c>
      <c r="P79" s="9"/>
      <c r="Q79" s="9">
        <v>23</v>
      </c>
      <c r="R79" s="9">
        <v>13</v>
      </c>
      <c r="S79" s="9">
        <v>15</v>
      </c>
      <c r="T79" s="9">
        <v>21</v>
      </c>
      <c r="U79" s="9">
        <v>22</v>
      </c>
      <c r="V79" s="9">
        <v>32</v>
      </c>
      <c r="W79" s="9">
        <v>15</v>
      </c>
      <c r="X79" s="9">
        <v>47</v>
      </c>
    </row>
    <row r="80" spans="2:24">
      <c r="B80" s="5" t="s">
        <v>159</v>
      </c>
      <c r="C80" s="8" t="s">
        <v>160</v>
      </c>
      <c r="D80" s="8" t="s">
        <v>271</v>
      </c>
      <c r="E80" s="9">
        <v>2604</v>
      </c>
      <c r="F80" s="9">
        <v>1279</v>
      </c>
      <c r="G80" s="9">
        <v>1282</v>
      </c>
      <c r="H80" s="9">
        <v>43</v>
      </c>
      <c r="I80" s="9">
        <v>144</v>
      </c>
      <c r="J80" s="9">
        <v>4</v>
      </c>
      <c r="K80" s="9">
        <v>21</v>
      </c>
      <c r="L80" s="9">
        <v>1561</v>
      </c>
      <c r="M80" s="9">
        <v>14</v>
      </c>
      <c r="N80" s="9">
        <v>895</v>
      </c>
      <c r="O80" s="9">
        <f t="shared" si="2"/>
        <v>39</v>
      </c>
      <c r="P80" s="9"/>
      <c r="Q80" s="9">
        <v>283</v>
      </c>
      <c r="R80" s="9">
        <v>158</v>
      </c>
      <c r="S80" s="9">
        <v>399</v>
      </c>
      <c r="T80" s="9">
        <v>499</v>
      </c>
      <c r="U80" s="9">
        <v>412</v>
      </c>
      <c r="V80" s="9">
        <v>372</v>
      </c>
      <c r="W80" s="9">
        <v>145</v>
      </c>
      <c r="X80" s="9">
        <v>619</v>
      </c>
    </row>
    <row r="81" spans="2:24">
      <c r="B81" s="5" t="s">
        <v>161</v>
      </c>
      <c r="C81" s="8" t="s">
        <v>162</v>
      </c>
      <c r="D81" s="8" t="s">
        <v>271</v>
      </c>
      <c r="E81" s="9">
        <v>3167</v>
      </c>
      <c r="F81" s="9">
        <v>1558</v>
      </c>
      <c r="G81" s="9">
        <v>1542</v>
      </c>
      <c r="H81" s="9">
        <v>67</v>
      </c>
      <c r="I81" s="9">
        <v>124</v>
      </c>
      <c r="J81" s="9">
        <v>11</v>
      </c>
      <c r="K81" s="9">
        <v>42</v>
      </c>
      <c r="L81" s="9">
        <v>2162</v>
      </c>
      <c r="M81" s="9">
        <v>8</v>
      </c>
      <c r="N81" s="9">
        <v>973</v>
      </c>
      <c r="O81" s="9">
        <f t="shared" si="2"/>
        <v>61</v>
      </c>
      <c r="P81" s="9"/>
      <c r="Q81" s="9">
        <v>139</v>
      </c>
      <c r="R81" s="9">
        <v>253</v>
      </c>
      <c r="S81" s="9">
        <v>502</v>
      </c>
      <c r="T81" s="9">
        <v>599</v>
      </c>
      <c r="U81" s="9">
        <v>561</v>
      </c>
      <c r="V81" s="9">
        <v>465</v>
      </c>
      <c r="W81" s="9">
        <v>214</v>
      </c>
      <c r="X81" s="9">
        <v>573</v>
      </c>
    </row>
    <row r="82" spans="2:24">
      <c r="B82" s="5" t="s">
        <v>163</v>
      </c>
      <c r="C82" s="8" t="s">
        <v>164</v>
      </c>
      <c r="D82" s="8" t="s">
        <v>271</v>
      </c>
      <c r="E82" s="9">
        <v>91</v>
      </c>
      <c r="F82" s="9">
        <v>44</v>
      </c>
      <c r="G82" s="9">
        <v>47</v>
      </c>
      <c r="H82" s="9">
        <v>0</v>
      </c>
      <c r="I82" s="9">
        <v>6</v>
      </c>
      <c r="J82" s="9">
        <v>1</v>
      </c>
      <c r="K82" s="9">
        <v>2</v>
      </c>
      <c r="L82" s="9">
        <v>42</v>
      </c>
      <c r="M82" s="9">
        <v>2</v>
      </c>
      <c r="N82" s="9">
        <v>45</v>
      </c>
      <c r="O82" s="9">
        <f t="shared" si="2"/>
        <v>5</v>
      </c>
      <c r="P82" s="9"/>
      <c r="Q82" s="9">
        <v>0</v>
      </c>
      <c r="R82" s="9">
        <v>6</v>
      </c>
      <c r="S82" s="9">
        <v>10</v>
      </c>
      <c r="T82" s="9">
        <v>26</v>
      </c>
      <c r="U82" s="9">
        <v>19</v>
      </c>
      <c r="V82" s="9">
        <v>12</v>
      </c>
      <c r="W82" s="9">
        <v>6</v>
      </c>
      <c r="X82" s="9">
        <v>12</v>
      </c>
    </row>
    <row r="83" spans="2:24">
      <c r="B83" s="5" t="s">
        <v>165</v>
      </c>
      <c r="C83" s="8" t="s">
        <v>166</v>
      </c>
      <c r="D83" s="8" t="s">
        <v>273</v>
      </c>
      <c r="E83" s="9">
        <v>98</v>
      </c>
      <c r="F83" s="9">
        <v>58</v>
      </c>
      <c r="G83" s="9">
        <v>39</v>
      </c>
      <c r="H83" s="9">
        <v>1</v>
      </c>
      <c r="I83" s="9">
        <v>5</v>
      </c>
      <c r="J83" s="9">
        <v>0</v>
      </c>
      <c r="K83" s="9">
        <v>0</v>
      </c>
      <c r="L83" s="9">
        <v>49</v>
      </c>
      <c r="M83" s="9">
        <v>0</v>
      </c>
      <c r="N83" s="9">
        <v>52</v>
      </c>
      <c r="O83" s="9">
        <f t="shared" si="2"/>
        <v>0</v>
      </c>
      <c r="P83" s="9"/>
      <c r="Q83" s="9">
        <v>2</v>
      </c>
      <c r="R83" s="9">
        <v>5</v>
      </c>
      <c r="S83" s="9">
        <v>11</v>
      </c>
      <c r="T83" s="9">
        <v>21</v>
      </c>
      <c r="U83" s="9">
        <v>29</v>
      </c>
      <c r="V83" s="9">
        <v>18</v>
      </c>
      <c r="W83" s="9">
        <v>1</v>
      </c>
      <c r="X83" s="9">
        <v>13</v>
      </c>
    </row>
    <row r="84" spans="2:24">
      <c r="B84" s="5" t="s">
        <v>167</v>
      </c>
      <c r="C84" s="8" t="s">
        <v>168</v>
      </c>
      <c r="D84" s="8" t="s">
        <v>275</v>
      </c>
      <c r="E84" s="9">
        <v>49</v>
      </c>
      <c r="F84" s="9">
        <v>21</v>
      </c>
      <c r="G84" s="9">
        <v>28</v>
      </c>
      <c r="H84" s="9">
        <v>0</v>
      </c>
      <c r="I84" s="9">
        <v>0</v>
      </c>
      <c r="J84" s="9">
        <v>0</v>
      </c>
      <c r="K84" s="9">
        <v>0</v>
      </c>
      <c r="L84" s="9">
        <v>7</v>
      </c>
      <c r="M84" s="9">
        <v>0</v>
      </c>
      <c r="N84" s="9">
        <v>48</v>
      </c>
      <c r="O84" s="9">
        <f t="shared" si="2"/>
        <v>0</v>
      </c>
      <c r="P84" s="9"/>
      <c r="Q84" s="9">
        <v>0</v>
      </c>
      <c r="R84" s="9">
        <v>3</v>
      </c>
      <c r="S84" s="9">
        <v>8</v>
      </c>
      <c r="T84" s="9">
        <v>7</v>
      </c>
      <c r="U84" s="9">
        <v>14</v>
      </c>
      <c r="V84" s="9">
        <v>10</v>
      </c>
      <c r="W84" s="9">
        <v>1</v>
      </c>
      <c r="X84" s="9">
        <v>6</v>
      </c>
    </row>
    <row r="85" spans="2:24">
      <c r="B85" s="5" t="s">
        <v>169</v>
      </c>
      <c r="C85" s="8" t="s">
        <v>170</v>
      </c>
      <c r="D85" s="8" t="s">
        <v>273</v>
      </c>
      <c r="E85" s="9">
        <v>72</v>
      </c>
      <c r="F85" s="9">
        <v>35</v>
      </c>
      <c r="G85" s="9">
        <v>37</v>
      </c>
      <c r="H85" s="9">
        <v>0</v>
      </c>
      <c r="I85" s="9">
        <v>1</v>
      </c>
      <c r="J85" s="9">
        <v>0</v>
      </c>
      <c r="K85" s="9">
        <v>0</v>
      </c>
      <c r="L85" s="9">
        <v>30</v>
      </c>
      <c r="M85" s="9">
        <v>0</v>
      </c>
      <c r="N85" s="9">
        <v>40</v>
      </c>
      <c r="O85" s="9">
        <f t="shared" si="2"/>
        <v>0</v>
      </c>
      <c r="P85" s="9"/>
      <c r="Q85" s="9">
        <v>2</v>
      </c>
      <c r="R85" s="9">
        <v>9</v>
      </c>
      <c r="S85" s="9">
        <v>5</v>
      </c>
      <c r="T85" s="9">
        <v>8</v>
      </c>
      <c r="U85" s="9">
        <v>13</v>
      </c>
      <c r="V85" s="9">
        <v>13</v>
      </c>
      <c r="W85" s="9">
        <v>8</v>
      </c>
      <c r="X85" s="9">
        <v>16</v>
      </c>
    </row>
    <row r="86" spans="2:24">
      <c r="B86" s="5" t="s">
        <v>171</v>
      </c>
      <c r="C86" s="8" t="s">
        <v>172</v>
      </c>
      <c r="D86" s="8" t="s">
        <v>274</v>
      </c>
      <c r="E86" s="9">
        <v>370</v>
      </c>
      <c r="F86" s="9">
        <v>176</v>
      </c>
      <c r="G86" s="9">
        <v>192</v>
      </c>
      <c r="H86" s="9">
        <v>2</v>
      </c>
      <c r="I86" s="9">
        <v>26</v>
      </c>
      <c r="J86" s="9">
        <v>0</v>
      </c>
      <c r="K86" s="9">
        <v>2</v>
      </c>
      <c r="L86" s="9">
        <v>75</v>
      </c>
      <c r="M86" s="9">
        <v>1</v>
      </c>
      <c r="N86" s="9">
        <v>288</v>
      </c>
      <c r="O86" s="9">
        <f t="shared" si="2"/>
        <v>3</v>
      </c>
      <c r="P86" s="9"/>
      <c r="Q86" s="9">
        <v>17</v>
      </c>
      <c r="R86" s="9">
        <v>24</v>
      </c>
      <c r="S86" s="9">
        <v>74</v>
      </c>
      <c r="T86" s="9">
        <v>75</v>
      </c>
      <c r="U86" s="9">
        <v>61</v>
      </c>
      <c r="V86" s="9">
        <v>74</v>
      </c>
      <c r="W86" s="9">
        <v>31</v>
      </c>
      <c r="X86" s="9">
        <v>31</v>
      </c>
    </row>
    <row r="87" spans="2:24">
      <c r="B87" s="5" t="s">
        <v>173</v>
      </c>
      <c r="C87" s="8" t="s">
        <v>174</v>
      </c>
      <c r="D87" s="8" t="s">
        <v>274</v>
      </c>
      <c r="E87" s="9">
        <v>286</v>
      </c>
      <c r="F87" s="9">
        <v>123</v>
      </c>
      <c r="G87" s="9">
        <v>159</v>
      </c>
      <c r="H87" s="9">
        <v>4</v>
      </c>
      <c r="I87" s="9">
        <v>5</v>
      </c>
      <c r="J87" s="9">
        <v>0</v>
      </c>
      <c r="K87" s="9">
        <v>0</v>
      </c>
      <c r="L87" s="9">
        <v>11</v>
      </c>
      <c r="M87" s="9">
        <v>0</v>
      </c>
      <c r="N87" s="9">
        <v>277</v>
      </c>
      <c r="O87" s="9">
        <f t="shared" si="2"/>
        <v>0</v>
      </c>
      <c r="P87" s="9"/>
      <c r="Q87" s="9">
        <v>0</v>
      </c>
      <c r="R87" s="9">
        <v>24</v>
      </c>
      <c r="S87" s="9">
        <v>34</v>
      </c>
      <c r="T87" s="9">
        <v>71</v>
      </c>
      <c r="U87" s="9">
        <v>47</v>
      </c>
      <c r="V87" s="9">
        <v>48</v>
      </c>
      <c r="W87" s="9">
        <v>18</v>
      </c>
      <c r="X87" s="9">
        <v>44</v>
      </c>
    </row>
    <row r="88" spans="2:24">
      <c r="B88" s="5" t="s">
        <v>175</v>
      </c>
      <c r="C88" s="8" t="s">
        <v>176</v>
      </c>
      <c r="D88" s="8" t="s">
        <v>275</v>
      </c>
      <c r="E88" s="9">
        <v>179</v>
      </c>
      <c r="F88" s="9">
        <v>88</v>
      </c>
      <c r="G88" s="9">
        <v>88</v>
      </c>
      <c r="H88" s="9">
        <v>3</v>
      </c>
      <c r="I88" s="9">
        <v>9</v>
      </c>
      <c r="J88" s="9">
        <v>0</v>
      </c>
      <c r="K88" s="9">
        <v>0</v>
      </c>
      <c r="L88" s="9">
        <v>22</v>
      </c>
      <c r="M88" s="9">
        <v>0</v>
      </c>
      <c r="N88" s="9">
        <v>149</v>
      </c>
      <c r="O88" s="9">
        <f t="shared" si="2"/>
        <v>0</v>
      </c>
      <c r="P88" s="9"/>
      <c r="Q88" s="9">
        <v>10</v>
      </c>
      <c r="R88" s="9">
        <v>20</v>
      </c>
      <c r="S88" s="9">
        <v>38</v>
      </c>
      <c r="T88" s="9">
        <v>53</v>
      </c>
      <c r="U88" s="9">
        <v>28</v>
      </c>
      <c r="V88" s="9">
        <v>13</v>
      </c>
      <c r="W88" s="9">
        <v>14</v>
      </c>
      <c r="X88" s="9">
        <v>13</v>
      </c>
    </row>
    <row r="89" spans="2:24">
      <c r="B89" s="5" t="s">
        <v>177</v>
      </c>
      <c r="C89" s="8" t="s">
        <v>178</v>
      </c>
      <c r="D89" s="8" t="s">
        <v>273</v>
      </c>
      <c r="E89" s="9">
        <v>321</v>
      </c>
      <c r="F89" s="9">
        <v>153</v>
      </c>
      <c r="G89" s="9">
        <v>161</v>
      </c>
      <c r="H89" s="9">
        <v>7</v>
      </c>
      <c r="I89" s="9">
        <v>11</v>
      </c>
      <c r="J89" s="9">
        <v>0</v>
      </c>
      <c r="K89" s="9">
        <v>0</v>
      </c>
      <c r="L89" s="9">
        <v>256</v>
      </c>
      <c r="M89" s="9">
        <v>2</v>
      </c>
      <c r="N89" s="9">
        <v>46</v>
      </c>
      <c r="O89" s="9">
        <f t="shared" si="2"/>
        <v>2</v>
      </c>
      <c r="P89" s="9"/>
      <c r="Q89" s="9">
        <v>23</v>
      </c>
      <c r="R89" s="9">
        <v>33</v>
      </c>
      <c r="S89" s="9">
        <v>60</v>
      </c>
      <c r="T89" s="9">
        <v>68</v>
      </c>
      <c r="U89" s="9">
        <v>40</v>
      </c>
      <c r="V89" s="9">
        <v>34</v>
      </c>
      <c r="W89" s="9">
        <v>18</v>
      </c>
      <c r="X89" s="9">
        <v>68</v>
      </c>
    </row>
    <row r="90" spans="2:24">
      <c r="B90" s="5" t="s">
        <v>179</v>
      </c>
      <c r="C90" s="8" t="s">
        <v>180</v>
      </c>
      <c r="D90" s="8" t="s">
        <v>272</v>
      </c>
      <c r="E90" s="9">
        <v>614</v>
      </c>
      <c r="F90" s="9">
        <v>269</v>
      </c>
      <c r="G90" s="9">
        <v>330</v>
      </c>
      <c r="H90" s="9">
        <v>15</v>
      </c>
      <c r="I90" s="9">
        <v>19</v>
      </c>
      <c r="J90" s="9">
        <v>2</v>
      </c>
      <c r="K90" s="9">
        <v>0</v>
      </c>
      <c r="L90" s="9">
        <v>132</v>
      </c>
      <c r="M90" s="9">
        <v>5</v>
      </c>
      <c r="N90" s="9">
        <v>461</v>
      </c>
      <c r="O90" s="9">
        <f t="shared" si="2"/>
        <v>7</v>
      </c>
      <c r="P90" s="9"/>
      <c r="Q90" s="9">
        <v>55</v>
      </c>
      <c r="R90" s="9">
        <v>42</v>
      </c>
      <c r="S90" s="9">
        <v>91</v>
      </c>
      <c r="T90" s="9">
        <v>128</v>
      </c>
      <c r="U90" s="9">
        <v>79</v>
      </c>
      <c r="V90" s="9">
        <v>95</v>
      </c>
      <c r="W90" s="9">
        <v>31</v>
      </c>
      <c r="X90" s="9">
        <v>148</v>
      </c>
    </row>
    <row r="91" spans="2:24">
      <c r="B91" s="5" t="s">
        <v>181</v>
      </c>
      <c r="C91" s="8" t="s">
        <v>182</v>
      </c>
      <c r="D91" s="8" t="s">
        <v>271</v>
      </c>
      <c r="E91" s="9">
        <v>1806</v>
      </c>
      <c r="F91" s="9">
        <v>884</v>
      </c>
      <c r="G91" s="9">
        <v>866</v>
      </c>
      <c r="H91" s="9">
        <v>56</v>
      </c>
      <c r="I91" s="9">
        <v>45</v>
      </c>
      <c r="J91" s="9">
        <v>1</v>
      </c>
      <c r="K91" s="9">
        <v>15</v>
      </c>
      <c r="L91" s="9">
        <v>1209</v>
      </c>
      <c r="M91" s="9">
        <v>4</v>
      </c>
      <c r="N91" s="9">
        <v>510</v>
      </c>
      <c r="O91" s="9">
        <f t="shared" si="2"/>
        <v>20</v>
      </c>
      <c r="P91" s="9"/>
      <c r="Q91" s="9">
        <v>114</v>
      </c>
      <c r="R91" s="9">
        <v>128</v>
      </c>
      <c r="S91" s="9">
        <v>348</v>
      </c>
      <c r="T91" s="9">
        <v>404</v>
      </c>
      <c r="U91" s="9">
        <v>275</v>
      </c>
      <c r="V91" s="9">
        <v>235</v>
      </c>
      <c r="W91" s="9">
        <v>106</v>
      </c>
      <c r="X91" s="9">
        <v>310</v>
      </c>
    </row>
    <row r="92" spans="2:24">
      <c r="B92" s="5" t="s">
        <v>183</v>
      </c>
      <c r="C92" s="8" t="s">
        <v>184</v>
      </c>
      <c r="D92" s="8" t="s">
        <v>273</v>
      </c>
      <c r="E92" s="9">
        <v>104</v>
      </c>
      <c r="F92" s="9">
        <v>45</v>
      </c>
      <c r="G92" s="9">
        <v>57</v>
      </c>
      <c r="H92" s="9">
        <v>2</v>
      </c>
      <c r="I92" s="9">
        <v>1</v>
      </c>
      <c r="J92" s="9">
        <v>0</v>
      </c>
      <c r="K92" s="9">
        <v>3</v>
      </c>
      <c r="L92" s="9">
        <v>14</v>
      </c>
      <c r="M92" s="9">
        <v>0</v>
      </c>
      <c r="N92" s="9">
        <v>80</v>
      </c>
      <c r="O92" s="9">
        <f t="shared" si="2"/>
        <v>3</v>
      </c>
      <c r="P92" s="9"/>
      <c r="Q92" s="9">
        <v>13</v>
      </c>
      <c r="R92" s="9">
        <v>4</v>
      </c>
      <c r="S92" s="9">
        <v>18</v>
      </c>
      <c r="T92" s="9">
        <v>18</v>
      </c>
      <c r="U92" s="9">
        <v>23</v>
      </c>
      <c r="V92" s="9">
        <v>18</v>
      </c>
      <c r="W92" s="9">
        <v>3</v>
      </c>
      <c r="X92" s="9">
        <v>20</v>
      </c>
    </row>
    <row r="93" spans="2:24">
      <c r="B93" s="5" t="s">
        <v>185</v>
      </c>
      <c r="C93" s="8" t="s">
        <v>186</v>
      </c>
      <c r="D93" s="8" t="s">
        <v>273</v>
      </c>
      <c r="E93" s="9">
        <v>186</v>
      </c>
      <c r="F93" s="9">
        <v>88</v>
      </c>
      <c r="G93" s="9">
        <v>94</v>
      </c>
      <c r="H93" s="9">
        <v>4</v>
      </c>
      <c r="I93" s="9">
        <v>6</v>
      </c>
      <c r="J93" s="9">
        <v>0</v>
      </c>
      <c r="K93" s="9">
        <v>0</v>
      </c>
      <c r="L93" s="9">
        <v>95</v>
      </c>
      <c r="M93" s="9">
        <v>1</v>
      </c>
      <c r="N93" s="9">
        <v>88</v>
      </c>
      <c r="O93" s="9">
        <f t="shared" si="2"/>
        <v>1</v>
      </c>
      <c r="P93" s="9"/>
      <c r="Q93" s="9">
        <v>11</v>
      </c>
      <c r="R93" s="9">
        <v>12</v>
      </c>
      <c r="S93" s="9">
        <v>33</v>
      </c>
      <c r="T93" s="9">
        <v>42</v>
      </c>
      <c r="U93" s="9">
        <v>40</v>
      </c>
      <c r="V93" s="9">
        <v>22</v>
      </c>
      <c r="W93" s="9">
        <v>16</v>
      </c>
      <c r="X93" s="9">
        <v>21</v>
      </c>
    </row>
    <row r="94" spans="2:24">
      <c r="B94" s="5" t="s">
        <v>187</v>
      </c>
      <c r="C94" s="8" t="s">
        <v>188</v>
      </c>
      <c r="D94" s="8" t="s">
        <v>271</v>
      </c>
      <c r="E94" s="9">
        <v>171</v>
      </c>
      <c r="F94" s="9">
        <v>81</v>
      </c>
      <c r="G94" s="9">
        <v>90</v>
      </c>
      <c r="H94" s="9">
        <v>0</v>
      </c>
      <c r="I94" s="9">
        <v>6</v>
      </c>
      <c r="J94" s="9">
        <v>0</v>
      </c>
      <c r="K94" s="9">
        <v>3</v>
      </c>
      <c r="L94" s="9">
        <v>54</v>
      </c>
      <c r="M94" s="9">
        <v>0</v>
      </c>
      <c r="N94" s="9">
        <v>108</v>
      </c>
      <c r="O94" s="9">
        <f t="shared" si="2"/>
        <v>3</v>
      </c>
      <c r="P94" s="9"/>
      <c r="Q94" s="9">
        <v>14</v>
      </c>
      <c r="R94" s="9">
        <v>9</v>
      </c>
      <c r="S94" s="9">
        <v>30</v>
      </c>
      <c r="T94" s="9">
        <v>35</v>
      </c>
      <c r="U94" s="9">
        <v>26</v>
      </c>
      <c r="V94" s="9">
        <v>30</v>
      </c>
      <c r="W94" s="9">
        <v>14</v>
      </c>
      <c r="X94" s="9">
        <v>27</v>
      </c>
    </row>
    <row r="95" spans="2:24">
      <c r="B95" s="5" t="s">
        <v>189</v>
      </c>
      <c r="C95" s="8" t="s">
        <v>190</v>
      </c>
      <c r="D95" s="8" t="s">
        <v>274</v>
      </c>
      <c r="E95" s="9">
        <v>5581</v>
      </c>
      <c r="F95" s="9">
        <v>2630</v>
      </c>
      <c r="G95" s="9">
        <v>2848</v>
      </c>
      <c r="H95" s="9">
        <v>103</v>
      </c>
      <c r="I95" s="9">
        <v>1176</v>
      </c>
      <c r="J95" s="9">
        <v>2</v>
      </c>
      <c r="K95" s="9">
        <v>124</v>
      </c>
      <c r="L95" s="9">
        <v>2026</v>
      </c>
      <c r="M95" s="9">
        <v>19</v>
      </c>
      <c r="N95" s="9">
        <v>2888</v>
      </c>
      <c r="O95" s="9">
        <f t="shared" si="2"/>
        <v>145</v>
      </c>
      <c r="P95" s="9"/>
      <c r="Q95" s="9">
        <v>852</v>
      </c>
      <c r="R95" s="9">
        <v>292</v>
      </c>
      <c r="S95" s="9">
        <v>778</v>
      </c>
      <c r="T95" s="9">
        <v>1086</v>
      </c>
      <c r="U95" s="9">
        <v>1032</v>
      </c>
      <c r="V95" s="9">
        <v>920</v>
      </c>
      <c r="W95" s="9">
        <v>399</v>
      </c>
      <c r="X95" s="9">
        <v>1074</v>
      </c>
    </row>
    <row r="96" spans="2:24">
      <c r="B96" s="5" t="s">
        <v>191</v>
      </c>
      <c r="C96" s="8" t="s">
        <v>192</v>
      </c>
      <c r="D96" s="8" t="s">
        <v>275</v>
      </c>
      <c r="E96" s="9">
        <v>1051</v>
      </c>
      <c r="F96" s="9">
        <v>495</v>
      </c>
      <c r="G96" s="9">
        <v>515</v>
      </c>
      <c r="H96" s="9">
        <v>41</v>
      </c>
      <c r="I96" s="9">
        <v>20</v>
      </c>
      <c r="J96" s="9">
        <v>1</v>
      </c>
      <c r="K96" s="9">
        <v>3</v>
      </c>
      <c r="L96" s="9">
        <v>163</v>
      </c>
      <c r="M96" s="9">
        <v>1</v>
      </c>
      <c r="N96" s="9">
        <v>915</v>
      </c>
      <c r="O96" s="9">
        <f t="shared" si="2"/>
        <v>5</v>
      </c>
      <c r="P96" s="9"/>
      <c r="Q96" s="9">
        <v>69</v>
      </c>
      <c r="R96" s="9">
        <v>76</v>
      </c>
      <c r="S96" s="9">
        <v>231</v>
      </c>
      <c r="T96" s="9">
        <v>180</v>
      </c>
      <c r="U96" s="9">
        <v>169</v>
      </c>
      <c r="V96" s="9">
        <v>169</v>
      </c>
      <c r="W96" s="9">
        <v>97</v>
      </c>
      <c r="X96" s="9">
        <v>129</v>
      </c>
    </row>
    <row r="97" spans="2:24">
      <c r="B97" s="5" t="s">
        <v>193</v>
      </c>
      <c r="C97" s="8" t="s">
        <v>194</v>
      </c>
      <c r="D97" s="8" t="s">
        <v>275</v>
      </c>
      <c r="E97" s="9">
        <v>230</v>
      </c>
      <c r="F97" s="9">
        <v>118</v>
      </c>
      <c r="G97" s="9">
        <v>96</v>
      </c>
      <c r="H97" s="9">
        <v>16</v>
      </c>
      <c r="I97" s="9">
        <v>4</v>
      </c>
      <c r="J97" s="9">
        <v>0</v>
      </c>
      <c r="K97" s="9">
        <v>2</v>
      </c>
      <c r="L97" s="9">
        <v>22</v>
      </c>
      <c r="M97" s="9">
        <v>0</v>
      </c>
      <c r="N97" s="9">
        <v>141</v>
      </c>
      <c r="O97" s="9">
        <f t="shared" si="2"/>
        <v>2</v>
      </c>
      <c r="P97" s="9"/>
      <c r="Q97" s="9">
        <v>71</v>
      </c>
      <c r="R97" s="9">
        <v>16</v>
      </c>
      <c r="S97" s="9">
        <v>39</v>
      </c>
      <c r="T97" s="9">
        <v>29</v>
      </c>
      <c r="U97" s="9">
        <v>23</v>
      </c>
      <c r="V97" s="9">
        <v>26</v>
      </c>
      <c r="W97" s="9">
        <v>16</v>
      </c>
      <c r="X97" s="9">
        <v>81</v>
      </c>
    </row>
    <row r="98" spans="2:24">
      <c r="B98" s="5" t="s">
        <v>195</v>
      </c>
      <c r="C98" s="8" t="s">
        <v>196</v>
      </c>
      <c r="D98" s="8" t="s">
        <v>274</v>
      </c>
      <c r="E98" s="9">
        <v>36</v>
      </c>
      <c r="F98" s="9">
        <v>10</v>
      </c>
      <c r="G98" s="9">
        <v>21</v>
      </c>
      <c r="H98" s="9">
        <v>5</v>
      </c>
      <c r="I98" s="9">
        <v>0</v>
      </c>
      <c r="J98" s="9">
        <v>0</v>
      </c>
      <c r="K98" s="9">
        <v>0</v>
      </c>
      <c r="L98" s="9">
        <v>0</v>
      </c>
      <c r="M98" s="9">
        <v>0</v>
      </c>
      <c r="N98" s="9">
        <v>30</v>
      </c>
      <c r="O98" s="9">
        <f t="shared" si="2"/>
        <v>0</v>
      </c>
      <c r="P98" s="9"/>
      <c r="Q98" s="9">
        <v>6</v>
      </c>
      <c r="R98" s="9">
        <v>7</v>
      </c>
      <c r="S98" s="9">
        <v>5</v>
      </c>
      <c r="T98" s="9">
        <v>8</v>
      </c>
      <c r="U98" s="9">
        <v>0</v>
      </c>
      <c r="V98" s="9">
        <v>3</v>
      </c>
      <c r="W98" s="9">
        <v>2</v>
      </c>
      <c r="X98" s="9">
        <v>11</v>
      </c>
    </row>
    <row r="99" spans="2:24">
      <c r="B99" s="5" t="s">
        <v>197</v>
      </c>
      <c r="C99" s="8" t="s">
        <v>198</v>
      </c>
      <c r="D99" s="8" t="s">
        <v>273</v>
      </c>
      <c r="E99" s="9">
        <v>3661</v>
      </c>
      <c r="F99" s="9">
        <v>1751</v>
      </c>
      <c r="G99" s="9">
        <v>1786</v>
      </c>
      <c r="H99" s="9">
        <v>124</v>
      </c>
      <c r="I99" s="9">
        <v>144</v>
      </c>
      <c r="J99" s="9">
        <v>0</v>
      </c>
      <c r="K99" s="9">
        <v>35</v>
      </c>
      <c r="L99" s="9">
        <v>3106</v>
      </c>
      <c r="M99" s="9">
        <v>4</v>
      </c>
      <c r="N99" s="9">
        <v>519</v>
      </c>
      <c r="O99" s="9">
        <f t="shared" si="2"/>
        <v>39</v>
      </c>
      <c r="P99" s="9"/>
      <c r="Q99" s="9">
        <v>123</v>
      </c>
      <c r="R99" s="9">
        <v>308</v>
      </c>
      <c r="S99" s="9">
        <v>644</v>
      </c>
      <c r="T99" s="9">
        <v>795</v>
      </c>
      <c r="U99" s="9">
        <v>642</v>
      </c>
      <c r="V99" s="9">
        <v>490</v>
      </c>
      <c r="W99" s="9">
        <v>273</v>
      </c>
      <c r="X99" s="9">
        <v>509</v>
      </c>
    </row>
    <row r="100" spans="2:24">
      <c r="B100" s="5" t="s">
        <v>199</v>
      </c>
      <c r="C100" s="8" t="s">
        <v>279</v>
      </c>
      <c r="D100" s="8" t="s">
        <v>273</v>
      </c>
      <c r="E100" s="9">
        <v>42</v>
      </c>
      <c r="F100" s="9">
        <v>25</v>
      </c>
      <c r="G100" s="9">
        <v>17</v>
      </c>
      <c r="H100" s="9">
        <v>0</v>
      </c>
      <c r="I100" s="9">
        <v>6</v>
      </c>
      <c r="J100" s="9">
        <v>0</v>
      </c>
      <c r="K100" s="9">
        <v>0</v>
      </c>
      <c r="L100" s="9">
        <v>16</v>
      </c>
      <c r="M100" s="9">
        <v>0</v>
      </c>
      <c r="N100" s="9">
        <v>23</v>
      </c>
      <c r="O100" s="9">
        <f t="shared" si="2"/>
        <v>0</v>
      </c>
      <c r="P100" s="9"/>
      <c r="Q100" s="9">
        <v>3</v>
      </c>
      <c r="R100" s="9">
        <v>7</v>
      </c>
      <c r="S100" s="9">
        <v>7</v>
      </c>
      <c r="T100" s="9">
        <v>7</v>
      </c>
      <c r="U100" s="9">
        <v>3</v>
      </c>
      <c r="V100" s="9">
        <v>6</v>
      </c>
      <c r="W100" s="9">
        <v>3</v>
      </c>
      <c r="X100" s="9">
        <v>9</v>
      </c>
    </row>
    <row r="101" spans="2:24">
      <c r="B101" s="5" t="s">
        <v>201</v>
      </c>
      <c r="C101" s="8" t="s">
        <v>202</v>
      </c>
      <c r="D101" s="8" t="s">
        <v>272</v>
      </c>
      <c r="E101" s="9">
        <v>1888</v>
      </c>
      <c r="F101" s="9">
        <v>954</v>
      </c>
      <c r="G101" s="9">
        <v>907</v>
      </c>
      <c r="H101" s="9">
        <v>27</v>
      </c>
      <c r="I101" s="9">
        <v>120</v>
      </c>
      <c r="J101" s="9">
        <v>0</v>
      </c>
      <c r="K101" s="9">
        <v>12</v>
      </c>
      <c r="L101" s="9">
        <v>814</v>
      </c>
      <c r="M101" s="9">
        <v>25</v>
      </c>
      <c r="N101" s="9">
        <v>1129</v>
      </c>
      <c r="O101" s="9">
        <f t="shared" si="2"/>
        <v>37</v>
      </c>
      <c r="P101" s="9"/>
      <c r="Q101" s="9">
        <v>70</v>
      </c>
      <c r="R101" s="9">
        <v>208</v>
      </c>
      <c r="S101" s="9">
        <v>369</v>
      </c>
      <c r="T101" s="9">
        <v>378</v>
      </c>
      <c r="U101" s="9">
        <v>309</v>
      </c>
      <c r="V101" s="9">
        <v>309</v>
      </c>
      <c r="W101" s="9">
        <v>112</v>
      </c>
      <c r="X101" s="9">
        <v>203</v>
      </c>
    </row>
    <row r="102" spans="2:24">
      <c r="B102" s="5" t="s">
        <v>203</v>
      </c>
      <c r="C102" s="1" t="s">
        <v>311</v>
      </c>
      <c r="D102" s="8" t="s">
        <v>272</v>
      </c>
      <c r="E102" s="10">
        <v>1285</v>
      </c>
      <c r="F102" s="10">
        <v>622</v>
      </c>
      <c r="G102" s="10">
        <v>638</v>
      </c>
      <c r="H102" s="10">
        <v>25</v>
      </c>
      <c r="I102" s="10">
        <v>41</v>
      </c>
      <c r="J102" s="10">
        <v>2</v>
      </c>
      <c r="K102" s="10">
        <v>8</v>
      </c>
      <c r="L102" s="10">
        <v>189</v>
      </c>
      <c r="M102" s="10">
        <v>1</v>
      </c>
      <c r="N102" s="10">
        <v>1071</v>
      </c>
      <c r="O102" s="9">
        <f t="shared" si="2"/>
        <v>11</v>
      </c>
      <c r="P102" s="10">
        <v>0</v>
      </c>
      <c r="Q102" s="10">
        <v>75</v>
      </c>
      <c r="R102" s="10">
        <v>84</v>
      </c>
      <c r="S102" s="10">
        <v>183</v>
      </c>
      <c r="T102" s="10">
        <v>230</v>
      </c>
      <c r="U102" s="10">
        <v>251</v>
      </c>
      <c r="V102" s="10">
        <v>204</v>
      </c>
      <c r="W102" s="10">
        <v>107</v>
      </c>
      <c r="X102" s="10">
        <v>226</v>
      </c>
    </row>
    <row r="103" spans="2:24" ht="31.5">
      <c r="B103" s="5" t="s">
        <v>205</v>
      </c>
      <c r="C103" s="1" t="s">
        <v>303</v>
      </c>
      <c r="D103" s="8" t="s">
        <v>272</v>
      </c>
      <c r="E103" s="10">
        <v>312</v>
      </c>
      <c r="F103" s="10">
        <v>151</v>
      </c>
      <c r="G103" s="10">
        <v>158</v>
      </c>
      <c r="H103" s="10">
        <v>3</v>
      </c>
      <c r="I103" s="10">
        <v>14</v>
      </c>
      <c r="J103" s="10">
        <v>0</v>
      </c>
      <c r="K103" s="10">
        <v>0</v>
      </c>
      <c r="L103" s="10">
        <v>33</v>
      </c>
      <c r="M103" s="10">
        <v>0</v>
      </c>
      <c r="N103" s="10">
        <v>287</v>
      </c>
      <c r="O103" s="9">
        <f t="shared" si="2"/>
        <v>0</v>
      </c>
      <c r="P103" s="10">
        <v>0</v>
      </c>
      <c r="Q103" s="10">
        <v>10</v>
      </c>
      <c r="R103" s="10">
        <v>25</v>
      </c>
      <c r="S103" s="10">
        <v>51</v>
      </c>
      <c r="T103" s="10">
        <v>80</v>
      </c>
      <c r="U103" s="10">
        <v>59</v>
      </c>
      <c r="V103" s="10">
        <v>39</v>
      </c>
      <c r="W103" s="10">
        <v>13</v>
      </c>
      <c r="X103" s="10">
        <v>45</v>
      </c>
    </row>
    <row r="104" spans="2:24" ht="31.5">
      <c r="B104" s="5" t="s">
        <v>207</v>
      </c>
      <c r="C104" s="1" t="s">
        <v>304</v>
      </c>
      <c r="D104" s="8" t="s">
        <v>274</v>
      </c>
      <c r="E104" s="10">
        <v>2388</v>
      </c>
      <c r="F104" s="10">
        <v>1152</v>
      </c>
      <c r="G104" s="10">
        <v>1167</v>
      </c>
      <c r="H104" s="10">
        <v>69</v>
      </c>
      <c r="I104" s="10">
        <v>357</v>
      </c>
      <c r="J104" s="10">
        <v>0</v>
      </c>
      <c r="K104" s="10">
        <v>17</v>
      </c>
      <c r="L104" s="10">
        <v>160</v>
      </c>
      <c r="M104" s="10">
        <v>2</v>
      </c>
      <c r="N104" s="10">
        <v>2239</v>
      </c>
      <c r="O104" s="9">
        <f t="shared" si="2"/>
        <v>19</v>
      </c>
      <c r="P104" s="10">
        <v>0</v>
      </c>
      <c r="Q104" s="10">
        <v>22</v>
      </c>
      <c r="R104" s="10">
        <v>105</v>
      </c>
      <c r="S104" s="10">
        <v>265</v>
      </c>
      <c r="T104" s="10">
        <v>473</v>
      </c>
      <c r="U104" s="10">
        <v>369</v>
      </c>
      <c r="V104" s="10">
        <v>333</v>
      </c>
      <c r="W104" s="10">
        <v>129</v>
      </c>
      <c r="X104" s="10">
        <v>714</v>
      </c>
    </row>
    <row r="105" spans="2:24">
      <c r="B105" s="5" t="s">
        <v>209</v>
      </c>
      <c r="C105" s="8" t="s">
        <v>210</v>
      </c>
      <c r="D105" s="8" t="s">
        <v>275</v>
      </c>
      <c r="E105" s="9">
        <v>451</v>
      </c>
      <c r="F105" s="9">
        <v>243</v>
      </c>
      <c r="G105" s="9">
        <v>207</v>
      </c>
      <c r="H105" s="9">
        <v>1</v>
      </c>
      <c r="I105" s="9">
        <v>9</v>
      </c>
      <c r="J105" s="9">
        <v>0</v>
      </c>
      <c r="K105" s="9">
        <v>2</v>
      </c>
      <c r="L105" s="9">
        <v>9</v>
      </c>
      <c r="M105" s="9">
        <v>0</v>
      </c>
      <c r="N105" s="9">
        <v>437</v>
      </c>
      <c r="O105" s="9">
        <f t="shared" si="2"/>
        <v>2</v>
      </c>
      <c r="P105" s="9"/>
      <c r="Q105" s="9">
        <v>3</v>
      </c>
      <c r="R105" s="9">
        <v>40</v>
      </c>
      <c r="S105" s="9">
        <v>95</v>
      </c>
      <c r="T105" s="9">
        <v>120</v>
      </c>
      <c r="U105" s="9">
        <v>98</v>
      </c>
      <c r="V105" s="9">
        <v>41</v>
      </c>
      <c r="W105" s="9">
        <v>25</v>
      </c>
      <c r="X105" s="9">
        <v>32</v>
      </c>
    </row>
    <row r="106" spans="2:24">
      <c r="B106" s="5" t="s">
        <v>211</v>
      </c>
      <c r="C106" s="8" t="s">
        <v>212</v>
      </c>
      <c r="D106" s="8" t="s">
        <v>275</v>
      </c>
      <c r="E106" s="9">
        <v>319</v>
      </c>
      <c r="F106" s="9">
        <v>153</v>
      </c>
      <c r="G106" s="9">
        <v>166</v>
      </c>
      <c r="H106" s="9">
        <v>0</v>
      </c>
      <c r="I106" s="9">
        <v>2</v>
      </c>
      <c r="J106" s="9">
        <v>0</v>
      </c>
      <c r="K106" s="9">
        <v>0</v>
      </c>
      <c r="L106" s="9">
        <v>6</v>
      </c>
      <c r="M106" s="9">
        <v>1</v>
      </c>
      <c r="N106" s="9">
        <v>313</v>
      </c>
      <c r="O106" s="9">
        <f t="shared" si="2"/>
        <v>1</v>
      </c>
      <c r="P106" s="9"/>
      <c r="Q106" s="9">
        <v>3</v>
      </c>
      <c r="R106" s="9">
        <v>30</v>
      </c>
      <c r="S106" s="9">
        <v>70</v>
      </c>
      <c r="T106" s="9">
        <v>78</v>
      </c>
      <c r="U106" s="9">
        <v>57</v>
      </c>
      <c r="V106" s="9">
        <v>49</v>
      </c>
      <c r="W106" s="9">
        <v>13</v>
      </c>
      <c r="X106" s="9">
        <v>22</v>
      </c>
    </row>
    <row r="107" spans="2:24">
      <c r="B107" s="5" t="s">
        <v>213</v>
      </c>
      <c r="C107" s="8" t="s">
        <v>214</v>
      </c>
      <c r="D107" s="8" t="s">
        <v>274</v>
      </c>
      <c r="E107" s="9">
        <v>675</v>
      </c>
      <c r="F107" s="9">
        <v>340</v>
      </c>
      <c r="G107" s="9">
        <v>324</v>
      </c>
      <c r="H107" s="9">
        <v>11</v>
      </c>
      <c r="I107" s="9">
        <v>65</v>
      </c>
      <c r="J107" s="9">
        <v>0</v>
      </c>
      <c r="K107" s="9">
        <v>1</v>
      </c>
      <c r="L107" s="9">
        <v>15</v>
      </c>
      <c r="M107" s="9">
        <v>0</v>
      </c>
      <c r="N107" s="9">
        <v>661</v>
      </c>
      <c r="O107" s="9">
        <f t="shared" si="2"/>
        <v>1</v>
      </c>
      <c r="P107" s="9"/>
      <c r="Q107" s="9">
        <v>8</v>
      </c>
      <c r="R107" s="9">
        <v>36</v>
      </c>
      <c r="S107" s="9">
        <v>128</v>
      </c>
      <c r="T107" s="9">
        <v>153</v>
      </c>
      <c r="U107" s="9">
        <v>97</v>
      </c>
      <c r="V107" s="9">
        <v>85</v>
      </c>
      <c r="W107" s="9">
        <v>43</v>
      </c>
      <c r="X107" s="9">
        <v>133</v>
      </c>
    </row>
    <row r="108" spans="2:24">
      <c r="B108" s="5" t="s">
        <v>215</v>
      </c>
      <c r="C108" s="8" t="s">
        <v>216</v>
      </c>
      <c r="D108" s="8" t="s">
        <v>275</v>
      </c>
      <c r="E108" s="9">
        <v>904</v>
      </c>
      <c r="F108" s="9">
        <v>458</v>
      </c>
      <c r="G108" s="9">
        <v>437</v>
      </c>
      <c r="H108" s="9">
        <v>9</v>
      </c>
      <c r="I108" s="9">
        <v>15</v>
      </c>
      <c r="J108" s="9">
        <v>0</v>
      </c>
      <c r="K108" s="9">
        <v>0</v>
      </c>
      <c r="L108" s="9">
        <v>25</v>
      </c>
      <c r="M108" s="9">
        <v>1</v>
      </c>
      <c r="N108" s="9">
        <v>872</v>
      </c>
      <c r="O108" s="9">
        <f t="shared" si="2"/>
        <v>1</v>
      </c>
      <c r="P108" s="9"/>
      <c r="Q108" s="9">
        <v>15</v>
      </c>
      <c r="R108" s="9">
        <v>66</v>
      </c>
      <c r="S108" s="9">
        <v>154</v>
      </c>
      <c r="T108" s="9">
        <v>182</v>
      </c>
      <c r="U108" s="9">
        <v>139</v>
      </c>
      <c r="V108" s="9">
        <v>104</v>
      </c>
      <c r="W108" s="9">
        <v>40</v>
      </c>
      <c r="X108" s="9">
        <v>219</v>
      </c>
    </row>
    <row r="109" spans="2:24">
      <c r="B109" s="5" t="s">
        <v>217</v>
      </c>
      <c r="C109" s="8" t="s">
        <v>218</v>
      </c>
      <c r="D109" s="8" t="s">
        <v>271</v>
      </c>
      <c r="E109" s="9">
        <v>108</v>
      </c>
      <c r="F109" s="9">
        <v>53</v>
      </c>
      <c r="G109" s="9">
        <v>55</v>
      </c>
      <c r="H109" s="9">
        <v>0</v>
      </c>
      <c r="I109" s="9">
        <v>3</v>
      </c>
      <c r="J109" s="9">
        <v>1</v>
      </c>
      <c r="K109" s="9">
        <v>0</v>
      </c>
      <c r="L109" s="9">
        <v>65</v>
      </c>
      <c r="M109" s="9">
        <v>0</v>
      </c>
      <c r="N109" s="9">
        <v>37</v>
      </c>
      <c r="O109" s="9">
        <f t="shared" si="2"/>
        <v>1</v>
      </c>
      <c r="P109" s="9"/>
      <c r="Q109" s="9">
        <v>8</v>
      </c>
      <c r="R109" s="9">
        <v>11</v>
      </c>
      <c r="S109" s="9">
        <v>23</v>
      </c>
      <c r="T109" s="9">
        <v>30</v>
      </c>
      <c r="U109" s="9">
        <v>18</v>
      </c>
      <c r="V109" s="9">
        <v>14</v>
      </c>
      <c r="W109" s="9">
        <v>9</v>
      </c>
      <c r="X109" s="9">
        <v>3</v>
      </c>
    </row>
    <row r="110" spans="2:24">
      <c r="B110" s="5" t="s">
        <v>219</v>
      </c>
      <c r="C110" s="8" t="s">
        <v>220</v>
      </c>
      <c r="D110" s="8" t="s">
        <v>274</v>
      </c>
      <c r="E110" s="9">
        <v>1326</v>
      </c>
      <c r="F110" s="9">
        <v>618</v>
      </c>
      <c r="G110" s="9">
        <v>681</v>
      </c>
      <c r="H110" s="9">
        <v>27</v>
      </c>
      <c r="I110" s="9">
        <v>31</v>
      </c>
      <c r="J110" s="9">
        <v>0</v>
      </c>
      <c r="K110" s="9">
        <v>2</v>
      </c>
      <c r="L110" s="9">
        <v>155</v>
      </c>
      <c r="M110" s="9">
        <v>1</v>
      </c>
      <c r="N110" s="9">
        <v>481</v>
      </c>
      <c r="O110" s="9">
        <f t="shared" si="2"/>
        <v>3</v>
      </c>
      <c r="P110" s="9"/>
      <c r="Q110" s="9">
        <v>721</v>
      </c>
      <c r="R110" s="9">
        <v>83</v>
      </c>
      <c r="S110" s="9">
        <v>193</v>
      </c>
      <c r="T110" s="9">
        <v>226</v>
      </c>
      <c r="U110" s="9">
        <v>243</v>
      </c>
      <c r="V110" s="9">
        <v>223</v>
      </c>
      <c r="W110" s="9">
        <v>98</v>
      </c>
      <c r="X110" s="9">
        <v>260</v>
      </c>
    </row>
    <row r="111" spans="2:24">
      <c r="B111" s="5" t="s">
        <v>221</v>
      </c>
      <c r="C111" s="8" t="s">
        <v>222</v>
      </c>
      <c r="D111" s="8" t="s">
        <v>274</v>
      </c>
      <c r="E111" s="9">
        <v>475</v>
      </c>
      <c r="F111" s="9">
        <v>234</v>
      </c>
      <c r="G111" s="9">
        <v>237</v>
      </c>
      <c r="H111" s="9">
        <v>4</v>
      </c>
      <c r="I111" s="9">
        <v>48</v>
      </c>
      <c r="J111" s="9">
        <v>1</v>
      </c>
      <c r="K111" s="9">
        <v>10</v>
      </c>
      <c r="L111" s="9">
        <v>149</v>
      </c>
      <c r="M111" s="9">
        <v>1</v>
      </c>
      <c r="N111" s="9">
        <v>321</v>
      </c>
      <c r="O111" s="9">
        <f t="shared" si="2"/>
        <v>12</v>
      </c>
      <c r="P111" s="9"/>
      <c r="Q111" s="9">
        <v>18</v>
      </c>
      <c r="R111" s="9">
        <v>41</v>
      </c>
      <c r="S111" s="9">
        <v>69</v>
      </c>
      <c r="T111" s="9">
        <v>103</v>
      </c>
      <c r="U111" s="9">
        <v>59</v>
      </c>
      <c r="V111" s="9">
        <v>68</v>
      </c>
      <c r="W111" s="9">
        <v>30</v>
      </c>
      <c r="X111" s="9">
        <v>105</v>
      </c>
    </row>
    <row r="112" spans="2:24">
      <c r="B112" s="5" t="s">
        <v>223</v>
      </c>
      <c r="C112" s="8" t="s">
        <v>224</v>
      </c>
      <c r="D112" s="8" t="s">
        <v>271</v>
      </c>
      <c r="E112" s="9">
        <v>961</v>
      </c>
      <c r="F112" s="9">
        <v>438</v>
      </c>
      <c r="G112" s="9">
        <v>481</v>
      </c>
      <c r="H112" s="9">
        <v>42</v>
      </c>
      <c r="I112" s="9">
        <v>20</v>
      </c>
      <c r="J112" s="9">
        <v>0</v>
      </c>
      <c r="K112" s="9">
        <v>7</v>
      </c>
      <c r="L112" s="9">
        <v>590</v>
      </c>
      <c r="M112" s="9">
        <v>1</v>
      </c>
      <c r="N112" s="9">
        <v>324</v>
      </c>
      <c r="O112" s="9">
        <f t="shared" si="2"/>
        <v>8</v>
      </c>
      <c r="P112" s="9"/>
      <c r="Q112" s="9">
        <v>70</v>
      </c>
      <c r="R112" s="9">
        <v>53</v>
      </c>
      <c r="S112" s="9">
        <v>103</v>
      </c>
      <c r="T112" s="9">
        <v>168</v>
      </c>
      <c r="U112" s="9">
        <v>127</v>
      </c>
      <c r="V112" s="9">
        <v>149</v>
      </c>
      <c r="W112" s="9">
        <v>51</v>
      </c>
      <c r="X112" s="9">
        <v>310</v>
      </c>
    </row>
    <row r="113" spans="2:24">
      <c r="B113" s="5" t="s">
        <v>225</v>
      </c>
      <c r="C113" s="8" t="s">
        <v>226</v>
      </c>
      <c r="D113" s="8" t="s">
        <v>271</v>
      </c>
      <c r="E113" s="9">
        <v>46</v>
      </c>
      <c r="F113" s="9">
        <v>17</v>
      </c>
      <c r="G113" s="9">
        <v>29</v>
      </c>
      <c r="H113" s="9">
        <v>0</v>
      </c>
      <c r="I113" s="9">
        <v>0</v>
      </c>
      <c r="J113" s="9">
        <v>0</v>
      </c>
      <c r="K113" s="9">
        <v>0</v>
      </c>
      <c r="L113" s="9">
        <v>19</v>
      </c>
      <c r="M113" s="9">
        <v>0</v>
      </c>
      <c r="N113" s="9">
        <v>26</v>
      </c>
      <c r="O113" s="9">
        <f t="shared" si="2"/>
        <v>0</v>
      </c>
      <c r="P113" s="9"/>
      <c r="Q113" s="9">
        <v>1</v>
      </c>
      <c r="R113" s="9">
        <v>1</v>
      </c>
      <c r="S113" s="9">
        <v>6</v>
      </c>
      <c r="T113" s="9">
        <v>5</v>
      </c>
      <c r="U113" s="9">
        <v>10</v>
      </c>
      <c r="V113" s="9">
        <v>9</v>
      </c>
      <c r="W113" s="9">
        <v>4</v>
      </c>
      <c r="X113" s="9">
        <v>11</v>
      </c>
    </row>
    <row r="114" spans="2:24">
      <c r="B114" s="5" t="s">
        <v>227</v>
      </c>
      <c r="C114" s="8" t="s">
        <v>228</v>
      </c>
      <c r="D114" s="8" t="s">
        <v>271</v>
      </c>
      <c r="E114" s="9">
        <v>79</v>
      </c>
      <c r="F114" s="9">
        <v>40</v>
      </c>
      <c r="G114" s="9">
        <v>39</v>
      </c>
      <c r="H114" s="9">
        <v>0</v>
      </c>
      <c r="I114" s="9">
        <v>2</v>
      </c>
      <c r="J114" s="9">
        <v>0</v>
      </c>
      <c r="K114" s="9">
        <v>0</v>
      </c>
      <c r="L114" s="9">
        <v>42</v>
      </c>
      <c r="M114" s="9">
        <v>0</v>
      </c>
      <c r="N114" s="9">
        <v>32</v>
      </c>
      <c r="O114" s="9">
        <f t="shared" si="2"/>
        <v>0</v>
      </c>
      <c r="P114" s="9"/>
      <c r="Q114" s="9">
        <v>8</v>
      </c>
      <c r="R114" s="9">
        <v>12</v>
      </c>
      <c r="S114" s="9">
        <v>11</v>
      </c>
      <c r="T114" s="9">
        <v>16</v>
      </c>
      <c r="U114" s="9">
        <v>11</v>
      </c>
      <c r="V114" s="9">
        <v>19</v>
      </c>
      <c r="W114" s="9">
        <v>4</v>
      </c>
      <c r="X114" s="9">
        <v>6</v>
      </c>
    </row>
    <row r="115" spans="2:24">
      <c r="B115" s="5" t="s">
        <v>229</v>
      </c>
      <c r="C115" s="8" t="s">
        <v>230</v>
      </c>
      <c r="D115" s="8" t="s">
        <v>275</v>
      </c>
      <c r="E115" s="9">
        <v>622</v>
      </c>
      <c r="F115" s="9">
        <v>304</v>
      </c>
      <c r="G115" s="9">
        <v>317</v>
      </c>
      <c r="H115" s="9">
        <v>1</v>
      </c>
      <c r="I115" s="9">
        <v>4</v>
      </c>
      <c r="J115" s="9">
        <v>0</v>
      </c>
      <c r="K115" s="9">
        <v>1</v>
      </c>
      <c r="L115" s="9">
        <v>22</v>
      </c>
      <c r="M115" s="9">
        <v>0</v>
      </c>
      <c r="N115" s="9">
        <v>602</v>
      </c>
      <c r="O115" s="9">
        <f t="shared" si="2"/>
        <v>1</v>
      </c>
      <c r="P115" s="9"/>
      <c r="Q115" s="9">
        <v>2</v>
      </c>
      <c r="R115" s="9">
        <v>52</v>
      </c>
      <c r="S115" s="9">
        <v>124</v>
      </c>
      <c r="T115" s="9">
        <v>167</v>
      </c>
      <c r="U115" s="9">
        <v>108</v>
      </c>
      <c r="V115" s="9">
        <v>89</v>
      </c>
      <c r="W115" s="9">
        <v>35</v>
      </c>
      <c r="X115" s="9">
        <v>47</v>
      </c>
    </row>
    <row r="116" spans="2:24">
      <c r="B116" s="5" t="s">
        <v>231</v>
      </c>
      <c r="C116" s="8" t="s">
        <v>232</v>
      </c>
      <c r="D116" s="8" t="s">
        <v>271</v>
      </c>
      <c r="E116" s="9">
        <v>5244</v>
      </c>
      <c r="F116" s="9">
        <v>2568</v>
      </c>
      <c r="G116" s="9">
        <v>2586</v>
      </c>
      <c r="H116" s="9">
        <v>90</v>
      </c>
      <c r="I116" s="9">
        <v>446</v>
      </c>
      <c r="J116" s="9">
        <v>12</v>
      </c>
      <c r="K116" s="9">
        <v>77</v>
      </c>
      <c r="L116" s="9">
        <v>1724</v>
      </c>
      <c r="M116" s="9">
        <v>43</v>
      </c>
      <c r="N116" s="9">
        <v>2958</v>
      </c>
      <c r="O116" s="9">
        <f t="shared" si="2"/>
        <v>132</v>
      </c>
      <c r="P116" s="9"/>
      <c r="Q116" s="9">
        <v>689</v>
      </c>
      <c r="R116" s="9">
        <v>290</v>
      </c>
      <c r="S116" s="9">
        <v>820</v>
      </c>
      <c r="T116" s="9">
        <v>1075</v>
      </c>
      <c r="U116" s="9">
        <v>970</v>
      </c>
      <c r="V116" s="9">
        <v>864</v>
      </c>
      <c r="W116" s="9">
        <v>462</v>
      </c>
      <c r="X116" s="9">
        <v>763</v>
      </c>
    </row>
    <row r="117" spans="2:24">
      <c r="B117" s="5" t="s">
        <v>233</v>
      </c>
      <c r="C117" s="8" t="s">
        <v>234</v>
      </c>
      <c r="D117" s="8" t="s">
        <v>274</v>
      </c>
      <c r="E117" s="9">
        <v>944</v>
      </c>
      <c r="F117" s="9">
        <v>458</v>
      </c>
      <c r="G117" s="9">
        <v>479</v>
      </c>
      <c r="H117" s="9">
        <v>7</v>
      </c>
      <c r="I117" s="9">
        <v>78</v>
      </c>
      <c r="J117" s="9">
        <v>2</v>
      </c>
      <c r="K117" s="9">
        <v>1</v>
      </c>
      <c r="L117" s="9">
        <v>110</v>
      </c>
      <c r="M117" s="9">
        <v>4</v>
      </c>
      <c r="N117" s="9">
        <v>903</v>
      </c>
      <c r="O117" s="9">
        <f t="shared" si="2"/>
        <v>7</v>
      </c>
      <c r="P117" s="9"/>
      <c r="Q117" s="9">
        <v>16</v>
      </c>
      <c r="R117" s="9">
        <v>73</v>
      </c>
      <c r="S117" s="9">
        <v>199</v>
      </c>
      <c r="T117" s="9">
        <v>213</v>
      </c>
      <c r="U117" s="9">
        <v>171</v>
      </c>
      <c r="V117" s="9">
        <v>141</v>
      </c>
      <c r="W117" s="9">
        <v>45</v>
      </c>
      <c r="X117" s="9">
        <v>102</v>
      </c>
    </row>
    <row r="118" spans="2:24">
      <c r="B118" s="5" t="s">
        <v>235</v>
      </c>
      <c r="C118" s="8" t="s">
        <v>236</v>
      </c>
      <c r="D118" s="8" t="s">
        <v>275</v>
      </c>
      <c r="E118" s="9">
        <v>529</v>
      </c>
      <c r="F118" s="9">
        <v>253</v>
      </c>
      <c r="G118" s="9">
        <v>271</v>
      </c>
      <c r="H118" s="9">
        <v>5</v>
      </c>
      <c r="I118" s="9">
        <v>3</v>
      </c>
      <c r="J118" s="9">
        <v>0</v>
      </c>
      <c r="K118" s="9">
        <v>0</v>
      </c>
      <c r="L118" s="9">
        <v>15</v>
      </c>
      <c r="M118" s="9">
        <v>0</v>
      </c>
      <c r="N118" s="9">
        <v>508</v>
      </c>
      <c r="O118" s="9">
        <f t="shared" si="2"/>
        <v>0</v>
      </c>
      <c r="P118" s="9"/>
      <c r="Q118" s="9">
        <v>11</v>
      </c>
      <c r="R118" s="9">
        <v>39</v>
      </c>
      <c r="S118" s="9">
        <v>87</v>
      </c>
      <c r="T118" s="9">
        <v>112</v>
      </c>
      <c r="U118" s="9">
        <v>75</v>
      </c>
      <c r="V118" s="9">
        <v>72</v>
      </c>
      <c r="W118" s="9">
        <v>28</v>
      </c>
      <c r="X118" s="9">
        <v>116</v>
      </c>
    </row>
    <row r="119" spans="2:24">
      <c r="B119" s="5" t="s">
        <v>237</v>
      </c>
      <c r="C119" s="8" t="s">
        <v>238</v>
      </c>
      <c r="D119" s="8" t="s">
        <v>273</v>
      </c>
      <c r="E119" s="9">
        <v>158</v>
      </c>
      <c r="F119" s="9">
        <v>72</v>
      </c>
      <c r="G119" s="9">
        <v>85</v>
      </c>
      <c r="H119" s="9">
        <v>1</v>
      </c>
      <c r="I119" s="9">
        <v>4</v>
      </c>
      <c r="J119" s="9">
        <v>0</v>
      </c>
      <c r="K119" s="9">
        <v>0</v>
      </c>
      <c r="L119" s="9">
        <v>48</v>
      </c>
      <c r="M119" s="9">
        <v>0</v>
      </c>
      <c r="N119" s="9">
        <v>58</v>
      </c>
      <c r="O119" s="9">
        <f t="shared" si="2"/>
        <v>0</v>
      </c>
      <c r="P119" s="9"/>
      <c r="Q119" s="9">
        <v>53</v>
      </c>
      <c r="R119" s="9">
        <v>12</v>
      </c>
      <c r="S119" s="9">
        <v>26</v>
      </c>
      <c r="T119" s="9">
        <v>34</v>
      </c>
      <c r="U119" s="9">
        <v>17</v>
      </c>
      <c r="V119" s="9">
        <v>23</v>
      </c>
      <c r="W119" s="9">
        <v>9</v>
      </c>
      <c r="X119" s="9">
        <v>37</v>
      </c>
    </row>
    <row r="120" spans="2:24">
      <c r="B120" s="5" t="s">
        <v>239</v>
      </c>
      <c r="C120" s="8" t="s">
        <v>240</v>
      </c>
      <c r="D120" s="8" t="s">
        <v>271</v>
      </c>
      <c r="E120" s="9">
        <v>114</v>
      </c>
      <c r="F120" s="9">
        <v>46</v>
      </c>
      <c r="G120" s="9">
        <v>68</v>
      </c>
      <c r="H120" s="9">
        <v>0</v>
      </c>
      <c r="I120" s="9">
        <v>19</v>
      </c>
      <c r="J120" s="9">
        <v>2</v>
      </c>
      <c r="K120" s="9">
        <v>2</v>
      </c>
      <c r="L120" s="9">
        <v>43</v>
      </c>
      <c r="M120" s="9">
        <v>0</v>
      </c>
      <c r="N120" s="9">
        <v>72</v>
      </c>
      <c r="O120" s="9">
        <f t="shared" si="2"/>
        <v>4</v>
      </c>
      <c r="P120" s="9"/>
      <c r="Q120" s="9">
        <v>7</v>
      </c>
      <c r="R120" s="9">
        <v>11</v>
      </c>
      <c r="S120" s="9">
        <v>22</v>
      </c>
      <c r="T120" s="9">
        <v>25</v>
      </c>
      <c r="U120" s="9">
        <v>22</v>
      </c>
      <c r="V120" s="9">
        <v>19</v>
      </c>
      <c r="W120" s="9">
        <v>5</v>
      </c>
      <c r="X120" s="9">
        <v>10</v>
      </c>
    </row>
    <row r="121" spans="2:24">
      <c r="B121" s="5" t="s">
        <v>241</v>
      </c>
      <c r="C121" s="8" t="s">
        <v>242</v>
      </c>
      <c r="D121" s="8" t="s">
        <v>274</v>
      </c>
      <c r="E121" s="9">
        <v>688</v>
      </c>
      <c r="F121" s="9">
        <v>342</v>
      </c>
      <c r="G121" s="9">
        <v>334</v>
      </c>
      <c r="H121" s="9">
        <v>12</v>
      </c>
      <c r="I121" s="9">
        <v>102</v>
      </c>
      <c r="J121" s="9">
        <v>1</v>
      </c>
      <c r="K121" s="9">
        <v>3</v>
      </c>
      <c r="L121" s="9">
        <v>195</v>
      </c>
      <c r="M121" s="9">
        <v>0</v>
      </c>
      <c r="N121" s="9">
        <v>529</v>
      </c>
      <c r="O121" s="9">
        <f t="shared" si="2"/>
        <v>4</v>
      </c>
      <c r="P121" s="9"/>
      <c r="Q121" s="9">
        <v>43</v>
      </c>
      <c r="R121" s="9">
        <v>74</v>
      </c>
      <c r="S121" s="9">
        <v>145</v>
      </c>
      <c r="T121" s="9">
        <v>157</v>
      </c>
      <c r="U121" s="9">
        <v>112</v>
      </c>
      <c r="V121" s="9">
        <v>99</v>
      </c>
      <c r="W121" s="9">
        <v>28</v>
      </c>
      <c r="X121" s="9">
        <v>73</v>
      </c>
    </row>
    <row r="122" spans="2:24">
      <c r="B122" s="5" t="s">
        <v>243</v>
      </c>
      <c r="C122" s="8" t="s">
        <v>244</v>
      </c>
      <c r="D122" s="8" t="s">
        <v>275</v>
      </c>
      <c r="E122" s="9">
        <v>1359</v>
      </c>
      <c r="F122" s="9">
        <v>646</v>
      </c>
      <c r="G122" s="9">
        <v>701</v>
      </c>
      <c r="H122" s="9">
        <v>12</v>
      </c>
      <c r="I122" s="9">
        <v>5</v>
      </c>
      <c r="J122" s="9">
        <v>0</v>
      </c>
      <c r="K122" s="9">
        <v>0</v>
      </c>
      <c r="L122" s="9">
        <v>139</v>
      </c>
      <c r="M122" s="9">
        <v>2</v>
      </c>
      <c r="N122" s="9">
        <v>1282</v>
      </c>
      <c r="O122" s="9">
        <f t="shared" si="2"/>
        <v>2</v>
      </c>
      <c r="P122" s="9"/>
      <c r="Q122" s="9">
        <v>4</v>
      </c>
      <c r="R122" s="9">
        <v>133</v>
      </c>
      <c r="S122" s="9">
        <v>275</v>
      </c>
      <c r="T122" s="9">
        <v>287</v>
      </c>
      <c r="U122" s="9">
        <v>227</v>
      </c>
      <c r="V122" s="9">
        <v>205</v>
      </c>
      <c r="W122" s="9">
        <v>91</v>
      </c>
      <c r="X122" s="9">
        <v>141</v>
      </c>
    </row>
    <row r="123" spans="2:24">
      <c r="B123" s="5" t="s">
        <v>245</v>
      </c>
      <c r="C123" s="8" t="s">
        <v>246</v>
      </c>
      <c r="D123" s="8" t="s">
        <v>275</v>
      </c>
      <c r="E123" s="9">
        <v>531</v>
      </c>
      <c r="F123" s="9">
        <v>278</v>
      </c>
      <c r="G123" s="9">
        <v>250</v>
      </c>
      <c r="H123" s="9">
        <v>3</v>
      </c>
      <c r="I123" s="9">
        <v>10</v>
      </c>
      <c r="J123" s="9">
        <v>0</v>
      </c>
      <c r="K123" s="9">
        <v>1</v>
      </c>
      <c r="L123" s="9">
        <v>23</v>
      </c>
      <c r="M123" s="9">
        <v>0</v>
      </c>
      <c r="N123" s="9">
        <v>508</v>
      </c>
      <c r="O123" s="9">
        <f t="shared" si="2"/>
        <v>1</v>
      </c>
      <c r="P123" s="9"/>
      <c r="Q123" s="9">
        <v>11</v>
      </c>
      <c r="R123" s="9">
        <v>34</v>
      </c>
      <c r="S123" s="9">
        <v>95</v>
      </c>
      <c r="T123" s="9">
        <v>139</v>
      </c>
      <c r="U123" s="9">
        <v>103</v>
      </c>
      <c r="V123" s="9">
        <v>82</v>
      </c>
      <c r="W123" s="9">
        <v>29</v>
      </c>
      <c r="X123" s="9">
        <v>49</v>
      </c>
    </row>
    <row r="124" spans="2:24">
      <c r="B124" s="5" t="s">
        <v>247</v>
      </c>
      <c r="C124" s="1" t="s">
        <v>248</v>
      </c>
      <c r="D124" s="8" t="s">
        <v>271</v>
      </c>
      <c r="E124" s="10">
        <v>1013</v>
      </c>
      <c r="F124" s="10">
        <v>491</v>
      </c>
      <c r="G124" s="10">
        <v>494</v>
      </c>
      <c r="H124" s="10">
        <v>28</v>
      </c>
      <c r="I124" s="10">
        <v>28</v>
      </c>
      <c r="J124" s="10">
        <v>3</v>
      </c>
      <c r="K124" s="10">
        <v>11</v>
      </c>
      <c r="L124" s="10">
        <v>173</v>
      </c>
      <c r="M124" s="10">
        <v>3</v>
      </c>
      <c r="N124" s="10">
        <v>625</v>
      </c>
      <c r="O124" s="9">
        <f t="shared" si="2"/>
        <v>17</v>
      </c>
      <c r="P124" s="10">
        <v>0</v>
      </c>
      <c r="Q124" s="10">
        <v>221</v>
      </c>
      <c r="R124" s="10">
        <v>44</v>
      </c>
      <c r="S124" s="10">
        <v>125</v>
      </c>
      <c r="T124" s="10">
        <v>180</v>
      </c>
      <c r="U124" s="10">
        <v>190</v>
      </c>
      <c r="V124" s="10">
        <v>172</v>
      </c>
      <c r="W124" s="10">
        <v>59</v>
      </c>
      <c r="X124" s="10">
        <v>243</v>
      </c>
    </row>
    <row r="125" spans="2:24" ht="12" customHeight="1">
      <c r="B125" s="11" t="s">
        <v>8</v>
      </c>
      <c r="C125" s="5" t="s">
        <v>9</v>
      </c>
      <c r="E125" s="9">
        <f>SUM($E$5:$E$124)</f>
        <v>94215</v>
      </c>
      <c r="F125" s="9">
        <f>SUM($F$5:$F$124)</f>
        <v>45604</v>
      </c>
      <c r="G125" s="9">
        <f>SUM($G$5:$G$124)</f>
        <v>46742</v>
      </c>
      <c r="H125" s="9">
        <f>SUM($H$5:$H$124)</f>
        <v>1869</v>
      </c>
      <c r="I125" s="9">
        <f>SUM($I$5:$I$124)</f>
        <v>9139</v>
      </c>
      <c r="J125" s="9">
        <f>SUM($J$5:$J$124)</f>
        <v>145</v>
      </c>
      <c r="K125" s="9">
        <f>SUM($K$5:$K$124)</f>
        <v>1257</v>
      </c>
      <c r="L125" s="9">
        <f>SUM($L$5:$L$124)</f>
        <v>29742</v>
      </c>
      <c r="M125" s="9">
        <f>SUM($M$5:$M$124)</f>
        <v>262</v>
      </c>
      <c r="N125" s="9">
        <f>SUM($N$5:$N$124)</f>
        <v>57074</v>
      </c>
      <c r="O125" s="9">
        <f t="shared" si="2"/>
        <v>1664</v>
      </c>
      <c r="P125" s="9"/>
      <c r="Q125" s="9">
        <f>SUM($Q$5:$Q$124)</f>
        <v>9805</v>
      </c>
      <c r="R125" s="9">
        <f>SUM($R$5:$R$124)</f>
        <v>6082</v>
      </c>
      <c r="S125" s="9">
        <f>SUM($S$5:$S$124)</f>
        <v>14410</v>
      </c>
      <c r="T125" s="9">
        <f>SUM($T$5:$T$124)</f>
        <v>19258</v>
      </c>
      <c r="U125" s="9">
        <f>SUM($U$5:$U$124)</f>
        <v>16544</v>
      </c>
      <c r="V125" s="9">
        <f>SUM($V$5:$V$124)</f>
        <v>14510</v>
      </c>
      <c r="W125" s="9">
        <f>SUM($W$5:$W$124)</f>
        <v>6338</v>
      </c>
      <c r="X125" s="9">
        <f>SUM($X$5:$X$124)</f>
        <v>17073</v>
      </c>
    </row>
  </sheetData>
  <pageMargins left="0.75" right="0.75" top="1" bottom="1" header="0.5" footer="0.5"/>
  <pageSetup orientation="portrait" r:id="rId1"/>
</worksheet>
</file>

<file path=xl/worksheets/sheet27.xml><?xml version="1.0" encoding="utf-8"?>
<worksheet xmlns="http://schemas.openxmlformats.org/spreadsheetml/2006/main" xmlns:r="http://schemas.openxmlformats.org/officeDocument/2006/relationships">
  <sheetPr>
    <tabColor theme="0"/>
  </sheetPr>
  <dimension ref="A1:CA129"/>
  <sheetViews>
    <sheetView workbookViewId="0">
      <pane ySplit="4" topLeftCell="A100" activePane="bottomLeft" state="frozen"/>
      <selection pane="bottomLeft" activeCell="A126" sqref="A126"/>
    </sheetView>
  </sheetViews>
  <sheetFormatPr defaultRowHeight="15.75"/>
  <cols>
    <col min="1" max="1" width="8.25" style="280" customWidth="1"/>
    <col min="2" max="2" width="28.875" style="280" customWidth="1"/>
    <col min="3" max="3" width="14.875" style="280" customWidth="1"/>
    <col min="4" max="20" width="16.25" style="280" customWidth="1"/>
    <col min="21" max="16384" width="9" style="280"/>
  </cols>
  <sheetData>
    <row r="1" spans="1:79">
      <c r="A1" s="64" t="s">
        <v>1029</v>
      </c>
      <c r="I1" s="1066"/>
      <c r="K1" s="1066"/>
      <c r="L1" s="1066"/>
      <c r="M1" s="1066"/>
      <c r="N1" s="1066"/>
    </row>
    <row r="2" spans="1:79">
      <c r="D2" s="1067"/>
      <c r="E2" s="1067"/>
      <c r="F2" s="1067"/>
      <c r="G2" s="1067"/>
      <c r="H2" s="1067"/>
      <c r="N2" s="1066"/>
    </row>
    <row r="3" spans="1:79" ht="31.5">
      <c r="A3" s="1083" t="s">
        <v>4</v>
      </c>
      <c r="B3" s="1085" t="s">
        <v>5</v>
      </c>
      <c r="C3" s="1468" t="s">
        <v>252</v>
      </c>
      <c r="D3" s="1084" t="s">
        <v>336</v>
      </c>
      <c r="E3" s="1084" t="s">
        <v>337</v>
      </c>
      <c r="F3" s="1084" t="s">
        <v>879</v>
      </c>
      <c r="G3" s="1084" t="s">
        <v>338</v>
      </c>
      <c r="H3" s="1098" t="s">
        <v>538</v>
      </c>
      <c r="I3" s="1102" t="s">
        <v>317</v>
      </c>
      <c r="J3" s="1102" t="s">
        <v>318</v>
      </c>
      <c r="K3" s="1102" t="s">
        <v>319</v>
      </c>
      <c r="L3" s="1102" t="s">
        <v>320</v>
      </c>
      <c r="M3" s="1102" t="s">
        <v>321</v>
      </c>
      <c r="N3" s="1102" t="s">
        <v>322</v>
      </c>
      <c r="O3" s="1102" t="s">
        <v>323</v>
      </c>
      <c r="P3" s="1102" t="s">
        <v>324</v>
      </c>
      <c r="Q3" s="1102" t="s">
        <v>325</v>
      </c>
      <c r="R3" s="1102" t="s">
        <v>326</v>
      </c>
      <c r="S3" s="1102" t="s">
        <v>327</v>
      </c>
      <c r="T3" s="1102" t="s">
        <v>328</v>
      </c>
    </row>
    <row r="4" spans="1:79">
      <c r="A4" s="1068">
        <v>999</v>
      </c>
      <c r="B4" s="1069" t="s">
        <v>9</v>
      </c>
      <c r="C4" s="1469"/>
      <c r="D4" s="1070">
        <f t="shared" ref="D4:T4" si="0">SUM(D5:D124)</f>
        <v>118675544.33000003</v>
      </c>
      <c r="E4" s="1071">
        <f t="shared" si="0"/>
        <v>52992152.370000012</v>
      </c>
      <c r="F4" s="1072">
        <f t="shared" si="0"/>
        <v>69960419.410000011</v>
      </c>
      <c r="G4" s="1070">
        <f t="shared" si="0"/>
        <v>66671786.189999998</v>
      </c>
      <c r="H4" s="1099">
        <f t="shared" si="0"/>
        <v>3288633.2199999997</v>
      </c>
      <c r="I4" s="1103">
        <f t="shared" si="0"/>
        <v>81166545.639999986</v>
      </c>
      <c r="J4" s="1103">
        <f t="shared" si="0"/>
        <v>0</v>
      </c>
      <c r="K4" s="1103">
        <f t="shared" si="0"/>
        <v>52992152.370000012</v>
      </c>
      <c r="L4" s="1103">
        <f t="shared" si="0"/>
        <v>24608771.799999997</v>
      </c>
      <c r="M4" s="1103">
        <f t="shared" si="0"/>
        <v>2454340.100000001</v>
      </c>
      <c r="N4" s="1103">
        <f t="shared" si="0"/>
        <v>161221809.90999997</v>
      </c>
      <c r="O4" s="1103">
        <f t="shared" si="0"/>
        <v>37508998.69000002</v>
      </c>
      <c r="P4" s="1103">
        <f t="shared" si="0"/>
        <v>0</v>
      </c>
      <c r="Q4" s="1103">
        <f t="shared" si="0"/>
        <v>0</v>
      </c>
      <c r="R4" s="1103">
        <f t="shared" si="0"/>
        <v>42063014.389999993</v>
      </c>
      <c r="S4" s="1103">
        <f t="shared" si="0"/>
        <v>834293.11999999988</v>
      </c>
      <c r="T4" s="1103">
        <f t="shared" si="0"/>
        <v>80406306.200000003</v>
      </c>
      <c r="U4" s="1101"/>
      <c r="V4" s="1075"/>
      <c r="W4" s="1075"/>
      <c r="X4" s="1075"/>
      <c r="Y4" s="1075"/>
      <c r="Z4" s="1075"/>
      <c r="AA4" s="1075"/>
      <c r="AB4" s="1073"/>
      <c r="AC4" s="1073"/>
      <c r="AD4" s="1073"/>
      <c r="AE4" s="1073"/>
      <c r="AF4" s="1073"/>
      <c r="AG4" s="1073"/>
      <c r="AH4" s="1074"/>
      <c r="AI4" s="1074"/>
      <c r="AJ4" s="1075"/>
      <c r="AK4" s="1075"/>
      <c r="AL4" s="1075"/>
      <c r="AM4" s="1075"/>
      <c r="AN4" s="1075"/>
      <c r="AO4" s="1075"/>
      <c r="AP4" s="1073"/>
      <c r="AQ4" s="1073"/>
      <c r="AR4" s="1073"/>
      <c r="AS4" s="1073"/>
      <c r="AT4" s="1073"/>
      <c r="AU4" s="1073"/>
      <c r="AV4" s="1074"/>
      <c r="AW4" s="1074"/>
      <c r="AX4" s="1075"/>
      <c r="AY4" s="1075"/>
      <c r="AZ4" s="1075"/>
      <c r="BA4" s="1075"/>
      <c r="BB4" s="1075"/>
      <c r="BC4" s="1075"/>
      <c r="BD4" s="1073"/>
      <c r="BE4" s="1073"/>
      <c r="BF4" s="1073"/>
      <c r="BG4" s="1073"/>
      <c r="BH4" s="1073"/>
      <c r="BI4" s="1073"/>
      <c r="BJ4" s="1074"/>
      <c r="BK4" s="1074"/>
      <c r="BL4" s="1075"/>
      <c r="BM4" s="1075"/>
      <c r="BN4" s="1075"/>
      <c r="BO4" s="1075"/>
      <c r="BP4" s="1075"/>
      <c r="BQ4" s="1075"/>
      <c r="BR4" s="1073"/>
      <c r="BS4" s="1073"/>
      <c r="BT4" s="1073"/>
      <c r="BU4" s="1073"/>
      <c r="BV4" s="1073"/>
      <c r="BW4" s="1073"/>
      <c r="BX4" s="1074"/>
      <c r="BY4" s="1074"/>
      <c r="BZ4" s="1075"/>
      <c r="CA4" s="1075"/>
    </row>
    <row r="5" spans="1:79" ht="15" customHeight="1">
      <c r="A5" s="1076" t="s">
        <v>10</v>
      </c>
      <c r="B5" s="1077" t="s">
        <v>11</v>
      </c>
      <c r="C5" s="1470" t="s">
        <v>271</v>
      </c>
      <c r="D5" s="1078">
        <f>+I5+J5+O5+P5</f>
        <v>766357.23</v>
      </c>
      <c r="E5" s="1079">
        <f>K5+Q5</f>
        <v>500183.6</v>
      </c>
      <c r="F5" s="1080">
        <f>+G5+H5</f>
        <v>320710.36</v>
      </c>
      <c r="G5" s="1078">
        <f>+L5+R5</f>
        <v>232321.13</v>
      </c>
      <c r="H5" s="1100">
        <f>+M5+S5</f>
        <v>88389.23</v>
      </c>
      <c r="I5" s="1104">
        <v>766357.23</v>
      </c>
      <c r="J5" s="1104">
        <v>0</v>
      </c>
      <c r="K5" s="1104">
        <v>500183.6</v>
      </c>
      <c r="L5" s="1104">
        <v>232321.13</v>
      </c>
      <c r="M5" s="1104">
        <v>88389.23</v>
      </c>
      <c r="N5" s="1104">
        <v>1587251.19</v>
      </c>
      <c r="O5" s="1105"/>
      <c r="P5" s="1105"/>
      <c r="Q5" s="1105"/>
      <c r="R5" s="1105"/>
      <c r="S5" s="1105"/>
      <c r="T5" s="1105"/>
    </row>
    <row r="6" spans="1:79" ht="15" customHeight="1">
      <c r="A6" s="1081" t="s">
        <v>12</v>
      </c>
      <c r="B6" s="1077" t="s">
        <v>13</v>
      </c>
      <c r="C6" s="1470" t="s">
        <v>272</v>
      </c>
      <c r="D6" s="1078">
        <f t="shared" ref="D6:D68" si="1">+I6+J6+O6+P6</f>
        <v>1317440.67</v>
      </c>
      <c r="E6" s="1079">
        <f t="shared" ref="E6:E69" si="2">K6+Q6</f>
        <v>319517.84000000003</v>
      </c>
      <c r="F6" s="1080">
        <f t="shared" ref="F6:F69" si="3">+G6+H6</f>
        <v>1129986.99</v>
      </c>
      <c r="G6" s="1078">
        <f t="shared" ref="G6:H69" si="4">+L6+R6</f>
        <v>1084827.6499999999</v>
      </c>
      <c r="H6" s="1100">
        <f t="shared" ref="H6:H68" si="5">+M6+S6</f>
        <v>45159.34</v>
      </c>
      <c r="I6" s="1104">
        <v>484608.72</v>
      </c>
      <c r="J6" s="1104">
        <v>0</v>
      </c>
      <c r="K6" s="1104">
        <v>319517.84000000003</v>
      </c>
      <c r="L6" s="1104">
        <v>147501.14000000001</v>
      </c>
      <c r="M6" s="1104">
        <v>9898.48</v>
      </c>
      <c r="N6" s="1104">
        <v>961526.18</v>
      </c>
      <c r="O6" s="1104">
        <v>832831.95</v>
      </c>
      <c r="P6" s="1104">
        <v>0</v>
      </c>
      <c r="Q6" s="1104">
        <v>0</v>
      </c>
      <c r="R6" s="1104">
        <v>937326.51</v>
      </c>
      <c r="S6" s="1104">
        <v>35260.86</v>
      </c>
      <c r="T6" s="1104">
        <v>1805419.32</v>
      </c>
    </row>
    <row r="7" spans="1:79" ht="15" customHeight="1">
      <c r="A7" s="1081" t="s">
        <v>16</v>
      </c>
      <c r="B7" s="1077" t="s">
        <v>307</v>
      </c>
      <c r="C7" s="1470" t="s">
        <v>272</v>
      </c>
      <c r="D7" s="1078">
        <f t="shared" si="1"/>
        <v>466379.94</v>
      </c>
      <c r="E7" s="1079">
        <f t="shared" si="2"/>
        <v>269088.99</v>
      </c>
      <c r="F7" s="1080">
        <f t="shared" si="3"/>
        <v>192785.89</v>
      </c>
      <c r="G7" s="1078">
        <f t="shared" si="4"/>
        <v>184889.97</v>
      </c>
      <c r="H7" s="1100">
        <f t="shared" si="5"/>
        <v>7895.92</v>
      </c>
      <c r="I7" s="1104">
        <v>412662.55</v>
      </c>
      <c r="J7" s="1104">
        <v>0</v>
      </c>
      <c r="K7" s="1104">
        <v>269088.99</v>
      </c>
      <c r="L7" s="1104">
        <v>125053.65</v>
      </c>
      <c r="M7" s="1104">
        <v>7896.56</v>
      </c>
      <c r="N7" s="1104">
        <v>814701.75</v>
      </c>
      <c r="O7" s="1104">
        <v>53717.39</v>
      </c>
      <c r="P7" s="1104">
        <v>0</v>
      </c>
      <c r="Q7" s="1104">
        <v>0</v>
      </c>
      <c r="R7" s="1104">
        <v>59836.32</v>
      </c>
      <c r="S7" s="1104">
        <v>-0.64</v>
      </c>
      <c r="T7" s="1104">
        <v>113553.07</v>
      </c>
    </row>
    <row r="8" spans="1:79" ht="15" customHeight="1">
      <c r="A8" s="1081" t="s">
        <v>18</v>
      </c>
      <c r="B8" s="1077" t="s">
        <v>19</v>
      </c>
      <c r="C8" s="1470" t="s">
        <v>273</v>
      </c>
      <c r="D8" s="1078">
        <f t="shared" si="1"/>
        <v>265129.61</v>
      </c>
      <c r="E8" s="1079">
        <f t="shared" si="2"/>
        <v>104814.32</v>
      </c>
      <c r="F8" s="1080">
        <f t="shared" si="3"/>
        <v>166627.84</v>
      </c>
      <c r="G8" s="1078">
        <f t="shared" si="4"/>
        <v>166541.48000000001</v>
      </c>
      <c r="H8" s="1100">
        <f t="shared" si="5"/>
        <v>86.36</v>
      </c>
      <c r="I8" s="1104">
        <v>160305.06</v>
      </c>
      <c r="J8" s="1104">
        <v>0</v>
      </c>
      <c r="K8" s="1104">
        <v>104814.32</v>
      </c>
      <c r="L8" s="1104">
        <v>48629.65</v>
      </c>
      <c r="M8" s="1104">
        <v>-3.26</v>
      </c>
      <c r="N8" s="1104">
        <v>313745.77</v>
      </c>
      <c r="O8" s="1104">
        <v>104824.55</v>
      </c>
      <c r="P8" s="1104">
        <v>0</v>
      </c>
      <c r="Q8" s="1104">
        <v>0</v>
      </c>
      <c r="R8" s="1104">
        <v>117911.83</v>
      </c>
      <c r="S8" s="1104">
        <v>89.62</v>
      </c>
      <c r="T8" s="1104">
        <v>222826</v>
      </c>
    </row>
    <row r="9" spans="1:79" ht="15" customHeight="1">
      <c r="A9" s="1081" t="s">
        <v>20</v>
      </c>
      <c r="B9" s="1077" t="s">
        <v>21</v>
      </c>
      <c r="C9" s="1470" t="s">
        <v>272</v>
      </c>
      <c r="D9" s="1078">
        <f t="shared" si="1"/>
        <v>440957.33999999997</v>
      </c>
      <c r="E9" s="1079">
        <f t="shared" si="2"/>
        <v>190939.41</v>
      </c>
      <c r="F9" s="1080">
        <f t="shared" si="3"/>
        <v>292070.84999999998</v>
      </c>
      <c r="G9" s="1078">
        <f t="shared" si="4"/>
        <v>255883</v>
      </c>
      <c r="H9" s="1100">
        <f t="shared" si="5"/>
        <v>36187.85</v>
      </c>
      <c r="I9" s="1104">
        <v>292065.82</v>
      </c>
      <c r="J9" s="1104">
        <v>0</v>
      </c>
      <c r="K9" s="1104">
        <v>190939.41</v>
      </c>
      <c r="L9" s="1104">
        <v>88595.56</v>
      </c>
      <c r="M9" s="1104">
        <v>31347.07</v>
      </c>
      <c r="N9" s="1104">
        <v>602947.86</v>
      </c>
      <c r="O9" s="1104">
        <v>148891.51999999999</v>
      </c>
      <c r="P9" s="1104">
        <v>0</v>
      </c>
      <c r="Q9" s="1104">
        <v>0</v>
      </c>
      <c r="R9" s="1104">
        <v>167287.44</v>
      </c>
      <c r="S9" s="1104">
        <v>4840.78</v>
      </c>
      <c r="T9" s="1104">
        <v>321019.74</v>
      </c>
    </row>
    <row r="10" spans="1:79" ht="15" customHeight="1">
      <c r="A10" s="1081" t="s">
        <v>22</v>
      </c>
      <c r="B10" s="1077" t="s">
        <v>23</v>
      </c>
      <c r="C10" s="1470" t="s">
        <v>272</v>
      </c>
      <c r="D10" s="1078">
        <f t="shared" si="1"/>
        <v>259887.72999999998</v>
      </c>
      <c r="E10" s="1079">
        <f t="shared" si="2"/>
        <v>136512.62</v>
      </c>
      <c r="F10" s="1080">
        <f t="shared" si="3"/>
        <v>126241.03</v>
      </c>
      <c r="G10" s="1078">
        <f t="shared" si="4"/>
        <v>120406.68</v>
      </c>
      <c r="H10" s="1100">
        <f t="shared" si="5"/>
        <v>5834.35</v>
      </c>
      <c r="I10" s="1104">
        <v>209108.15</v>
      </c>
      <c r="J10" s="1104">
        <v>0</v>
      </c>
      <c r="K10" s="1104">
        <v>136512.62</v>
      </c>
      <c r="L10" s="1104">
        <v>63395.75</v>
      </c>
      <c r="M10" s="1104">
        <v>5835.67</v>
      </c>
      <c r="N10" s="1104">
        <v>414852.19</v>
      </c>
      <c r="O10" s="1104">
        <v>50779.58</v>
      </c>
      <c r="P10" s="1104">
        <v>0</v>
      </c>
      <c r="Q10" s="1104">
        <v>0</v>
      </c>
      <c r="R10" s="1104">
        <v>57010.93</v>
      </c>
      <c r="S10" s="1104">
        <v>-1.32</v>
      </c>
      <c r="T10" s="1104">
        <v>107789.19</v>
      </c>
    </row>
    <row r="11" spans="1:79" ht="15" customHeight="1">
      <c r="A11" s="1081" t="s">
        <v>24</v>
      </c>
      <c r="B11" s="1077" t="s">
        <v>25</v>
      </c>
      <c r="C11" s="1470" t="s">
        <v>274</v>
      </c>
      <c r="D11" s="1078">
        <f t="shared" si="1"/>
        <v>2910947.08</v>
      </c>
      <c r="E11" s="1079">
        <f t="shared" si="2"/>
        <v>864467.61</v>
      </c>
      <c r="F11" s="1080">
        <f t="shared" si="3"/>
        <v>2201538.62</v>
      </c>
      <c r="G11" s="1078">
        <f t="shared" si="4"/>
        <v>2187465.67</v>
      </c>
      <c r="H11" s="1100">
        <f t="shared" si="5"/>
        <v>14072.95</v>
      </c>
      <c r="I11" s="1104">
        <v>1321533.24</v>
      </c>
      <c r="J11" s="1104">
        <v>0</v>
      </c>
      <c r="K11" s="1104">
        <v>864467.61</v>
      </c>
      <c r="L11" s="1104">
        <v>400980.86</v>
      </c>
      <c r="M11" s="1104">
        <v>-4.71</v>
      </c>
      <c r="N11" s="1104">
        <v>2586977</v>
      </c>
      <c r="O11" s="1104">
        <v>1589413.84</v>
      </c>
      <c r="P11" s="1104">
        <v>0</v>
      </c>
      <c r="Q11" s="1104">
        <v>0</v>
      </c>
      <c r="R11" s="1104">
        <v>1786484.81</v>
      </c>
      <c r="S11" s="1104">
        <v>14077.66</v>
      </c>
      <c r="T11" s="1104">
        <v>3389976.31</v>
      </c>
    </row>
    <row r="12" spans="1:79" ht="15" customHeight="1">
      <c r="A12" s="1081" t="s">
        <v>26</v>
      </c>
      <c r="B12" s="1077" t="s">
        <v>908</v>
      </c>
      <c r="C12" s="1470" t="s">
        <v>272</v>
      </c>
      <c r="D12" s="1078">
        <f t="shared" si="1"/>
        <v>1714832.35</v>
      </c>
      <c r="E12" s="1079">
        <f t="shared" si="2"/>
        <v>614433.89</v>
      </c>
      <c r="F12" s="1080">
        <f t="shared" si="3"/>
        <v>1201486.53</v>
      </c>
      <c r="G12" s="1078">
        <f t="shared" si="4"/>
        <v>1163855.76</v>
      </c>
      <c r="H12" s="1100">
        <f t="shared" si="5"/>
        <v>37630.769999999997</v>
      </c>
      <c r="I12" s="1104">
        <v>935238.82</v>
      </c>
      <c r="J12" s="1104">
        <v>0</v>
      </c>
      <c r="K12" s="1104">
        <v>614433.89</v>
      </c>
      <c r="L12" s="1104">
        <v>284257.44</v>
      </c>
      <c r="M12" s="1104">
        <v>37638.67</v>
      </c>
      <c r="N12" s="1104">
        <v>1871568.82</v>
      </c>
      <c r="O12" s="1104">
        <v>779593.53</v>
      </c>
      <c r="P12" s="1104">
        <v>0</v>
      </c>
      <c r="Q12" s="1104">
        <v>0</v>
      </c>
      <c r="R12" s="1104">
        <v>879598.32</v>
      </c>
      <c r="S12" s="1104">
        <v>-7.9</v>
      </c>
      <c r="T12" s="1104">
        <v>1659183.95</v>
      </c>
    </row>
    <row r="13" spans="1:79" ht="15" customHeight="1">
      <c r="A13" s="1081" t="s">
        <v>27</v>
      </c>
      <c r="B13" s="1077" t="s">
        <v>28</v>
      </c>
      <c r="C13" s="1470" t="s">
        <v>272</v>
      </c>
      <c r="D13" s="1078">
        <f t="shared" si="1"/>
        <v>105354.47</v>
      </c>
      <c r="E13" s="1079">
        <f t="shared" si="2"/>
        <v>61964.27</v>
      </c>
      <c r="F13" s="1080">
        <f t="shared" si="3"/>
        <v>42741.630000000005</v>
      </c>
      <c r="G13" s="1078">
        <f t="shared" si="4"/>
        <v>40291.300000000003</v>
      </c>
      <c r="H13" s="1100">
        <f t="shared" si="5"/>
        <v>2450.33</v>
      </c>
      <c r="I13" s="1104">
        <v>95035.199999999997</v>
      </c>
      <c r="J13" s="1104">
        <v>0</v>
      </c>
      <c r="K13" s="1104">
        <v>61964.27</v>
      </c>
      <c r="L13" s="1104">
        <v>28796.59</v>
      </c>
      <c r="M13" s="1104">
        <v>2451.33</v>
      </c>
      <c r="N13" s="1104">
        <v>188247.39</v>
      </c>
      <c r="O13" s="1104">
        <v>10319.27</v>
      </c>
      <c r="P13" s="1104">
        <v>0</v>
      </c>
      <c r="Q13" s="1104">
        <v>0</v>
      </c>
      <c r="R13" s="1104">
        <v>11494.71</v>
      </c>
      <c r="S13" s="1104">
        <v>-1</v>
      </c>
      <c r="T13" s="1104">
        <v>21812.98</v>
      </c>
    </row>
    <row r="14" spans="1:79" ht="15" customHeight="1">
      <c r="A14" s="1081" t="s">
        <v>29</v>
      </c>
      <c r="B14" s="1077" t="s">
        <v>329</v>
      </c>
      <c r="C14" s="1470" t="s">
        <v>272</v>
      </c>
      <c r="D14" s="1078">
        <f t="shared" si="1"/>
        <v>930780.84000000008</v>
      </c>
      <c r="E14" s="1079">
        <f t="shared" si="2"/>
        <v>311433.09999999998</v>
      </c>
      <c r="F14" s="1080">
        <f t="shared" si="3"/>
        <v>666509.66</v>
      </c>
      <c r="G14" s="1078">
        <f t="shared" si="4"/>
        <v>662531.36</v>
      </c>
      <c r="H14" s="1100">
        <f t="shared" si="5"/>
        <v>3978.2999999999997</v>
      </c>
      <c r="I14" s="1104">
        <v>470913.57</v>
      </c>
      <c r="J14" s="1104">
        <v>0</v>
      </c>
      <c r="K14" s="1104">
        <v>311433.09999999998</v>
      </c>
      <c r="L14" s="1104">
        <v>143504.75</v>
      </c>
      <c r="M14" s="1104">
        <v>3851.18</v>
      </c>
      <c r="N14" s="1104">
        <v>929702.6</v>
      </c>
      <c r="O14" s="1104">
        <v>459867.27</v>
      </c>
      <c r="P14" s="1104">
        <v>0</v>
      </c>
      <c r="Q14" s="1104">
        <v>0</v>
      </c>
      <c r="R14" s="1104">
        <v>519026.61</v>
      </c>
      <c r="S14" s="1104">
        <v>127.12</v>
      </c>
      <c r="T14" s="1104">
        <v>979021</v>
      </c>
    </row>
    <row r="15" spans="1:79" ht="15" customHeight="1">
      <c r="A15" s="1081" t="s">
        <v>31</v>
      </c>
      <c r="B15" s="1077" t="s">
        <v>32</v>
      </c>
      <c r="C15" s="1470" t="s">
        <v>275</v>
      </c>
      <c r="D15" s="1078">
        <f t="shared" si="1"/>
        <v>155525.34999999998</v>
      </c>
      <c r="E15" s="1079">
        <f t="shared" si="2"/>
        <v>76456.479999999996</v>
      </c>
      <c r="F15" s="1080">
        <f t="shared" si="3"/>
        <v>81806</v>
      </c>
      <c r="G15" s="1078">
        <f t="shared" si="4"/>
        <v>78332.56</v>
      </c>
      <c r="H15" s="1100">
        <f t="shared" si="5"/>
        <v>3473.44</v>
      </c>
      <c r="I15" s="1104">
        <v>117270.76</v>
      </c>
      <c r="J15" s="1104">
        <v>0</v>
      </c>
      <c r="K15" s="1104">
        <v>76456.479999999996</v>
      </c>
      <c r="L15" s="1104">
        <v>35533.64</v>
      </c>
      <c r="M15" s="1104">
        <v>3423.13</v>
      </c>
      <c r="N15" s="1104">
        <v>232684.01</v>
      </c>
      <c r="O15" s="1104">
        <v>38254.589999999997</v>
      </c>
      <c r="P15" s="1104">
        <v>0</v>
      </c>
      <c r="Q15" s="1104">
        <v>0</v>
      </c>
      <c r="R15" s="1104">
        <v>42798.92</v>
      </c>
      <c r="S15" s="1104">
        <v>50.31</v>
      </c>
      <c r="T15" s="1104">
        <v>81103.820000000007</v>
      </c>
    </row>
    <row r="16" spans="1:79" ht="15" customHeight="1">
      <c r="A16" s="1081" t="s">
        <v>33</v>
      </c>
      <c r="B16" s="1077" t="s">
        <v>34</v>
      </c>
      <c r="C16" s="1470" t="s">
        <v>272</v>
      </c>
      <c r="D16" s="1078">
        <f t="shared" si="1"/>
        <v>225749.47</v>
      </c>
      <c r="E16" s="1079">
        <f t="shared" si="2"/>
        <v>133272.62</v>
      </c>
      <c r="F16" s="1080">
        <f t="shared" si="3"/>
        <v>92267.31</v>
      </c>
      <c r="G16" s="1078">
        <f t="shared" si="4"/>
        <v>85685.66</v>
      </c>
      <c r="H16" s="1100">
        <f t="shared" si="5"/>
        <v>6581.6500000000005</v>
      </c>
      <c r="I16" s="1104">
        <v>204434.32</v>
      </c>
      <c r="J16" s="1104">
        <v>0</v>
      </c>
      <c r="K16" s="1104">
        <v>133272.62</v>
      </c>
      <c r="L16" s="1104">
        <v>61942.53</v>
      </c>
      <c r="M16" s="1104">
        <v>6509.39</v>
      </c>
      <c r="N16" s="1104">
        <v>406158.86</v>
      </c>
      <c r="O16" s="1104">
        <v>21315.15</v>
      </c>
      <c r="P16" s="1104">
        <v>0</v>
      </c>
      <c r="Q16" s="1104">
        <v>0</v>
      </c>
      <c r="R16" s="1104">
        <v>23743.13</v>
      </c>
      <c r="S16" s="1104">
        <v>72.260000000000005</v>
      </c>
      <c r="T16" s="1104">
        <v>45130.54</v>
      </c>
    </row>
    <row r="17" spans="1:20" ht="15" customHeight="1">
      <c r="A17" s="1081" t="s">
        <v>37</v>
      </c>
      <c r="B17" s="1077" t="s">
        <v>38</v>
      </c>
      <c r="C17" s="1470" t="s">
        <v>271</v>
      </c>
      <c r="D17" s="1078">
        <f t="shared" si="1"/>
        <v>448670.3</v>
      </c>
      <c r="E17" s="1079">
        <f t="shared" si="2"/>
        <v>286734.18</v>
      </c>
      <c r="F17" s="1080">
        <f t="shared" si="3"/>
        <v>151444.29999999999</v>
      </c>
      <c r="G17" s="1078">
        <f t="shared" si="4"/>
        <v>143530.78</v>
      </c>
      <c r="H17" s="1100">
        <f t="shared" si="5"/>
        <v>7913.5199999999995</v>
      </c>
      <c r="I17" s="1104">
        <v>439388.89</v>
      </c>
      <c r="J17" s="1104">
        <v>0</v>
      </c>
      <c r="K17" s="1104">
        <v>286734.18</v>
      </c>
      <c r="L17" s="1104">
        <v>133192.15</v>
      </c>
      <c r="M17" s="1104">
        <v>7913.83</v>
      </c>
      <c r="N17" s="1104">
        <v>867229.05</v>
      </c>
      <c r="O17" s="1104">
        <v>9281.41</v>
      </c>
      <c r="P17" s="1104">
        <v>0</v>
      </c>
      <c r="Q17" s="1104">
        <v>0</v>
      </c>
      <c r="R17" s="1104">
        <v>10338.629999999999</v>
      </c>
      <c r="S17" s="1104">
        <v>-0.31</v>
      </c>
      <c r="T17" s="1104">
        <v>19619.73</v>
      </c>
    </row>
    <row r="18" spans="1:20" ht="15" customHeight="1">
      <c r="A18" s="1081" t="s">
        <v>39</v>
      </c>
      <c r="B18" s="1077" t="s">
        <v>40</v>
      </c>
      <c r="C18" s="1470" t="s">
        <v>275</v>
      </c>
      <c r="D18" s="1078">
        <f t="shared" si="1"/>
        <v>949962.12</v>
      </c>
      <c r="E18" s="1079">
        <f t="shared" si="2"/>
        <v>394867.92</v>
      </c>
      <c r="F18" s="1080">
        <f t="shared" si="3"/>
        <v>582293.41999999993</v>
      </c>
      <c r="G18" s="1078">
        <f t="shared" si="4"/>
        <v>574556.57999999996</v>
      </c>
      <c r="H18" s="1100">
        <f t="shared" si="5"/>
        <v>7736.84</v>
      </c>
      <c r="I18" s="1104">
        <v>602938.35</v>
      </c>
      <c r="J18" s="1104">
        <v>0</v>
      </c>
      <c r="K18" s="1104">
        <v>394867.92</v>
      </c>
      <c r="L18" s="1104">
        <v>183027.79</v>
      </c>
      <c r="M18" s="1104">
        <v>6921.72</v>
      </c>
      <c r="N18" s="1104">
        <v>1187755.78</v>
      </c>
      <c r="O18" s="1104">
        <v>347023.77</v>
      </c>
      <c r="P18" s="1104">
        <v>0</v>
      </c>
      <c r="Q18" s="1104">
        <v>0</v>
      </c>
      <c r="R18" s="1104">
        <v>391528.79</v>
      </c>
      <c r="S18" s="1104">
        <v>815.12</v>
      </c>
      <c r="T18" s="1104">
        <v>739367.68</v>
      </c>
    </row>
    <row r="19" spans="1:20" ht="15" customHeight="1">
      <c r="A19" s="1081" t="s">
        <v>41</v>
      </c>
      <c r="B19" s="1077" t="s">
        <v>42</v>
      </c>
      <c r="C19" s="1470" t="s">
        <v>273</v>
      </c>
      <c r="D19" s="1078">
        <f t="shared" si="1"/>
        <v>305392.08999999997</v>
      </c>
      <c r="E19" s="1079">
        <f t="shared" si="2"/>
        <v>162890.70000000001</v>
      </c>
      <c r="F19" s="1080">
        <f t="shared" si="3"/>
        <v>139443.62999999998</v>
      </c>
      <c r="G19" s="1078">
        <f t="shared" si="4"/>
        <v>137317.54999999999</v>
      </c>
      <c r="H19" s="1100">
        <f t="shared" si="5"/>
        <v>2126.08</v>
      </c>
      <c r="I19" s="1104">
        <v>250128.28</v>
      </c>
      <c r="J19" s="1104">
        <v>0</v>
      </c>
      <c r="K19" s="1104">
        <v>162890.70000000001</v>
      </c>
      <c r="L19" s="1104">
        <v>75758.759999999995</v>
      </c>
      <c r="M19" s="1104">
        <v>1980.3</v>
      </c>
      <c r="N19" s="1104">
        <v>490758.04</v>
      </c>
      <c r="O19" s="1104">
        <v>55263.81</v>
      </c>
      <c r="P19" s="1104">
        <v>0</v>
      </c>
      <c r="Q19" s="1104">
        <v>0</v>
      </c>
      <c r="R19" s="1104">
        <v>61558.79</v>
      </c>
      <c r="S19" s="1104">
        <v>145.78</v>
      </c>
      <c r="T19" s="1104">
        <v>116968.38</v>
      </c>
    </row>
    <row r="20" spans="1:20" ht="15" customHeight="1">
      <c r="A20" s="1081" t="s">
        <v>43</v>
      </c>
      <c r="B20" s="1077" t="s">
        <v>44</v>
      </c>
      <c r="C20" s="1470" t="s">
        <v>272</v>
      </c>
      <c r="D20" s="1078">
        <f t="shared" si="1"/>
        <v>893082.10000000009</v>
      </c>
      <c r="E20" s="1079">
        <f t="shared" si="2"/>
        <v>412889.47</v>
      </c>
      <c r="F20" s="1080">
        <f t="shared" si="3"/>
        <v>481975.80999999994</v>
      </c>
      <c r="G20" s="1078">
        <f t="shared" si="4"/>
        <v>481985.69999999995</v>
      </c>
      <c r="H20" s="1100">
        <f t="shared" si="5"/>
        <v>-9.89</v>
      </c>
      <c r="I20" s="1104">
        <v>632962.55000000005</v>
      </c>
      <c r="J20" s="1104">
        <v>0</v>
      </c>
      <c r="K20" s="1104">
        <v>412889.47</v>
      </c>
      <c r="L20" s="1104">
        <v>191840.53</v>
      </c>
      <c r="M20" s="1104">
        <v>-7.54</v>
      </c>
      <c r="N20" s="1104">
        <v>1237685.01</v>
      </c>
      <c r="O20" s="1104">
        <v>260119.55</v>
      </c>
      <c r="P20" s="1104">
        <v>0</v>
      </c>
      <c r="Q20" s="1104">
        <v>0</v>
      </c>
      <c r="R20" s="1104">
        <v>290145.17</v>
      </c>
      <c r="S20" s="1104">
        <v>-2.35</v>
      </c>
      <c r="T20" s="1104">
        <v>550262.37</v>
      </c>
    </row>
    <row r="21" spans="1:20" ht="15" customHeight="1">
      <c r="A21" s="1081" t="s">
        <v>45</v>
      </c>
      <c r="B21" s="1077" t="s">
        <v>46</v>
      </c>
      <c r="C21" s="1470" t="s">
        <v>273</v>
      </c>
      <c r="D21" s="1078">
        <f t="shared" si="1"/>
        <v>531964.40999999992</v>
      </c>
      <c r="E21" s="1079">
        <f t="shared" si="2"/>
        <v>210837.95</v>
      </c>
      <c r="F21" s="1080">
        <f t="shared" si="3"/>
        <v>333727.31</v>
      </c>
      <c r="G21" s="1078">
        <f t="shared" si="4"/>
        <v>331655.53999999998</v>
      </c>
      <c r="H21" s="1100">
        <f t="shared" si="5"/>
        <v>2071.77</v>
      </c>
      <c r="I21" s="1104">
        <v>322892.86</v>
      </c>
      <c r="J21" s="1104">
        <v>0</v>
      </c>
      <c r="K21" s="1104">
        <v>210837.95</v>
      </c>
      <c r="L21" s="1104">
        <v>97901.71</v>
      </c>
      <c r="M21" s="1104">
        <v>2073.81</v>
      </c>
      <c r="N21" s="1104">
        <v>633706.32999999996</v>
      </c>
      <c r="O21" s="1104">
        <v>209071.55</v>
      </c>
      <c r="P21" s="1104">
        <v>0</v>
      </c>
      <c r="Q21" s="1104">
        <v>0</v>
      </c>
      <c r="R21" s="1104">
        <v>233753.83</v>
      </c>
      <c r="S21" s="1104">
        <v>-2.04</v>
      </c>
      <c r="T21" s="1104">
        <v>442823.34</v>
      </c>
    </row>
    <row r="22" spans="1:20" ht="15" customHeight="1">
      <c r="A22" s="1081" t="s">
        <v>47</v>
      </c>
      <c r="B22" s="1077" t="s">
        <v>48</v>
      </c>
      <c r="C22" s="1470" t="s">
        <v>275</v>
      </c>
      <c r="D22" s="1078">
        <f t="shared" si="1"/>
        <v>502593.05999999994</v>
      </c>
      <c r="E22" s="1079">
        <f t="shared" si="2"/>
        <v>278799.34999999998</v>
      </c>
      <c r="F22" s="1080">
        <f t="shared" si="3"/>
        <v>245988.53999999998</v>
      </c>
      <c r="G22" s="1078">
        <f t="shared" si="4"/>
        <v>213094.15999999997</v>
      </c>
      <c r="H22" s="1100">
        <f t="shared" si="5"/>
        <v>32894.380000000005</v>
      </c>
      <c r="I22" s="1104">
        <v>427616.91</v>
      </c>
      <c r="J22" s="1104">
        <v>0</v>
      </c>
      <c r="K22" s="1104">
        <v>278799.34999999998</v>
      </c>
      <c r="L22" s="1104">
        <v>129577.54</v>
      </c>
      <c r="M22" s="1104">
        <v>32895.300000000003</v>
      </c>
      <c r="N22" s="1104">
        <v>868889.1</v>
      </c>
      <c r="O22" s="1104">
        <v>74976.149999999994</v>
      </c>
      <c r="P22" s="1104">
        <v>0</v>
      </c>
      <c r="Q22" s="1104">
        <v>0</v>
      </c>
      <c r="R22" s="1104">
        <v>83516.62</v>
      </c>
      <c r="S22" s="1104">
        <v>-0.92</v>
      </c>
      <c r="T22" s="1104">
        <v>158491.85</v>
      </c>
    </row>
    <row r="23" spans="1:20" ht="15" customHeight="1">
      <c r="A23" s="1081" t="s">
        <v>49</v>
      </c>
      <c r="B23" s="1077" t="s">
        <v>276</v>
      </c>
      <c r="C23" s="1470" t="s">
        <v>273</v>
      </c>
      <c r="D23" s="1078">
        <f t="shared" si="1"/>
        <v>193461.5</v>
      </c>
      <c r="E23" s="1079">
        <f t="shared" si="2"/>
        <v>120355.96</v>
      </c>
      <c r="F23" s="1080">
        <f t="shared" si="3"/>
        <v>66206.789999999994</v>
      </c>
      <c r="G23" s="1078">
        <f t="shared" si="4"/>
        <v>66212.62</v>
      </c>
      <c r="H23" s="1100">
        <f t="shared" si="5"/>
        <v>-5.83</v>
      </c>
      <c r="I23" s="1104">
        <v>184318.54</v>
      </c>
      <c r="J23" s="1104">
        <v>0</v>
      </c>
      <c r="K23" s="1104">
        <v>120355.96</v>
      </c>
      <c r="L23" s="1104">
        <v>55885.74</v>
      </c>
      <c r="M23" s="1104">
        <v>-5.61</v>
      </c>
      <c r="N23" s="1104">
        <v>360554.63</v>
      </c>
      <c r="O23" s="1104">
        <v>9142.9599999999991</v>
      </c>
      <c r="P23" s="1104">
        <v>0</v>
      </c>
      <c r="Q23" s="1104">
        <v>0</v>
      </c>
      <c r="R23" s="1104">
        <v>10326.879999999999</v>
      </c>
      <c r="S23" s="1104">
        <v>-0.22</v>
      </c>
      <c r="T23" s="1104">
        <v>19469.62</v>
      </c>
    </row>
    <row r="24" spans="1:20" ht="15" customHeight="1">
      <c r="A24" s="1081" t="s">
        <v>51</v>
      </c>
      <c r="B24" s="1077" t="s">
        <v>52</v>
      </c>
      <c r="C24" s="1470" t="s">
        <v>272</v>
      </c>
      <c r="D24" s="1078">
        <f t="shared" si="1"/>
        <v>348666.99</v>
      </c>
      <c r="E24" s="1079">
        <f t="shared" si="2"/>
        <v>166186.41</v>
      </c>
      <c r="F24" s="1080">
        <f t="shared" si="3"/>
        <v>183942.32</v>
      </c>
      <c r="G24" s="1078">
        <f t="shared" si="4"/>
        <v>183543.72</v>
      </c>
      <c r="H24" s="1100">
        <f t="shared" si="5"/>
        <v>398.59999999999997</v>
      </c>
      <c r="I24" s="1104">
        <v>254222.03</v>
      </c>
      <c r="J24" s="1104">
        <v>0</v>
      </c>
      <c r="K24" s="1104">
        <v>166186.41</v>
      </c>
      <c r="L24" s="1104">
        <v>77115.23</v>
      </c>
      <c r="M24" s="1104">
        <v>400.59</v>
      </c>
      <c r="N24" s="1104">
        <v>497924.26</v>
      </c>
      <c r="O24" s="1104">
        <v>94444.96</v>
      </c>
      <c r="P24" s="1104">
        <v>0</v>
      </c>
      <c r="Q24" s="1104">
        <v>0</v>
      </c>
      <c r="R24" s="1104">
        <v>106428.49</v>
      </c>
      <c r="S24" s="1104">
        <v>-1.99</v>
      </c>
      <c r="T24" s="1104">
        <v>200871.46</v>
      </c>
    </row>
    <row r="25" spans="1:20" ht="15" customHeight="1">
      <c r="A25" s="1081" t="s">
        <v>57</v>
      </c>
      <c r="B25" s="1077" t="s">
        <v>305</v>
      </c>
      <c r="C25" s="1470" t="s">
        <v>273</v>
      </c>
      <c r="D25" s="1078">
        <f t="shared" si="1"/>
        <v>2096685.45</v>
      </c>
      <c r="E25" s="1079">
        <f t="shared" si="2"/>
        <v>759927.76</v>
      </c>
      <c r="F25" s="1080">
        <f t="shared" si="3"/>
        <v>1448153.7200000002</v>
      </c>
      <c r="G25" s="1078">
        <f t="shared" si="4"/>
        <v>1402034.1300000001</v>
      </c>
      <c r="H25" s="1100">
        <f t="shared" si="5"/>
        <v>46119.59</v>
      </c>
      <c r="I25" s="1104">
        <v>1163602.22</v>
      </c>
      <c r="J25" s="1104">
        <v>0</v>
      </c>
      <c r="K25" s="1104">
        <v>759927.76</v>
      </c>
      <c r="L25" s="1104">
        <v>352835.01</v>
      </c>
      <c r="M25" s="1104">
        <v>11206.16</v>
      </c>
      <c r="N25" s="1104">
        <v>2287571.15</v>
      </c>
      <c r="O25" s="1104">
        <v>933083.23</v>
      </c>
      <c r="P25" s="1104">
        <v>0</v>
      </c>
      <c r="Q25" s="1104">
        <v>0</v>
      </c>
      <c r="R25" s="1104">
        <v>1049199.1200000001</v>
      </c>
      <c r="S25" s="1104">
        <v>34913.43</v>
      </c>
      <c r="T25" s="1104">
        <v>2017195.78</v>
      </c>
    </row>
    <row r="26" spans="1:20" ht="15" customHeight="1">
      <c r="A26" s="1081" t="s">
        <v>59</v>
      </c>
      <c r="B26" s="1077" t="s">
        <v>60</v>
      </c>
      <c r="C26" s="1470" t="s">
        <v>274</v>
      </c>
      <c r="D26" s="1078">
        <f t="shared" si="1"/>
        <v>195062.62</v>
      </c>
      <c r="E26" s="1079">
        <f t="shared" si="2"/>
        <v>63090.66</v>
      </c>
      <c r="F26" s="1080">
        <f t="shared" si="3"/>
        <v>148848.21999999997</v>
      </c>
      <c r="G26" s="1078">
        <f t="shared" si="4"/>
        <v>141245.35999999999</v>
      </c>
      <c r="H26" s="1100">
        <f t="shared" si="5"/>
        <v>7602.8600000000006</v>
      </c>
      <c r="I26" s="1104">
        <v>95801.49</v>
      </c>
      <c r="J26" s="1104">
        <v>0</v>
      </c>
      <c r="K26" s="1104">
        <v>63090.66</v>
      </c>
      <c r="L26" s="1104">
        <v>29144.44</v>
      </c>
      <c r="M26" s="1104">
        <v>4270.3500000000004</v>
      </c>
      <c r="N26" s="1104">
        <v>192306.94</v>
      </c>
      <c r="O26" s="1104">
        <v>99261.13</v>
      </c>
      <c r="P26" s="1104">
        <v>0</v>
      </c>
      <c r="Q26" s="1104">
        <v>0</v>
      </c>
      <c r="R26" s="1104">
        <v>112100.92</v>
      </c>
      <c r="S26" s="1104">
        <v>3332.51</v>
      </c>
      <c r="T26" s="1104">
        <v>214694.56</v>
      </c>
    </row>
    <row r="27" spans="1:20" ht="15" customHeight="1">
      <c r="A27" s="1081" t="s">
        <v>61</v>
      </c>
      <c r="B27" s="1077" t="s">
        <v>62</v>
      </c>
      <c r="C27" s="1470" t="s">
        <v>272</v>
      </c>
      <c r="D27" s="1078">
        <f t="shared" si="1"/>
        <v>74270.680000000008</v>
      </c>
      <c r="E27" s="1079">
        <f t="shared" si="2"/>
        <v>48236.28</v>
      </c>
      <c r="F27" s="1080">
        <f t="shared" si="3"/>
        <v>23005.760000000002</v>
      </c>
      <c r="G27" s="1078">
        <f t="shared" si="4"/>
        <v>22765.850000000002</v>
      </c>
      <c r="H27" s="1100">
        <f t="shared" si="5"/>
        <v>239.91</v>
      </c>
      <c r="I27" s="1104">
        <v>73954.850000000006</v>
      </c>
      <c r="J27" s="1104">
        <v>0</v>
      </c>
      <c r="K27" s="1104">
        <v>48236.28</v>
      </c>
      <c r="L27" s="1104">
        <v>22412.080000000002</v>
      </c>
      <c r="M27" s="1104">
        <v>240.26</v>
      </c>
      <c r="N27" s="1104">
        <v>144843.47</v>
      </c>
      <c r="O27" s="1104">
        <v>315.83</v>
      </c>
      <c r="P27" s="1104">
        <v>0</v>
      </c>
      <c r="Q27" s="1104">
        <v>0</v>
      </c>
      <c r="R27" s="1104">
        <v>353.77</v>
      </c>
      <c r="S27" s="1104">
        <v>-0.35</v>
      </c>
      <c r="T27" s="1104">
        <v>669.25</v>
      </c>
    </row>
    <row r="28" spans="1:20" ht="15" customHeight="1">
      <c r="A28" s="1081" t="s">
        <v>63</v>
      </c>
      <c r="B28" s="1077" t="s">
        <v>64</v>
      </c>
      <c r="C28" s="1470" t="s">
        <v>274</v>
      </c>
      <c r="D28" s="1078">
        <f t="shared" si="1"/>
        <v>825065.24</v>
      </c>
      <c r="E28" s="1079">
        <f t="shared" si="2"/>
        <v>227412.22</v>
      </c>
      <c r="F28" s="1080">
        <f t="shared" si="3"/>
        <v>1278117.05</v>
      </c>
      <c r="G28" s="1078">
        <f t="shared" si="4"/>
        <v>641761.9</v>
      </c>
      <c r="H28" s="1100">
        <f t="shared" si="5"/>
        <v>636355.15</v>
      </c>
      <c r="I28" s="1104">
        <v>347305.16</v>
      </c>
      <c r="J28" s="1104">
        <v>0</v>
      </c>
      <c r="K28" s="1104">
        <v>227412.22</v>
      </c>
      <c r="L28" s="1104">
        <v>105420.67</v>
      </c>
      <c r="M28" s="1104">
        <v>487800.86</v>
      </c>
      <c r="N28" s="1104">
        <v>1167938.9099999999</v>
      </c>
      <c r="O28" s="1104">
        <v>477760.08</v>
      </c>
      <c r="P28" s="1104">
        <v>0</v>
      </c>
      <c r="Q28" s="1104">
        <v>0</v>
      </c>
      <c r="R28" s="1104">
        <v>536341.23</v>
      </c>
      <c r="S28" s="1104">
        <v>148554.29</v>
      </c>
      <c r="T28" s="1104">
        <v>1162655.6000000001</v>
      </c>
    </row>
    <row r="29" spans="1:20" ht="15" customHeight="1">
      <c r="A29" s="1081" t="s">
        <v>65</v>
      </c>
      <c r="B29" s="1077" t="s">
        <v>66</v>
      </c>
      <c r="C29" s="1470" t="s">
        <v>273</v>
      </c>
      <c r="D29" s="1078">
        <f t="shared" si="1"/>
        <v>218019.63</v>
      </c>
      <c r="E29" s="1079">
        <f t="shared" si="2"/>
        <v>114130.41</v>
      </c>
      <c r="F29" s="1080">
        <f t="shared" si="3"/>
        <v>106884.26</v>
      </c>
      <c r="G29" s="1078">
        <f t="shared" si="4"/>
        <v>100766.76999999999</v>
      </c>
      <c r="H29" s="1100">
        <f t="shared" si="5"/>
        <v>6117.49</v>
      </c>
      <c r="I29" s="1104">
        <v>175200.23</v>
      </c>
      <c r="J29" s="1104">
        <v>0</v>
      </c>
      <c r="K29" s="1104">
        <v>114130.41</v>
      </c>
      <c r="L29" s="1104">
        <v>53069.95</v>
      </c>
      <c r="M29" s="1104">
        <v>6120.09</v>
      </c>
      <c r="N29" s="1104">
        <v>348520.68</v>
      </c>
      <c r="O29" s="1104">
        <v>42819.4</v>
      </c>
      <c r="P29" s="1104">
        <v>0</v>
      </c>
      <c r="Q29" s="1104">
        <v>0</v>
      </c>
      <c r="R29" s="1104">
        <v>47696.82</v>
      </c>
      <c r="S29" s="1104">
        <v>-2.6</v>
      </c>
      <c r="T29" s="1104">
        <v>90513.62</v>
      </c>
    </row>
    <row r="30" spans="1:20" ht="15" customHeight="1">
      <c r="A30" s="1081" t="s">
        <v>69</v>
      </c>
      <c r="B30" s="1077" t="s">
        <v>70</v>
      </c>
      <c r="C30" s="1470" t="s">
        <v>275</v>
      </c>
      <c r="D30" s="1078">
        <f t="shared" si="1"/>
        <v>568863.11</v>
      </c>
      <c r="E30" s="1079">
        <f t="shared" si="2"/>
        <v>307073.56</v>
      </c>
      <c r="F30" s="1080">
        <f t="shared" si="3"/>
        <v>267729.25</v>
      </c>
      <c r="G30" s="1078">
        <f t="shared" si="4"/>
        <v>251560</v>
      </c>
      <c r="H30" s="1100">
        <f t="shared" si="5"/>
        <v>16169.25</v>
      </c>
      <c r="I30" s="1104">
        <v>471185.59</v>
      </c>
      <c r="J30" s="1104">
        <v>0</v>
      </c>
      <c r="K30" s="1104">
        <v>307073.56</v>
      </c>
      <c r="L30" s="1104">
        <v>142756.1</v>
      </c>
      <c r="M30" s="1104">
        <v>15698.21</v>
      </c>
      <c r="N30" s="1104">
        <v>936713.46</v>
      </c>
      <c r="O30" s="1104">
        <v>97677.52</v>
      </c>
      <c r="P30" s="1104">
        <v>0</v>
      </c>
      <c r="Q30" s="1104">
        <v>0</v>
      </c>
      <c r="R30" s="1104">
        <v>108803.9</v>
      </c>
      <c r="S30" s="1104">
        <v>471.04</v>
      </c>
      <c r="T30" s="1104">
        <v>206952.46</v>
      </c>
    </row>
    <row r="31" spans="1:20" ht="15" customHeight="1">
      <c r="A31" s="1081" t="s">
        <v>71</v>
      </c>
      <c r="B31" s="1077" t="s">
        <v>72</v>
      </c>
      <c r="C31" s="1470" t="s">
        <v>271</v>
      </c>
      <c r="D31" s="1078">
        <f t="shared" si="1"/>
        <v>472817.97000000003</v>
      </c>
      <c r="E31" s="1079">
        <f t="shared" si="2"/>
        <v>260447.8</v>
      </c>
      <c r="F31" s="1080">
        <f t="shared" si="3"/>
        <v>217468.11999999997</v>
      </c>
      <c r="G31" s="1078">
        <f t="shared" si="4"/>
        <v>203390.78999999998</v>
      </c>
      <c r="H31" s="1100">
        <f t="shared" si="5"/>
        <v>14077.33</v>
      </c>
      <c r="I31" s="1104">
        <v>398913.27</v>
      </c>
      <c r="J31" s="1104">
        <v>0</v>
      </c>
      <c r="K31" s="1104">
        <v>260447.8</v>
      </c>
      <c r="L31" s="1104">
        <v>120945.93</v>
      </c>
      <c r="M31" s="1104">
        <v>14079.89</v>
      </c>
      <c r="N31" s="1104">
        <v>794386.89</v>
      </c>
      <c r="O31" s="1104">
        <v>73904.7</v>
      </c>
      <c r="P31" s="1104">
        <v>0</v>
      </c>
      <c r="Q31" s="1104">
        <v>0</v>
      </c>
      <c r="R31" s="1104">
        <v>82444.86</v>
      </c>
      <c r="S31" s="1104">
        <v>-2.56</v>
      </c>
      <c r="T31" s="1104">
        <v>156347</v>
      </c>
    </row>
    <row r="32" spans="1:20" ht="15" customHeight="1">
      <c r="A32" s="1081" t="s">
        <v>73</v>
      </c>
      <c r="B32" s="1077" t="s">
        <v>74</v>
      </c>
      <c r="C32" s="1470" t="s">
        <v>273</v>
      </c>
      <c r="D32" s="1078">
        <f t="shared" si="1"/>
        <v>270341.5</v>
      </c>
      <c r="E32" s="1079">
        <f t="shared" si="2"/>
        <v>93667.3</v>
      </c>
      <c r="F32" s="1080">
        <f t="shared" si="3"/>
        <v>202172.22</v>
      </c>
      <c r="G32" s="1078">
        <f t="shared" si="4"/>
        <v>187423.93</v>
      </c>
      <c r="H32" s="1100">
        <f t="shared" si="5"/>
        <v>14748.29</v>
      </c>
      <c r="I32" s="1104">
        <v>142683.38</v>
      </c>
      <c r="J32" s="1104">
        <v>0</v>
      </c>
      <c r="K32" s="1104">
        <v>93667.3</v>
      </c>
      <c r="L32" s="1104">
        <v>43352.85</v>
      </c>
      <c r="M32" s="1104">
        <v>14400.17</v>
      </c>
      <c r="N32" s="1104">
        <v>294103.7</v>
      </c>
      <c r="O32" s="1104">
        <v>127658.12</v>
      </c>
      <c r="P32" s="1104">
        <v>0</v>
      </c>
      <c r="Q32" s="1104">
        <v>0</v>
      </c>
      <c r="R32" s="1104">
        <v>144071.07999999999</v>
      </c>
      <c r="S32" s="1104">
        <v>348.12</v>
      </c>
      <c r="T32" s="1104">
        <v>272077.32</v>
      </c>
    </row>
    <row r="33" spans="1:20" ht="15" customHeight="1">
      <c r="A33" s="1081" t="s">
        <v>75</v>
      </c>
      <c r="B33" s="1077" t="s">
        <v>312</v>
      </c>
      <c r="C33" s="1470" t="s">
        <v>274</v>
      </c>
      <c r="D33" s="1078">
        <f t="shared" si="1"/>
        <v>10808758.52</v>
      </c>
      <c r="E33" s="1079">
        <f t="shared" si="2"/>
        <v>3095088.18</v>
      </c>
      <c r="F33" s="1080">
        <f t="shared" si="3"/>
        <v>8204380.6699999999</v>
      </c>
      <c r="G33" s="1078">
        <f t="shared" si="4"/>
        <v>8204393.9299999997</v>
      </c>
      <c r="H33" s="1100">
        <f t="shared" si="5"/>
        <v>-13.26</v>
      </c>
      <c r="I33" s="1104">
        <v>4749824.63</v>
      </c>
      <c r="J33" s="1104">
        <v>0</v>
      </c>
      <c r="K33" s="1104">
        <v>3095088.18</v>
      </c>
      <c r="L33" s="1104">
        <v>1439007.66</v>
      </c>
      <c r="M33" s="1104">
        <v>-0.47</v>
      </c>
      <c r="N33" s="1104">
        <v>9283920</v>
      </c>
      <c r="O33" s="1104">
        <v>6058933.8899999997</v>
      </c>
      <c r="P33" s="1104">
        <v>0</v>
      </c>
      <c r="Q33" s="1104">
        <v>0</v>
      </c>
      <c r="R33" s="1104">
        <v>6765386.2699999996</v>
      </c>
      <c r="S33" s="1104">
        <v>-12.79</v>
      </c>
      <c r="T33" s="1104">
        <v>12824307.369999999</v>
      </c>
    </row>
    <row r="34" spans="1:20" ht="15" customHeight="1">
      <c r="A34" s="1081" t="s">
        <v>77</v>
      </c>
      <c r="B34" s="1077" t="s">
        <v>78</v>
      </c>
      <c r="C34" s="1470" t="s">
        <v>274</v>
      </c>
      <c r="D34" s="1078">
        <f t="shared" si="1"/>
        <v>617043.18999999994</v>
      </c>
      <c r="E34" s="1079">
        <f t="shared" si="2"/>
        <v>228760.5</v>
      </c>
      <c r="F34" s="1080">
        <f t="shared" si="3"/>
        <v>414726.66</v>
      </c>
      <c r="G34" s="1078">
        <f t="shared" si="4"/>
        <v>410636.95999999996</v>
      </c>
      <c r="H34" s="1100">
        <f t="shared" si="5"/>
        <v>4089.7</v>
      </c>
      <c r="I34" s="1104">
        <v>346756.96</v>
      </c>
      <c r="J34" s="1104">
        <v>0</v>
      </c>
      <c r="K34" s="1104">
        <v>228760.5</v>
      </c>
      <c r="L34" s="1104">
        <v>105567.41</v>
      </c>
      <c r="M34" s="1104">
        <v>2363.54</v>
      </c>
      <c r="N34" s="1104">
        <v>683448.41</v>
      </c>
      <c r="O34" s="1104">
        <v>270286.23</v>
      </c>
      <c r="P34" s="1104">
        <v>0</v>
      </c>
      <c r="Q34" s="1104">
        <v>0</v>
      </c>
      <c r="R34" s="1104">
        <v>305069.55</v>
      </c>
      <c r="S34" s="1104">
        <v>1726.16</v>
      </c>
      <c r="T34" s="1104">
        <v>577081.93999999994</v>
      </c>
    </row>
    <row r="35" spans="1:20" ht="15" customHeight="1">
      <c r="A35" s="1081" t="s">
        <v>79</v>
      </c>
      <c r="B35" s="1077" t="s">
        <v>80</v>
      </c>
      <c r="C35" s="1470" t="s">
        <v>275</v>
      </c>
      <c r="D35" s="1078">
        <f t="shared" si="1"/>
        <v>209943.22999999998</v>
      </c>
      <c r="E35" s="1079">
        <f t="shared" si="2"/>
        <v>88155.520000000004</v>
      </c>
      <c r="F35" s="1080">
        <f t="shared" si="3"/>
        <v>124722.53</v>
      </c>
      <c r="G35" s="1078">
        <f t="shared" si="4"/>
        <v>124377.25</v>
      </c>
      <c r="H35" s="1100">
        <f t="shared" si="5"/>
        <v>345.28000000000003</v>
      </c>
      <c r="I35" s="1104">
        <v>135183.12</v>
      </c>
      <c r="J35" s="1104">
        <v>0</v>
      </c>
      <c r="K35" s="1104">
        <v>88155.520000000004</v>
      </c>
      <c r="L35" s="1104">
        <v>40964.83</v>
      </c>
      <c r="M35" s="1104">
        <v>347.81</v>
      </c>
      <c r="N35" s="1104">
        <v>264651.28000000003</v>
      </c>
      <c r="O35" s="1104">
        <v>74760.11</v>
      </c>
      <c r="P35" s="1104">
        <v>0</v>
      </c>
      <c r="Q35" s="1104">
        <v>0</v>
      </c>
      <c r="R35" s="1104">
        <v>83412.42</v>
      </c>
      <c r="S35" s="1104">
        <v>-2.5299999999999998</v>
      </c>
      <c r="T35" s="1104">
        <v>158170</v>
      </c>
    </row>
    <row r="36" spans="1:20" ht="15" customHeight="1">
      <c r="A36" s="1081" t="s">
        <v>81</v>
      </c>
      <c r="B36" s="1077" t="s">
        <v>82</v>
      </c>
      <c r="C36" s="1470" t="s">
        <v>273</v>
      </c>
      <c r="D36" s="1078">
        <f t="shared" si="1"/>
        <v>228760.44</v>
      </c>
      <c r="E36" s="1079">
        <f t="shared" si="2"/>
        <v>117374.23</v>
      </c>
      <c r="F36" s="1080">
        <f t="shared" si="3"/>
        <v>218030.63</v>
      </c>
      <c r="G36" s="1078">
        <f t="shared" si="4"/>
        <v>108305.52</v>
      </c>
      <c r="H36" s="1100">
        <f t="shared" si="5"/>
        <v>109725.11</v>
      </c>
      <c r="I36" s="1104">
        <v>180784.56</v>
      </c>
      <c r="J36" s="1104">
        <v>0</v>
      </c>
      <c r="K36" s="1104">
        <v>117374.23</v>
      </c>
      <c r="L36" s="1104">
        <v>54690.16</v>
      </c>
      <c r="M36" s="1104">
        <v>70725.440000000002</v>
      </c>
      <c r="N36" s="1104">
        <v>423574.39</v>
      </c>
      <c r="O36" s="1104">
        <v>47975.88</v>
      </c>
      <c r="P36" s="1104">
        <v>0</v>
      </c>
      <c r="Q36" s="1104">
        <v>0</v>
      </c>
      <c r="R36" s="1104">
        <v>53615.360000000001</v>
      </c>
      <c r="S36" s="1104">
        <v>38999.67</v>
      </c>
      <c r="T36" s="1104">
        <v>140590.91</v>
      </c>
    </row>
    <row r="37" spans="1:20" ht="15" customHeight="1">
      <c r="A37" s="1081" t="s">
        <v>85</v>
      </c>
      <c r="B37" s="1077" t="s">
        <v>330</v>
      </c>
      <c r="C37" s="1470" t="s">
        <v>272</v>
      </c>
      <c r="D37" s="1078">
        <f t="shared" si="1"/>
        <v>735859.64</v>
      </c>
      <c r="E37" s="1079">
        <f t="shared" si="2"/>
        <v>276143.67</v>
      </c>
      <c r="F37" s="1080">
        <f t="shared" si="3"/>
        <v>496486.44000000006</v>
      </c>
      <c r="G37" s="1078">
        <f t="shared" si="4"/>
        <v>482865.43000000005</v>
      </c>
      <c r="H37" s="1100">
        <f t="shared" si="5"/>
        <v>13621.01</v>
      </c>
      <c r="I37" s="1104">
        <v>421267.46</v>
      </c>
      <c r="J37" s="1104">
        <v>0</v>
      </c>
      <c r="K37" s="1104">
        <v>276143.67</v>
      </c>
      <c r="L37" s="1104">
        <v>127925.41</v>
      </c>
      <c r="M37" s="1104">
        <v>10793.09</v>
      </c>
      <c r="N37" s="1104">
        <v>836129.63</v>
      </c>
      <c r="O37" s="1104">
        <v>314592.18</v>
      </c>
      <c r="P37" s="1104">
        <v>0</v>
      </c>
      <c r="Q37" s="1104">
        <v>0</v>
      </c>
      <c r="R37" s="1104">
        <v>354940.02</v>
      </c>
      <c r="S37" s="1104">
        <v>2827.92</v>
      </c>
      <c r="T37" s="1104">
        <v>672360.12</v>
      </c>
    </row>
    <row r="38" spans="1:20" ht="15" customHeight="1">
      <c r="A38" s="1081" t="s">
        <v>87</v>
      </c>
      <c r="B38" s="1077" t="s">
        <v>88</v>
      </c>
      <c r="C38" s="1470" t="s">
        <v>274</v>
      </c>
      <c r="D38" s="1078">
        <f t="shared" si="1"/>
        <v>913631.97</v>
      </c>
      <c r="E38" s="1079">
        <f t="shared" si="2"/>
        <v>243349.52</v>
      </c>
      <c r="F38" s="1080">
        <f t="shared" si="3"/>
        <v>728624.26</v>
      </c>
      <c r="G38" s="1078">
        <f t="shared" si="4"/>
        <v>726970.2</v>
      </c>
      <c r="H38" s="1100">
        <f t="shared" si="5"/>
        <v>1654.06</v>
      </c>
      <c r="I38" s="1104">
        <v>368637.79</v>
      </c>
      <c r="J38" s="1104">
        <v>0</v>
      </c>
      <c r="K38" s="1104">
        <v>243349.52</v>
      </c>
      <c r="L38" s="1104">
        <v>112257.18</v>
      </c>
      <c r="M38" s="1104">
        <v>729.9</v>
      </c>
      <c r="N38" s="1104">
        <v>724974.39</v>
      </c>
      <c r="O38" s="1104">
        <v>544994.18000000005</v>
      </c>
      <c r="P38" s="1104">
        <v>0</v>
      </c>
      <c r="Q38" s="1104">
        <v>0</v>
      </c>
      <c r="R38" s="1104">
        <v>614713.02</v>
      </c>
      <c r="S38" s="1104">
        <v>924.16</v>
      </c>
      <c r="T38" s="1104">
        <v>1160631.3600000001</v>
      </c>
    </row>
    <row r="39" spans="1:20" ht="15" customHeight="1">
      <c r="A39" s="1081" t="s">
        <v>93</v>
      </c>
      <c r="B39" s="1077" t="s">
        <v>94</v>
      </c>
      <c r="C39" s="1470" t="s">
        <v>275</v>
      </c>
      <c r="D39" s="1078">
        <f t="shared" si="1"/>
        <v>319735.69</v>
      </c>
      <c r="E39" s="1079">
        <f t="shared" si="2"/>
        <v>159374.07</v>
      </c>
      <c r="F39" s="1080">
        <f t="shared" si="3"/>
        <v>162018.58000000002</v>
      </c>
      <c r="G39" s="1078">
        <f t="shared" si="4"/>
        <v>157597.51</v>
      </c>
      <c r="H39" s="1100">
        <f t="shared" si="5"/>
        <v>4421.0700000000006</v>
      </c>
      <c r="I39" s="1104">
        <v>244794.47</v>
      </c>
      <c r="J39" s="1104">
        <v>0</v>
      </c>
      <c r="K39" s="1104">
        <v>159374.07</v>
      </c>
      <c r="L39" s="1104">
        <v>74136.34</v>
      </c>
      <c r="M39" s="1104">
        <v>4422.05</v>
      </c>
      <c r="N39" s="1104">
        <v>482726.93</v>
      </c>
      <c r="O39" s="1104">
        <v>74941.22</v>
      </c>
      <c r="P39" s="1104">
        <v>0</v>
      </c>
      <c r="Q39" s="1104">
        <v>0</v>
      </c>
      <c r="R39" s="1104">
        <v>83461.17</v>
      </c>
      <c r="S39" s="1104">
        <v>-0.98</v>
      </c>
      <c r="T39" s="1104">
        <v>158401.41</v>
      </c>
    </row>
    <row r="40" spans="1:20" ht="15" customHeight="1">
      <c r="A40" s="1081" t="s">
        <v>95</v>
      </c>
      <c r="B40" s="1077" t="s">
        <v>96</v>
      </c>
      <c r="C40" s="1470" t="s">
        <v>271</v>
      </c>
      <c r="D40" s="1078">
        <f t="shared" si="1"/>
        <v>421441.33</v>
      </c>
      <c r="E40" s="1079">
        <f t="shared" si="2"/>
        <v>215111.62</v>
      </c>
      <c r="F40" s="1080">
        <f t="shared" si="3"/>
        <v>203074.41</v>
      </c>
      <c r="G40" s="1078">
        <f t="shared" si="4"/>
        <v>201448.62</v>
      </c>
      <c r="H40" s="1100">
        <f t="shared" si="5"/>
        <v>1625.79</v>
      </c>
      <c r="I40" s="1104">
        <v>330011.27</v>
      </c>
      <c r="J40" s="1104">
        <v>0</v>
      </c>
      <c r="K40" s="1104">
        <v>215111.62</v>
      </c>
      <c r="L40" s="1104">
        <v>99990.8</v>
      </c>
      <c r="M40" s="1104">
        <v>1628.19</v>
      </c>
      <c r="N40" s="1104">
        <v>646741.88</v>
      </c>
      <c r="O40" s="1104">
        <v>91430.06</v>
      </c>
      <c r="P40" s="1104">
        <v>0</v>
      </c>
      <c r="Q40" s="1104">
        <v>0</v>
      </c>
      <c r="R40" s="1104">
        <v>101457.82</v>
      </c>
      <c r="S40" s="1104">
        <v>-2.4</v>
      </c>
      <c r="T40" s="1104">
        <v>192885.48</v>
      </c>
    </row>
    <row r="41" spans="1:20" ht="15" customHeight="1">
      <c r="A41" s="1081" t="s">
        <v>97</v>
      </c>
      <c r="B41" s="1077" t="s">
        <v>98</v>
      </c>
      <c r="C41" s="1470" t="s">
        <v>273</v>
      </c>
      <c r="D41" s="1078">
        <f t="shared" si="1"/>
        <v>245878.36</v>
      </c>
      <c r="E41" s="1079">
        <f t="shared" si="2"/>
        <v>137292.15</v>
      </c>
      <c r="F41" s="1080">
        <f t="shared" si="3"/>
        <v>120331.36000000002</v>
      </c>
      <c r="G41" s="1078">
        <f t="shared" si="4"/>
        <v>103126.57</v>
      </c>
      <c r="H41" s="1100">
        <f t="shared" si="5"/>
        <v>17204.79</v>
      </c>
      <c r="I41" s="1104">
        <v>210581.52</v>
      </c>
      <c r="J41" s="1104">
        <v>0</v>
      </c>
      <c r="K41" s="1104">
        <v>137292.15</v>
      </c>
      <c r="L41" s="1104">
        <v>63809.02</v>
      </c>
      <c r="M41" s="1104">
        <v>17204.88</v>
      </c>
      <c r="N41" s="1104">
        <v>428887.57</v>
      </c>
      <c r="O41" s="1104">
        <v>35296.839999999997</v>
      </c>
      <c r="P41" s="1104">
        <v>0</v>
      </c>
      <c r="Q41" s="1104">
        <v>0</v>
      </c>
      <c r="R41" s="1104">
        <v>39317.550000000003</v>
      </c>
      <c r="S41" s="1104">
        <v>-0.09</v>
      </c>
      <c r="T41" s="1104">
        <v>74614.3</v>
      </c>
    </row>
    <row r="42" spans="1:20" ht="15" customHeight="1">
      <c r="A42" s="1081" t="s">
        <v>99</v>
      </c>
      <c r="B42" s="1077" t="s">
        <v>100</v>
      </c>
      <c r="C42" s="1470" t="s">
        <v>275</v>
      </c>
      <c r="D42" s="1078">
        <f t="shared" si="1"/>
        <v>278534.91000000003</v>
      </c>
      <c r="E42" s="1079">
        <f t="shared" si="2"/>
        <v>172245.26</v>
      </c>
      <c r="F42" s="1080">
        <f t="shared" si="3"/>
        <v>97634.390000000014</v>
      </c>
      <c r="G42" s="1078">
        <f t="shared" si="4"/>
        <v>96132.170000000013</v>
      </c>
      <c r="H42" s="1100">
        <f t="shared" si="5"/>
        <v>1502.22</v>
      </c>
      <c r="I42" s="1104">
        <v>264083.57</v>
      </c>
      <c r="J42" s="1104">
        <v>0</v>
      </c>
      <c r="K42" s="1104">
        <v>172245.26</v>
      </c>
      <c r="L42" s="1104">
        <v>80034.740000000005</v>
      </c>
      <c r="M42" s="1104">
        <v>1502.74</v>
      </c>
      <c r="N42" s="1104">
        <v>517866.31</v>
      </c>
      <c r="O42" s="1104">
        <v>14451.34</v>
      </c>
      <c r="P42" s="1104">
        <v>0</v>
      </c>
      <c r="Q42" s="1104">
        <v>0</v>
      </c>
      <c r="R42" s="1104">
        <v>16097.43</v>
      </c>
      <c r="S42" s="1104">
        <v>-0.52</v>
      </c>
      <c r="T42" s="1104">
        <v>30548.25</v>
      </c>
    </row>
    <row r="43" spans="1:20" ht="15" customHeight="1">
      <c r="A43" s="1081" t="s">
        <v>101</v>
      </c>
      <c r="B43" s="1077" t="s">
        <v>102</v>
      </c>
      <c r="C43" s="1470" t="s">
        <v>274</v>
      </c>
      <c r="D43" s="1078">
        <f t="shared" si="1"/>
        <v>258548.76</v>
      </c>
      <c r="E43" s="1079">
        <f t="shared" si="2"/>
        <v>97960.03</v>
      </c>
      <c r="F43" s="1080">
        <f t="shared" si="3"/>
        <v>168975.06999999998</v>
      </c>
      <c r="G43" s="1078">
        <f t="shared" si="4"/>
        <v>168379.97999999998</v>
      </c>
      <c r="H43" s="1100">
        <f t="shared" si="5"/>
        <v>595.09</v>
      </c>
      <c r="I43" s="1104">
        <v>149497.98000000001</v>
      </c>
      <c r="J43" s="1104">
        <v>0</v>
      </c>
      <c r="K43" s="1104">
        <v>97960.03</v>
      </c>
      <c r="L43" s="1104">
        <v>45390.59</v>
      </c>
      <c r="M43" s="1104">
        <v>572.61</v>
      </c>
      <c r="N43" s="1104">
        <v>293421.21000000002</v>
      </c>
      <c r="O43" s="1104">
        <v>109050.78</v>
      </c>
      <c r="P43" s="1104">
        <v>0</v>
      </c>
      <c r="Q43" s="1104">
        <v>0</v>
      </c>
      <c r="R43" s="1104">
        <v>122989.39</v>
      </c>
      <c r="S43" s="1104">
        <v>22.48</v>
      </c>
      <c r="T43" s="1104">
        <v>232062.65</v>
      </c>
    </row>
    <row r="44" spans="1:20" ht="15" customHeight="1">
      <c r="A44" s="1081" t="s">
        <v>103</v>
      </c>
      <c r="B44" s="1077" t="s">
        <v>104</v>
      </c>
      <c r="C44" s="1470" t="s">
        <v>271</v>
      </c>
      <c r="D44" s="1078">
        <f t="shared" si="1"/>
        <v>508197.42</v>
      </c>
      <c r="E44" s="1079">
        <f t="shared" si="2"/>
        <v>301040.7</v>
      </c>
      <c r="F44" s="1080">
        <f t="shared" si="3"/>
        <v>197058.49</v>
      </c>
      <c r="G44" s="1078">
        <f t="shared" si="4"/>
        <v>191969.61</v>
      </c>
      <c r="H44" s="1100">
        <f t="shared" si="5"/>
        <v>5088.88</v>
      </c>
      <c r="I44" s="1104">
        <v>461493.82</v>
      </c>
      <c r="J44" s="1104">
        <v>0</v>
      </c>
      <c r="K44" s="1104">
        <v>301040.7</v>
      </c>
      <c r="L44" s="1104">
        <v>139871.15</v>
      </c>
      <c r="M44" s="1104">
        <v>5090.22</v>
      </c>
      <c r="N44" s="1104">
        <v>907495.89</v>
      </c>
      <c r="O44" s="1104">
        <v>46703.6</v>
      </c>
      <c r="P44" s="1104">
        <v>0</v>
      </c>
      <c r="Q44" s="1104">
        <v>0</v>
      </c>
      <c r="R44" s="1104">
        <v>52098.46</v>
      </c>
      <c r="S44" s="1104">
        <v>-1.34</v>
      </c>
      <c r="T44" s="1104">
        <v>98800.72</v>
      </c>
    </row>
    <row r="45" spans="1:20" ht="15" customHeight="1">
      <c r="A45" s="1081" t="s">
        <v>105</v>
      </c>
      <c r="B45" s="1077" t="s">
        <v>331</v>
      </c>
      <c r="C45" s="1470" t="s">
        <v>272</v>
      </c>
      <c r="D45" s="1078">
        <f t="shared" si="1"/>
        <v>793073.01</v>
      </c>
      <c r="E45" s="1079">
        <f t="shared" si="2"/>
        <v>388140.87</v>
      </c>
      <c r="F45" s="1080">
        <f t="shared" si="3"/>
        <v>408711.32999999996</v>
      </c>
      <c r="G45" s="1078">
        <f t="shared" si="4"/>
        <v>402374.35</v>
      </c>
      <c r="H45" s="1100">
        <f t="shared" si="5"/>
        <v>6336.98</v>
      </c>
      <c r="I45" s="1104">
        <v>594268.44999999995</v>
      </c>
      <c r="J45" s="1104">
        <v>0</v>
      </c>
      <c r="K45" s="1104">
        <v>388140.87</v>
      </c>
      <c r="L45" s="1104">
        <v>180203.24</v>
      </c>
      <c r="M45" s="1104">
        <v>6339.49</v>
      </c>
      <c r="N45" s="1104">
        <v>1168952.05</v>
      </c>
      <c r="O45" s="1104">
        <v>198804.56</v>
      </c>
      <c r="P45" s="1104">
        <v>0</v>
      </c>
      <c r="Q45" s="1104">
        <v>0</v>
      </c>
      <c r="R45" s="1104">
        <v>222171.11</v>
      </c>
      <c r="S45" s="1104">
        <v>-2.5099999999999998</v>
      </c>
      <c r="T45" s="1104">
        <v>420973.16</v>
      </c>
    </row>
    <row r="46" spans="1:20" ht="15" customHeight="1">
      <c r="A46" s="1081" t="s">
        <v>109</v>
      </c>
      <c r="B46" s="1077" t="s">
        <v>110</v>
      </c>
      <c r="C46" s="1470" t="s">
        <v>273</v>
      </c>
      <c r="D46" s="1078">
        <f t="shared" si="1"/>
        <v>875160.83000000007</v>
      </c>
      <c r="E46" s="1079">
        <f t="shared" si="2"/>
        <v>191982.27</v>
      </c>
      <c r="F46" s="1080">
        <f t="shared" si="3"/>
        <v>785774.17</v>
      </c>
      <c r="G46" s="1078">
        <f t="shared" si="4"/>
        <v>745231.28</v>
      </c>
      <c r="H46" s="1100">
        <f t="shared" si="5"/>
        <v>40542.89</v>
      </c>
      <c r="I46" s="1104">
        <v>289427.93</v>
      </c>
      <c r="J46" s="1104">
        <v>0</v>
      </c>
      <c r="K46" s="1104">
        <v>191982.27</v>
      </c>
      <c r="L46" s="1104">
        <v>88304.23</v>
      </c>
      <c r="M46" s="1104">
        <v>14219.11</v>
      </c>
      <c r="N46" s="1104">
        <v>583933.54</v>
      </c>
      <c r="O46" s="1104">
        <v>585732.9</v>
      </c>
      <c r="P46" s="1104">
        <v>0</v>
      </c>
      <c r="Q46" s="1104">
        <v>0</v>
      </c>
      <c r="R46" s="1104">
        <v>656927.05000000005</v>
      </c>
      <c r="S46" s="1104">
        <v>26323.78</v>
      </c>
      <c r="T46" s="1104">
        <v>1268983.73</v>
      </c>
    </row>
    <row r="47" spans="1:20" ht="15" customHeight="1">
      <c r="A47" s="1081" t="s">
        <v>111</v>
      </c>
      <c r="B47" s="1077" t="s">
        <v>112</v>
      </c>
      <c r="C47" s="1470" t="s">
        <v>273</v>
      </c>
      <c r="D47" s="1078">
        <f t="shared" si="1"/>
        <v>2912255.02</v>
      </c>
      <c r="E47" s="1079">
        <f t="shared" si="2"/>
        <v>1094181.82</v>
      </c>
      <c r="F47" s="1080">
        <f t="shared" si="3"/>
        <v>1940786.33</v>
      </c>
      <c r="G47" s="1078">
        <f t="shared" si="4"/>
        <v>1896846.25</v>
      </c>
      <c r="H47" s="1100">
        <f t="shared" si="5"/>
        <v>43940.08</v>
      </c>
      <c r="I47" s="1104">
        <v>1674272.43</v>
      </c>
      <c r="J47" s="1104">
        <v>0</v>
      </c>
      <c r="K47" s="1104">
        <v>1094181.82</v>
      </c>
      <c r="L47" s="1104">
        <v>507819.38</v>
      </c>
      <c r="M47" s="1104">
        <v>43943.62</v>
      </c>
      <c r="N47" s="1104">
        <v>3320217.25</v>
      </c>
      <c r="O47" s="1104">
        <v>1237982.5900000001</v>
      </c>
      <c r="P47" s="1104">
        <v>0</v>
      </c>
      <c r="Q47" s="1104">
        <v>0</v>
      </c>
      <c r="R47" s="1104">
        <v>1389026.87</v>
      </c>
      <c r="S47" s="1104">
        <v>-3.54</v>
      </c>
      <c r="T47" s="1104">
        <v>2627005.92</v>
      </c>
    </row>
    <row r="48" spans="1:20" ht="15" customHeight="1">
      <c r="A48" s="1081" t="s">
        <v>113</v>
      </c>
      <c r="B48" s="1077" t="s">
        <v>310</v>
      </c>
      <c r="C48" s="1470" t="s">
        <v>272</v>
      </c>
      <c r="D48" s="1078">
        <f t="shared" si="1"/>
        <v>1152585.8899999999</v>
      </c>
      <c r="E48" s="1079">
        <f t="shared" si="2"/>
        <v>752644.37</v>
      </c>
      <c r="F48" s="1080">
        <f t="shared" si="3"/>
        <v>385635.06000000006</v>
      </c>
      <c r="G48" s="1078">
        <f t="shared" si="4"/>
        <v>349477.28</v>
      </c>
      <c r="H48" s="1100">
        <f t="shared" si="5"/>
        <v>36157.78</v>
      </c>
      <c r="I48" s="1104">
        <v>1152585.8899999999</v>
      </c>
      <c r="J48" s="1104">
        <v>0</v>
      </c>
      <c r="K48" s="1104">
        <v>752644.37</v>
      </c>
      <c r="L48" s="1104">
        <v>349477.28</v>
      </c>
      <c r="M48" s="1104">
        <v>36157.78</v>
      </c>
      <c r="N48" s="1104">
        <v>2290865.3199999998</v>
      </c>
      <c r="O48" s="1105"/>
      <c r="P48" s="1105"/>
      <c r="Q48" s="1105"/>
      <c r="R48" s="1105"/>
      <c r="S48" s="1105"/>
      <c r="T48" s="1105"/>
    </row>
    <row r="49" spans="1:20" ht="15" customHeight="1">
      <c r="A49" s="1081" t="s">
        <v>115</v>
      </c>
      <c r="B49" s="1077" t="s">
        <v>116</v>
      </c>
      <c r="C49" s="1470" t="s">
        <v>272</v>
      </c>
      <c r="D49" s="1078">
        <f t="shared" si="1"/>
        <v>68300.61</v>
      </c>
      <c r="E49" s="1079">
        <f t="shared" si="2"/>
        <v>44586.44</v>
      </c>
      <c r="F49" s="1080">
        <f t="shared" si="3"/>
        <v>23127.279999999999</v>
      </c>
      <c r="G49" s="1078">
        <f t="shared" si="4"/>
        <v>20706.32</v>
      </c>
      <c r="H49" s="1100">
        <f t="shared" si="5"/>
        <v>2420.96</v>
      </c>
      <c r="I49" s="1104">
        <v>68300.61</v>
      </c>
      <c r="J49" s="1104">
        <v>0</v>
      </c>
      <c r="K49" s="1104">
        <v>44586.44</v>
      </c>
      <c r="L49" s="1104">
        <v>20706.32</v>
      </c>
      <c r="M49" s="1104">
        <v>2420.96</v>
      </c>
      <c r="N49" s="1104">
        <v>136014.32999999999</v>
      </c>
      <c r="O49" s="1105"/>
      <c r="P49" s="1105"/>
      <c r="Q49" s="1105"/>
      <c r="R49" s="1105"/>
      <c r="S49" s="1105"/>
      <c r="T49" s="1105"/>
    </row>
    <row r="50" spans="1:20" ht="15" customHeight="1">
      <c r="A50" s="1081" t="s">
        <v>119</v>
      </c>
      <c r="B50" s="1077" t="s">
        <v>120</v>
      </c>
      <c r="C50" s="1470" t="s">
        <v>271</v>
      </c>
      <c r="D50" s="1078">
        <f t="shared" si="1"/>
        <v>427533.82999999996</v>
      </c>
      <c r="E50" s="1079">
        <f t="shared" si="2"/>
        <v>216544.28</v>
      </c>
      <c r="F50" s="1080">
        <f t="shared" si="3"/>
        <v>235895.81</v>
      </c>
      <c r="G50" s="1078">
        <f t="shared" si="4"/>
        <v>204887.89</v>
      </c>
      <c r="H50" s="1100">
        <f t="shared" si="5"/>
        <v>31007.919999999998</v>
      </c>
      <c r="I50" s="1104">
        <v>333277.24</v>
      </c>
      <c r="J50" s="1104">
        <v>0</v>
      </c>
      <c r="K50" s="1104">
        <v>216544.28</v>
      </c>
      <c r="L50" s="1104">
        <v>100852.82</v>
      </c>
      <c r="M50" s="1104">
        <v>31009.8</v>
      </c>
      <c r="N50" s="1104">
        <v>681684.14</v>
      </c>
      <c r="O50" s="1104">
        <v>94256.59</v>
      </c>
      <c r="P50" s="1104">
        <v>0</v>
      </c>
      <c r="Q50" s="1104">
        <v>0</v>
      </c>
      <c r="R50" s="1104">
        <v>104035.07</v>
      </c>
      <c r="S50" s="1104">
        <v>-1.88</v>
      </c>
      <c r="T50" s="1104">
        <v>198289.78</v>
      </c>
    </row>
    <row r="51" spans="1:20" ht="15" customHeight="1">
      <c r="A51" s="1081" t="s">
        <v>121</v>
      </c>
      <c r="B51" s="1077" t="s">
        <v>122</v>
      </c>
      <c r="C51" s="1470" t="s">
        <v>271</v>
      </c>
      <c r="D51" s="1078">
        <f t="shared" si="1"/>
        <v>706978.15</v>
      </c>
      <c r="E51" s="1079">
        <f t="shared" si="2"/>
        <v>293231.23</v>
      </c>
      <c r="F51" s="1080">
        <f t="shared" si="3"/>
        <v>425526.06</v>
      </c>
      <c r="G51" s="1078">
        <f t="shared" si="4"/>
        <v>425142.23</v>
      </c>
      <c r="H51" s="1100">
        <f t="shared" si="5"/>
        <v>383.83</v>
      </c>
      <c r="I51" s="1104">
        <v>449931.46</v>
      </c>
      <c r="J51" s="1104">
        <v>0</v>
      </c>
      <c r="K51" s="1104">
        <v>293231.23</v>
      </c>
      <c r="L51" s="1104">
        <v>136317.54999999999</v>
      </c>
      <c r="M51" s="1104">
        <v>390.63</v>
      </c>
      <c r="N51" s="1104">
        <v>879870.87</v>
      </c>
      <c r="O51" s="1104">
        <v>257046.69</v>
      </c>
      <c r="P51" s="1104">
        <v>0</v>
      </c>
      <c r="Q51" s="1104">
        <v>0</v>
      </c>
      <c r="R51" s="1104">
        <v>288824.68</v>
      </c>
      <c r="S51" s="1104">
        <v>-6.8</v>
      </c>
      <c r="T51" s="1104">
        <v>545864.56999999995</v>
      </c>
    </row>
    <row r="52" spans="1:20" ht="15" customHeight="1">
      <c r="A52" s="1081" t="s">
        <v>123</v>
      </c>
      <c r="B52" s="1077" t="s">
        <v>278</v>
      </c>
      <c r="C52" s="1470" t="s">
        <v>273</v>
      </c>
      <c r="D52" s="1078">
        <f t="shared" si="1"/>
        <v>234383.79</v>
      </c>
      <c r="E52" s="1079">
        <f t="shared" si="2"/>
        <v>111077.56</v>
      </c>
      <c r="F52" s="1080">
        <f t="shared" si="3"/>
        <v>125154.70000000001</v>
      </c>
      <c r="G52" s="1078">
        <f t="shared" si="4"/>
        <v>123606.95000000001</v>
      </c>
      <c r="H52" s="1100">
        <f t="shared" si="5"/>
        <v>1547.75</v>
      </c>
      <c r="I52" s="1104">
        <v>170202.75</v>
      </c>
      <c r="J52" s="1104">
        <v>0</v>
      </c>
      <c r="K52" s="1104">
        <v>111077.56</v>
      </c>
      <c r="L52" s="1104">
        <v>51594.62</v>
      </c>
      <c r="M52" s="1104">
        <v>1081.72</v>
      </c>
      <c r="N52" s="1104">
        <v>333956.65000000002</v>
      </c>
      <c r="O52" s="1104">
        <v>64181.04</v>
      </c>
      <c r="P52" s="1104">
        <v>0</v>
      </c>
      <c r="Q52" s="1104">
        <v>0</v>
      </c>
      <c r="R52" s="1104">
        <v>72012.33</v>
      </c>
      <c r="S52" s="1104">
        <v>466.03</v>
      </c>
      <c r="T52" s="1104">
        <v>136659.4</v>
      </c>
    </row>
    <row r="53" spans="1:20" ht="15" customHeight="1">
      <c r="A53" s="1081" t="s">
        <v>125</v>
      </c>
      <c r="B53" s="1077" t="s">
        <v>126</v>
      </c>
      <c r="C53" s="1470" t="s">
        <v>274</v>
      </c>
      <c r="D53" s="1078">
        <f t="shared" si="1"/>
        <v>323041.14</v>
      </c>
      <c r="E53" s="1079">
        <f t="shared" si="2"/>
        <v>121509.61</v>
      </c>
      <c r="F53" s="1080">
        <f t="shared" si="3"/>
        <v>283349.75</v>
      </c>
      <c r="G53" s="1078">
        <f t="shared" si="4"/>
        <v>210962.28000000003</v>
      </c>
      <c r="H53" s="1100">
        <f t="shared" si="5"/>
        <v>72387.47</v>
      </c>
      <c r="I53" s="1104">
        <v>185307.72</v>
      </c>
      <c r="J53" s="1104">
        <v>0</v>
      </c>
      <c r="K53" s="1104">
        <v>121509.61</v>
      </c>
      <c r="L53" s="1104">
        <v>56278.83</v>
      </c>
      <c r="M53" s="1104">
        <v>72390.3</v>
      </c>
      <c r="N53" s="1104">
        <v>435486.46</v>
      </c>
      <c r="O53" s="1104">
        <v>137733.42000000001</v>
      </c>
      <c r="P53" s="1104">
        <v>0</v>
      </c>
      <c r="Q53" s="1104">
        <v>0</v>
      </c>
      <c r="R53" s="1104">
        <v>154683.45000000001</v>
      </c>
      <c r="S53" s="1104">
        <v>-2.83</v>
      </c>
      <c r="T53" s="1104">
        <v>292414.03999999998</v>
      </c>
    </row>
    <row r="54" spans="1:20" ht="15" customHeight="1">
      <c r="A54" s="1081" t="s">
        <v>127</v>
      </c>
      <c r="B54" s="1077" t="s">
        <v>128</v>
      </c>
      <c r="C54" s="1470" t="s">
        <v>273</v>
      </c>
      <c r="D54" s="1078">
        <f t="shared" si="1"/>
        <v>190161.2</v>
      </c>
      <c r="E54" s="1079">
        <f t="shared" si="2"/>
        <v>88087.24</v>
      </c>
      <c r="F54" s="1080">
        <f t="shared" si="3"/>
        <v>105904.51000000001</v>
      </c>
      <c r="G54" s="1078">
        <f t="shared" si="4"/>
        <v>102146.73000000001</v>
      </c>
      <c r="H54" s="1100">
        <f t="shared" si="5"/>
        <v>3757.78</v>
      </c>
      <c r="I54" s="1104">
        <v>135345.29</v>
      </c>
      <c r="J54" s="1104">
        <v>0</v>
      </c>
      <c r="K54" s="1104">
        <v>88087.24</v>
      </c>
      <c r="L54" s="1104">
        <v>40982.19</v>
      </c>
      <c r="M54" s="1104">
        <v>2648.11</v>
      </c>
      <c r="N54" s="1104">
        <v>267062.83</v>
      </c>
      <c r="O54" s="1104">
        <v>54815.91</v>
      </c>
      <c r="P54" s="1104">
        <v>0</v>
      </c>
      <c r="Q54" s="1104">
        <v>0</v>
      </c>
      <c r="R54" s="1104">
        <v>61164.54</v>
      </c>
      <c r="S54" s="1104">
        <v>1109.67</v>
      </c>
      <c r="T54" s="1104">
        <v>117090.12</v>
      </c>
    </row>
    <row r="55" spans="1:20" ht="15" customHeight="1">
      <c r="A55" s="1081" t="s">
        <v>129</v>
      </c>
      <c r="B55" s="1077" t="s">
        <v>130</v>
      </c>
      <c r="C55" s="1470" t="s">
        <v>273</v>
      </c>
      <c r="D55" s="1078">
        <f t="shared" si="1"/>
        <v>308994.18</v>
      </c>
      <c r="E55" s="1079">
        <f t="shared" si="2"/>
        <v>188522.4</v>
      </c>
      <c r="F55" s="1080">
        <f t="shared" si="3"/>
        <v>116341.92000000001</v>
      </c>
      <c r="G55" s="1078">
        <f t="shared" si="4"/>
        <v>109676.17000000001</v>
      </c>
      <c r="H55" s="1100">
        <f t="shared" si="5"/>
        <v>6665.75</v>
      </c>
      <c r="I55" s="1104">
        <v>289071.06</v>
      </c>
      <c r="J55" s="1104">
        <v>0</v>
      </c>
      <c r="K55" s="1104">
        <v>188522.4</v>
      </c>
      <c r="L55" s="1104">
        <v>87604.82</v>
      </c>
      <c r="M55" s="1104">
        <v>6665.79</v>
      </c>
      <c r="N55" s="1104">
        <v>571864.06999999995</v>
      </c>
      <c r="O55" s="1104">
        <v>19923.12</v>
      </c>
      <c r="P55" s="1104">
        <v>0</v>
      </c>
      <c r="Q55" s="1104">
        <v>0</v>
      </c>
      <c r="R55" s="1104">
        <v>22071.35</v>
      </c>
      <c r="S55" s="1104">
        <v>-0.04</v>
      </c>
      <c r="T55" s="1104">
        <v>41994.43</v>
      </c>
    </row>
    <row r="56" spans="1:20" ht="15" customHeight="1">
      <c r="A56" s="1081" t="s">
        <v>131</v>
      </c>
      <c r="B56" s="1077" t="s">
        <v>132</v>
      </c>
      <c r="C56" s="1470" t="s">
        <v>275</v>
      </c>
      <c r="D56" s="1078">
        <f t="shared" si="1"/>
        <v>705399.35</v>
      </c>
      <c r="E56" s="1079">
        <f t="shared" si="2"/>
        <v>420867.58</v>
      </c>
      <c r="F56" s="1080">
        <f t="shared" si="3"/>
        <v>266607.40000000002</v>
      </c>
      <c r="G56" s="1078">
        <f t="shared" si="4"/>
        <v>263061.15000000002</v>
      </c>
      <c r="H56" s="1100">
        <f t="shared" si="5"/>
        <v>3546.25</v>
      </c>
      <c r="I56" s="1104">
        <v>644791.98</v>
      </c>
      <c r="J56" s="1104">
        <v>0</v>
      </c>
      <c r="K56" s="1104">
        <v>420867.58</v>
      </c>
      <c r="L56" s="1104">
        <v>195473.81</v>
      </c>
      <c r="M56" s="1104">
        <v>3549.32</v>
      </c>
      <c r="N56" s="1104">
        <v>1264682.69</v>
      </c>
      <c r="O56" s="1104">
        <v>60607.37</v>
      </c>
      <c r="P56" s="1104">
        <v>0</v>
      </c>
      <c r="Q56" s="1104">
        <v>0</v>
      </c>
      <c r="R56" s="1104">
        <v>67587.34</v>
      </c>
      <c r="S56" s="1104">
        <v>-3.07</v>
      </c>
      <c r="T56" s="1104">
        <v>128191.64</v>
      </c>
    </row>
    <row r="57" spans="1:20" ht="15" customHeight="1">
      <c r="A57" s="1081" t="s">
        <v>133</v>
      </c>
      <c r="B57" s="1077" t="s">
        <v>134</v>
      </c>
      <c r="C57" s="1470" t="s">
        <v>274</v>
      </c>
      <c r="D57" s="1078">
        <f t="shared" si="1"/>
        <v>1125223.4500000002</v>
      </c>
      <c r="E57" s="1079">
        <f t="shared" si="2"/>
        <v>386645.09</v>
      </c>
      <c r="F57" s="1080">
        <f t="shared" si="3"/>
        <v>779177.13</v>
      </c>
      <c r="G57" s="1078">
        <f t="shared" si="4"/>
        <v>779191.31</v>
      </c>
      <c r="H57" s="1100">
        <f t="shared" si="5"/>
        <v>-14.18</v>
      </c>
      <c r="I57" s="1104">
        <v>590999.92000000004</v>
      </c>
      <c r="J57" s="1104">
        <v>0</v>
      </c>
      <c r="K57" s="1104">
        <v>386645.09</v>
      </c>
      <c r="L57" s="1104">
        <v>179329.26</v>
      </c>
      <c r="M57" s="1104">
        <v>-5.27</v>
      </c>
      <c r="N57" s="1104">
        <v>1156969</v>
      </c>
      <c r="O57" s="1104">
        <v>534223.53</v>
      </c>
      <c r="P57" s="1104">
        <v>0</v>
      </c>
      <c r="Q57" s="1104">
        <v>0</v>
      </c>
      <c r="R57" s="1104">
        <v>599862.05000000005</v>
      </c>
      <c r="S57" s="1104">
        <v>-8.91</v>
      </c>
      <c r="T57" s="1104">
        <v>1134076.67</v>
      </c>
    </row>
    <row r="58" spans="1:20" ht="15" customHeight="1">
      <c r="A58" s="1081" t="s">
        <v>135</v>
      </c>
      <c r="B58" s="1077" t="s">
        <v>136</v>
      </c>
      <c r="C58" s="1470" t="s">
        <v>274</v>
      </c>
      <c r="D58" s="1078">
        <f t="shared" si="1"/>
        <v>601042.72</v>
      </c>
      <c r="E58" s="1079">
        <f t="shared" si="2"/>
        <v>215226.56</v>
      </c>
      <c r="F58" s="1080">
        <f t="shared" si="3"/>
        <v>408221.79000000004</v>
      </c>
      <c r="G58" s="1078">
        <f t="shared" si="4"/>
        <v>407851.18000000005</v>
      </c>
      <c r="H58" s="1100">
        <f t="shared" si="5"/>
        <v>370.61</v>
      </c>
      <c r="I58" s="1104">
        <v>327973.73</v>
      </c>
      <c r="J58" s="1104">
        <v>0</v>
      </c>
      <c r="K58" s="1104">
        <v>215226.56</v>
      </c>
      <c r="L58" s="1104">
        <v>99638.399999999994</v>
      </c>
      <c r="M58" s="1104">
        <v>-4.6900000000000004</v>
      </c>
      <c r="N58" s="1104">
        <v>642834</v>
      </c>
      <c r="O58" s="1104">
        <v>273068.99</v>
      </c>
      <c r="P58" s="1104">
        <v>0</v>
      </c>
      <c r="Q58" s="1104">
        <v>0</v>
      </c>
      <c r="R58" s="1104">
        <v>308212.78000000003</v>
      </c>
      <c r="S58" s="1104">
        <v>375.3</v>
      </c>
      <c r="T58" s="1104">
        <v>581657.06999999995</v>
      </c>
    </row>
    <row r="59" spans="1:20" ht="15" customHeight="1">
      <c r="A59" s="1081" t="s">
        <v>137</v>
      </c>
      <c r="B59" s="1077" t="s">
        <v>138</v>
      </c>
      <c r="C59" s="1470" t="s">
        <v>273</v>
      </c>
      <c r="D59" s="1078">
        <f t="shared" si="1"/>
        <v>193864.89</v>
      </c>
      <c r="E59" s="1079">
        <f t="shared" si="2"/>
        <v>126460.82</v>
      </c>
      <c r="F59" s="1080">
        <f t="shared" si="3"/>
        <v>61949.939999999995</v>
      </c>
      <c r="G59" s="1078">
        <f t="shared" si="4"/>
        <v>58755.06</v>
      </c>
      <c r="H59" s="1100">
        <f t="shared" si="5"/>
        <v>3194.88</v>
      </c>
      <c r="I59" s="1104">
        <v>193864.89</v>
      </c>
      <c r="J59" s="1104">
        <v>0</v>
      </c>
      <c r="K59" s="1104">
        <v>126460.82</v>
      </c>
      <c r="L59" s="1104">
        <v>58755.06</v>
      </c>
      <c r="M59" s="1104">
        <v>3161.9</v>
      </c>
      <c r="N59" s="1104">
        <v>382242.67</v>
      </c>
      <c r="O59" s="1104">
        <v>0</v>
      </c>
      <c r="P59" s="1104">
        <v>0</v>
      </c>
      <c r="Q59" s="1104">
        <v>0</v>
      </c>
      <c r="R59" s="1104">
        <v>0</v>
      </c>
      <c r="S59" s="1104">
        <v>32.979999999999997</v>
      </c>
      <c r="T59" s="1104">
        <v>32.979999999999997</v>
      </c>
    </row>
    <row r="60" spans="1:20" ht="15" customHeight="1">
      <c r="A60" s="1081" t="s">
        <v>141</v>
      </c>
      <c r="B60" s="1077" t="s">
        <v>142</v>
      </c>
      <c r="C60" s="1470" t="s">
        <v>274</v>
      </c>
      <c r="D60" s="1078">
        <f t="shared" si="1"/>
        <v>213382.31</v>
      </c>
      <c r="E60" s="1079">
        <f t="shared" si="2"/>
        <v>91175.8</v>
      </c>
      <c r="F60" s="1080">
        <f t="shared" si="3"/>
        <v>129425.16</v>
      </c>
      <c r="G60" s="1078">
        <f t="shared" si="4"/>
        <v>124293.75</v>
      </c>
      <c r="H60" s="1100">
        <f t="shared" si="5"/>
        <v>5131.41</v>
      </c>
      <c r="I60" s="1104">
        <v>139938.29999999999</v>
      </c>
      <c r="J60" s="1104">
        <v>0</v>
      </c>
      <c r="K60" s="1104">
        <v>91175.8</v>
      </c>
      <c r="L60" s="1104">
        <v>42391.85</v>
      </c>
      <c r="M60" s="1104">
        <v>5133.25</v>
      </c>
      <c r="N60" s="1104">
        <v>278639.2</v>
      </c>
      <c r="O60" s="1104">
        <v>73444.009999999995</v>
      </c>
      <c r="P60" s="1104">
        <v>0</v>
      </c>
      <c r="Q60" s="1104">
        <v>0</v>
      </c>
      <c r="R60" s="1104">
        <v>81901.899999999994</v>
      </c>
      <c r="S60" s="1104">
        <v>-1.84</v>
      </c>
      <c r="T60" s="1104">
        <v>155344.07</v>
      </c>
    </row>
    <row r="61" spans="1:20" ht="15" customHeight="1">
      <c r="A61" s="1081" t="s">
        <v>147</v>
      </c>
      <c r="B61" s="1077" t="s">
        <v>148</v>
      </c>
      <c r="C61" s="1470" t="s">
        <v>271</v>
      </c>
      <c r="D61" s="1078">
        <f t="shared" si="1"/>
        <v>198295.04000000001</v>
      </c>
      <c r="E61" s="1079">
        <f t="shared" si="2"/>
        <v>78835.070000000007</v>
      </c>
      <c r="F61" s="1080">
        <f t="shared" si="3"/>
        <v>127832.52</v>
      </c>
      <c r="G61" s="1078">
        <f t="shared" si="4"/>
        <v>123056.66</v>
      </c>
      <c r="H61" s="1100">
        <f t="shared" si="5"/>
        <v>4775.8599999999997</v>
      </c>
      <c r="I61" s="1104">
        <v>120805.19</v>
      </c>
      <c r="J61" s="1104">
        <v>0</v>
      </c>
      <c r="K61" s="1104">
        <v>78835.070000000007</v>
      </c>
      <c r="L61" s="1104">
        <v>36617.839999999997</v>
      </c>
      <c r="M61" s="1104">
        <v>4779.08</v>
      </c>
      <c r="N61" s="1104">
        <v>241037.18</v>
      </c>
      <c r="O61" s="1104">
        <v>77489.850000000006</v>
      </c>
      <c r="P61" s="1104">
        <v>0</v>
      </c>
      <c r="Q61" s="1104">
        <v>0</v>
      </c>
      <c r="R61" s="1104">
        <v>86438.82</v>
      </c>
      <c r="S61" s="1104">
        <v>-3.22</v>
      </c>
      <c r="T61" s="1104">
        <v>163925.45000000001</v>
      </c>
    </row>
    <row r="62" spans="1:20" ht="15" customHeight="1">
      <c r="A62" s="1081" t="s">
        <v>149</v>
      </c>
      <c r="B62" s="1077" t="s">
        <v>150</v>
      </c>
      <c r="C62" s="1470" t="s">
        <v>272</v>
      </c>
      <c r="D62" s="1078">
        <f t="shared" si="1"/>
        <v>530508.79</v>
      </c>
      <c r="E62" s="1079">
        <f t="shared" si="2"/>
        <v>250808.17</v>
      </c>
      <c r="F62" s="1080">
        <f t="shared" si="3"/>
        <v>350840.92000000004</v>
      </c>
      <c r="G62" s="1078">
        <f t="shared" si="4"/>
        <v>281845.79000000004</v>
      </c>
      <c r="H62" s="1100">
        <f t="shared" si="5"/>
        <v>68995.13</v>
      </c>
      <c r="I62" s="1104">
        <v>383717.74</v>
      </c>
      <c r="J62" s="1104">
        <v>0</v>
      </c>
      <c r="K62" s="1104">
        <v>250808.17</v>
      </c>
      <c r="L62" s="1104">
        <v>116390.34</v>
      </c>
      <c r="M62" s="1104">
        <v>41760.720000000001</v>
      </c>
      <c r="N62" s="1104">
        <v>792676.97</v>
      </c>
      <c r="O62" s="1104">
        <v>146791.04999999999</v>
      </c>
      <c r="P62" s="1104">
        <v>0</v>
      </c>
      <c r="Q62" s="1104">
        <v>0</v>
      </c>
      <c r="R62" s="1104">
        <v>165455.45000000001</v>
      </c>
      <c r="S62" s="1104">
        <v>27234.41</v>
      </c>
      <c r="T62" s="1104">
        <v>339480.91</v>
      </c>
    </row>
    <row r="63" spans="1:20" ht="15" customHeight="1">
      <c r="A63" s="1081" t="s">
        <v>151</v>
      </c>
      <c r="B63" s="1077" t="s">
        <v>152</v>
      </c>
      <c r="C63" s="1470" t="s">
        <v>273</v>
      </c>
      <c r="D63" s="1078">
        <f t="shared" si="1"/>
        <v>126054.95</v>
      </c>
      <c r="E63" s="1079">
        <f t="shared" si="2"/>
        <v>81038.960000000006</v>
      </c>
      <c r="F63" s="1080">
        <f t="shared" si="3"/>
        <v>43166.850000000006</v>
      </c>
      <c r="G63" s="1078">
        <f t="shared" si="4"/>
        <v>39689.240000000005</v>
      </c>
      <c r="H63" s="1100">
        <f t="shared" si="5"/>
        <v>3477.61</v>
      </c>
      <c r="I63" s="1104">
        <v>124223.48</v>
      </c>
      <c r="J63" s="1104">
        <v>0</v>
      </c>
      <c r="K63" s="1104">
        <v>81038.960000000006</v>
      </c>
      <c r="L63" s="1104">
        <v>37649.160000000003</v>
      </c>
      <c r="M63" s="1104">
        <v>3389.31</v>
      </c>
      <c r="N63" s="1104">
        <v>246300.91</v>
      </c>
      <c r="O63" s="1104">
        <v>1831.47</v>
      </c>
      <c r="P63" s="1104">
        <v>0</v>
      </c>
      <c r="Q63" s="1104">
        <v>0</v>
      </c>
      <c r="R63" s="1104">
        <v>2040.08</v>
      </c>
      <c r="S63" s="1104">
        <v>88.3</v>
      </c>
      <c r="T63" s="1104">
        <v>3959.85</v>
      </c>
    </row>
    <row r="64" spans="1:20" ht="15" customHeight="1">
      <c r="A64" s="1081" t="s">
        <v>153</v>
      </c>
      <c r="B64" s="1077" t="s">
        <v>154</v>
      </c>
      <c r="C64" s="1470" t="s">
        <v>275</v>
      </c>
      <c r="D64" s="1078">
        <f t="shared" si="1"/>
        <v>960715.24</v>
      </c>
      <c r="E64" s="1079">
        <f t="shared" si="2"/>
        <v>460799.56</v>
      </c>
      <c r="F64" s="1080">
        <f t="shared" si="3"/>
        <v>511980.34</v>
      </c>
      <c r="G64" s="1078">
        <f t="shared" si="4"/>
        <v>497733.63</v>
      </c>
      <c r="H64" s="1100">
        <f t="shared" si="5"/>
        <v>14246.71</v>
      </c>
      <c r="I64" s="1104">
        <v>707158.76</v>
      </c>
      <c r="J64" s="1104">
        <v>0</v>
      </c>
      <c r="K64" s="1104">
        <v>460799.56</v>
      </c>
      <c r="L64" s="1104">
        <v>214238.52</v>
      </c>
      <c r="M64" s="1104">
        <v>14247.05</v>
      </c>
      <c r="N64" s="1104">
        <v>1396443.89</v>
      </c>
      <c r="O64" s="1104">
        <v>253556.48000000001</v>
      </c>
      <c r="P64" s="1104">
        <v>0</v>
      </c>
      <c r="Q64" s="1104">
        <v>0</v>
      </c>
      <c r="R64" s="1104">
        <v>283495.11</v>
      </c>
      <c r="S64" s="1104">
        <v>-0.34</v>
      </c>
      <c r="T64" s="1104">
        <v>537051.25</v>
      </c>
    </row>
    <row r="65" spans="1:20" ht="15" customHeight="1">
      <c r="A65" s="1081" t="s">
        <v>155</v>
      </c>
      <c r="B65" s="1077" t="s">
        <v>156</v>
      </c>
      <c r="C65" s="1470" t="s">
        <v>272</v>
      </c>
      <c r="D65" s="1078">
        <f t="shared" si="1"/>
        <v>256978.36</v>
      </c>
      <c r="E65" s="1079">
        <f t="shared" si="2"/>
        <v>124332.36</v>
      </c>
      <c r="F65" s="1080">
        <f t="shared" si="3"/>
        <v>143307.69</v>
      </c>
      <c r="G65" s="1078">
        <f t="shared" si="4"/>
        <v>131973.95000000001</v>
      </c>
      <c r="H65" s="1100">
        <f t="shared" si="5"/>
        <v>11333.74</v>
      </c>
      <c r="I65" s="1104">
        <v>190612.86</v>
      </c>
      <c r="J65" s="1104">
        <v>0</v>
      </c>
      <c r="K65" s="1104">
        <v>124332.36</v>
      </c>
      <c r="L65" s="1104">
        <v>57768.55</v>
      </c>
      <c r="M65" s="1104">
        <v>11337.31</v>
      </c>
      <c r="N65" s="1104">
        <v>384051.08</v>
      </c>
      <c r="O65" s="1104">
        <v>66365.5</v>
      </c>
      <c r="P65" s="1104">
        <v>0</v>
      </c>
      <c r="Q65" s="1104">
        <v>0</v>
      </c>
      <c r="R65" s="1104">
        <v>74205.399999999994</v>
      </c>
      <c r="S65" s="1104">
        <v>-3.57</v>
      </c>
      <c r="T65" s="1104">
        <v>140567.32999999999</v>
      </c>
    </row>
    <row r="66" spans="1:20" ht="15" customHeight="1">
      <c r="A66" s="1081" t="s">
        <v>157</v>
      </c>
      <c r="B66" s="1077" t="s">
        <v>158</v>
      </c>
      <c r="C66" s="1470" t="s">
        <v>273</v>
      </c>
      <c r="D66" s="1078">
        <f t="shared" si="1"/>
        <v>299882.06000000006</v>
      </c>
      <c r="E66" s="1079">
        <f t="shared" si="2"/>
        <v>96902.1</v>
      </c>
      <c r="F66" s="1080">
        <f t="shared" si="3"/>
        <v>216784.28</v>
      </c>
      <c r="G66" s="1078">
        <f t="shared" si="4"/>
        <v>216653.65</v>
      </c>
      <c r="H66" s="1100">
        <f t="shared" si="5"/>
        <v>130.63</v>
      </c>
      <c r="I66" s="1104">
        <v>147698.67000000001</v>
      </c>
      <c r="J66" s="1104">
        <v>0</v>
      </c>
      <c r="K66" s="1104">
        <v>96902.1</v>
      </c>
      <c r="L66" s="1104">
        <v>44866.43</v>
      </c>
      <c r="M66" s="1104">
        <v>134.35</v>
      </c>
      <c r="N66" s="1104">
        <v>289601.55</v>
      </c>
      <c r="O66" s="1104">
        <v>152183.39000000001</v>
      </c>
      <c r="P66" s="1104">
        <v>0</v>
      </c>
      <c r="Q66" s="1104">
        <v>0</v>
      </c>
      <c r="R66" s="1104">
        <v>171787.22</v>
      </c>
      <c r="S66" s="1104">
        <v>-3.72</v>
      </c>
      <c r="T66" s="1104">
        <v>323966.89</v>
      </c>
    </row>
    <row r="67" spans="1:20" ht="15" customHeight="1">
      <c r="A67" s="1081" t="s">
        <v>163</v>
      </c>
      <c r="B67" s="1077" t="s">
        <v>164</v>
      </c>
      <c r="C67" s="1470" t="s">
        <v>271</v>
      </c>
      <c r="D67" s="1078">
        <f t="shared" si="1"/>
        <v>521300.70999999996</v>
      </c>
      <c r="E67" s="1079">
        <f t="shared" si="2"/>
        <v>313030.24</v>
      </c>
      <c r="F67" s="1080">
        <f t="shared" si="3"/>
        <v>190964.69</v>
      </c>
      <c r="G67" s="1078">
        <f t="shared" si="4"/>
        <v>189749.68</v>
      </c>
      <c r="H67" s="1100">
        <f t="shared" si="5"/>
        <v>1215.01</v>
      </c>
      <c r="I67" s="1104">
        <v>480922.36</v>
      </c>
      <c r="J67" s="1104">
        <v>0</v>
      </c>
      <c r="K67" s="1104">
        <v>313030.24</v>
      </c>
      <c r="L67" s="1104">
        <v>145634.79</v>
      </c>
      <c r="M67" s="1104">
        <v>974.33</v>
      </c>
      <c r="N67" s="1104">
        <v>940561.72</v>
      </c>
      <c r="O67" s="1104">
        <v>40378.35</v>
      </c>
      <c r="P67" s="1104">
        <v>0</v>
      </c>
      <c r="Q67" s="1104">
        <v>0</v>
      </c>
      <c r="R67" s="1104">
        <v>44114.89</v>
      </c>
      <c r="S67" s="1104">
        <v>240.68</v>
      </c>
      <c r="T67" s="1104">
        <v>84733.92</v>
      </c>
    </row>
    <row r="68" spans="1:20" ht="15" customHeight="1">
      <c r="A68" s="1081" t="s">
        <v>165</v>
      </c>
      <c r="B68" s="1077" t="s">
        <v>166</v>
      </c>
      <c r="C68" s="1470" t="s">
        <v>273</v>
      </c>
      <c r="D68" s="1078">
        <f t="shared" si="1"/>
        <v>268324.74</v>
      </c>
      <c r="E68" s="1079">
        <f t="shared" si="2"/>
        <v>129062.65</v>
      </c>
      <c r="F68" s="1080">
        <f t="shared" si="3"/>
        <v>149655.50999999998</v>
      </c>
      <c r="G68" s="1078">
        <f t="shared" si="4"/>
        <v>140935.24</v>
      </c>
      <c r="H68" s="1100">
        <f t="shared" si="5"/>
        <v>8720.27</v>
      </c>
      <c r="I68" s="1104">
        <v>196861.14</v>
      </c>
      <c r="J68" s="1104">
        <v>0</v>
      </c>
      <c r="K68" s="1104">
        <v>129062.65</v>
      </c>
      <c r="L68" s="1104">
        <v>59783.55</v>
      </c>
      <c r="M68" s="1104">
        <v>1937.76</v>
      </c>
      <c r="N68" s="1104">
        <v>387645.1</v>
      </c>
      <c r="O68" s="1104">
        <v>71463.600000000006</v>
      </c>
      <c r="P68" s="1104">
        <v>0</v>
      </c>
      <c r="Q68" s="1104">
        <v>0</v>
      </c>
      <c r="R68" s="1104">
        <v>81151.69</v>
      </c>
      <c r="S68" s="1104">
        <v>6782.51</v>
      </c>
      <c r="T68" s="1104">
        <v>159397.79999999999</v>
      </c>
    </row>
    <row r="69" spans="1:20" ht="15" customHeight="1">
      <c r="A69" s="1081" t="s">
        <v>169</v>
      </c>
      <c r="B69" s="1077" t="s">
        <v>170</v>
      </c>
      <c r="C69" s="1470" t="s">
        <v>273</v>
      </c>
      <c r="D69" s="1078">
        <f t="shared" ref="D69:D124" si="6">+I69+J69+O69+P69</f>
        <v>319944.46999999997</v>
      </c>
      <c r="E69" s="1079">
        <f t="shared" si="2"/>
        <v>154881.73000000001</v>
      </c>
      <c r="F69" s="1080">
        <f t="shared" si="3"/>
        <v>236265.73000000004</v>
      </c>
      <c r="G69" s="1078">
        <f t="shared" si="4"/>
        <v>163598.27000000002</v>
      </c>
      <c r="H69" s="1100">
        <f t="shared" si="4"/>
        <v>72667.460000000006</v>
      </c>
      <c r="I69" s="1104">
        <v>237727.29</v>
      </c>
      <c r="J69" s="1104">
        <v>0</v>
      </c>
      <c r="K69" s="1104">
        <v>154881.73000000001</v>
      </c>
      <c r="L69" s="1104">
        <v>72015.75</v>
      </c>
      <c r="M69" s="1104">
        <v>69177.240000000005</v>
      </c>
      <c r="N69" s="1104">
        <v>533802.01</v>
      </c>
      <c r="O69" s="1104">
        <v>82217.179999999993</v>
      </c>
      <c r="P69" s="1104">
        <v>0</v>
      </c>
      <c r="Q69" s="1104">
        <v>0</v>
      </c>
      <c r="R69" s="1104">
        <v>91582.52</v>
      </c>
      <c r="S69" s="1104">
        <v>3490.22</v>
      </c>
      <c r="T69" s="1104">
        <v>177289.92</v>
      </c>
    </row>
    <row r="70" spans="1:20" ht="15" customHeight="1">
      <c r="A70" s="1081" t="s">
        <v>171</v>
      </c>
      <c r="B70" s="1077" t="s">
        <v>172</v>
      </c>
      <c r="C70" s="1470" t="s">
        <v>274</v>
      </c>
      <c r="D70" s="1078">
        <f t="shared" si="6"/>
        <v>362980.85</v>
      </c>
      <c r="E70" s="1079">
        <f t="shared" ref="E70:E124" si="7">K70+Q70</f>
        <v>167003.01</v>
      </c>
      <c r="F70" s="1080">
        <f t="shared" ref="F70:F124" si="8">+G70+H70</f>
        <v>384626.13</v>
      </c>
      <c r="G70" s="1078">
        <f t="shared" ref="G70:H124" si="9">+L70+R70</f>
        <v>196970.95</v>
      </c>
      <c r="H70" s="1100">
        <f t="shared" si="9"/>
        <v>187655.18</v>
      </c>
      <c r="I70" s="1104">
        <v>256000.47</v>
      </c>
      <c r="J70" s="1104">
        <v>0</v>
      </c>
      <c r="K70" s="1104">
        <v>167003.01</v>
      </c>
      <c r="L70" s="1104">
        <v>77590.19</v>
      </c>
      <c r="M70" s="1104">
        <v>164855.46</v>
      </c>
      <c r="N70" s="1104">
        <v>665449.13</v>
      </c>
      <c r="O70" s="1104">
        <v>106980.38</v>
      </c>
      <c r="P70" s="1104">
        <v>0</v>
      </c>
      <c r="Q70" s="1104">
        <v>0</v>
      </c>
      <c r="R70" s="1104">
        <v>119380.76</v>
      </c>
      <c r="S70" s="1104">
        <v>22799.72</v>
      </c>
      <c r="T70" s="1104">
        <v>249160.86</v>
      </c>
    </row>
    <row r="71" spans="1:20" ht="15" customHeight="1">
      <c r="A71" s="1081" t="s">
        <v>173</v>
      </c>
      <c r="B71" s="1077" t="s">
        <v>174</v>
      </c>
      <c r="C71" s="1470" t="s">
        <v>274</v>
      </c>
      <c r="D71" s="1078">
        <f t="shared" si="6"/>
        <v>390086.81</v>
      </c>
      <c r="E71" s="1079">
        <f t="shared" si="7"/>
        <v>188239.98</v>
      </c>
      <c r="F71" s="1080">
        <f t="shared" si="8"/>
        <v>204311.12999999998</v>
      </c>
      <c r="G71" s="1078">
        <f t="shared" si="9"/>
        <v>201661.11</v>
      </c>
      <c r="H71" s="1100">
        <f t="shared" si="9"/>
        <v>2650.02</v>
      </c>
      <c r="I71" s="1104">
        <v>288101.52</v>
      </c>
      <c r="J71" s="1104">
        <v>0</v>
      </c>
      <c r="K71" s="1104">
        <v>188239.98</v>
      </c>
      <c r="L71" s="1104">
        <v>87374.5</v>
      </c>
      <c r="M71" s="1104">
        <v>2337.9</v>
      </c>
      <c r="N71" s="1104">
        <v>566053.9</v>
      </c>
      <c r="O71" s="1104">
        <v>101985.29</v>
      </c>
      <c r="P71" s="1104">
        <v>0</v>
      </c>
      <c r="Q71" s="1104">
        <v>0</v>
      </c>
      <c r="R71" s="1104">
        <v>114286.61</v>
      </c>
      <c r="S71" s="1104">
        <v>312.12</v>
      </c>
      <c r="T71" s="1104">
        <v>216584.02</v>
      </c>
    </row>
    <row r="72" spans="1:20" ht="15" customHeight="1">
      <c r="A72" s="1081" t="s">
        <v>175</v>
      </c>
      <c r="B72" s="1077" t="s">
        <v>176</v>
      </c>
      <c r="C72" s="1470" t="s">
        <v>275</v>
      </c>
      <c r="D72" s="1078">
        <f t="shared" si="6"/>
        <v>276143.18</v>
      </c>
      <c r="E72" s="1079">
        <f t="shared" si="7"/>
        <v>159242.98000000001</v>
      </c>
      <c r="F72" s="1080">
        <f t="shared" si="8"/>
        <v>110752.63</v>
      </c>
      <c r="G72" s="1078">
        <f t="shared" si="9"/>
        <v>109552.05</v>
      </c>
      <c r="H72" s="1100">
        <f t="shared" si="9"/>
        <v>1200.5800000000002</v>
      </c>
      <c r="I72" s="1104">
        <v>244234.62</v>
      </c>
      <c r="J72" s="1104">
        <v>0</v>
      </c>
      <c r="K72" s="1104">
        <v>159242.98000000001</v>
      </c>
      <c r="L72" s="1104">
        <v>74008.75</v>
      </c>
      <c r="M72" s="1104">
        <v>1200.6400000000001</v>
      </c>
      <c r="N72" s="1104">
        <v>478686.99</v>
      </c>
      <c r="O72" s="1104">
        <v>31908.560000000001</v>
      </c>
      <c r="P72" s="1104">
        <v>0</v>
      </c>
      <c r="Q72" s="1104">
        <v>0</v>
      </c>
      <c r="R72" s="1104">
        <v>35543.300000000003</v>
      </c>
      <c r="S72" s="1104">
        <v>-0.06</v>
      </c>
      <c r="T72" s="1104">
        <v>67451.8</v>
      </c>
    </row>
    <row r="73" spans="1:20" ht="15" customHeight="1">
      <c r="A73" s="1081" t="s">
        <v>179</v>
      </c>
      <c r="B73" s="1077" t="s">
        <v>180</v>
      </c>
      <c r="C73" s="1470" t="s">
        <v>272</v>
      </c>
      <c r="D73" s="1078">
        <f t="shared" si="6"/>
        <v>897620.54999999993</v>
      </c>
      <c r="E73" s="1079">
        <f t="shared" si="7"/>
        <v>504892.37</v>
      </c>
      <c r="F73" s="1080">
        <f t="shared" si="8"/>
        <v>464960.64999999997</v>
      </c>
      <c r="G73" s="1078">
        <f t="shared" si="9"/>
        <v>372442.79</v>
      </c>
      <c r="H73" s="1100">
        <f t="shared" si="9"/>
        <v>92517.86</v>
      </c>
      <c r="I73" s="1104">
        <v>774331.22</v>
      </c>
      <c r="J73" s="1104">
        <v>0</v>
      </c>
      <c r="K73" s="1104">
        <v>504892.37</v>
      </c>
      <c r="L73" s="1104">
        <v>234648.74</v>
      </c>
      <c r="M73" s="1104">
        <v>85318.27</v>
      </c>
      <c r="N73" s="1104">
        <v>1599190.6</v>
      </c>
      <c r="O73" s="1104">
        <v>123289.33</v>
      </c>
      <c r="P73" s="1104">
        <v>0</v>
      </c>
      <c r="Q73" s="1104">
        <v>0</v>
      </c>
      <c r="R73" s="1104">
        <v>137794.04999999999</v>
      </c>
      <c r="S73" s="1104">
        <v>7199.59</v>
      </c>
      <c r="T73" s="1104">
        <v>268282.96999999997</v>
      </c>
    </row>
    <row r="74" spans="1:20" ht="15" customHeight="1">
      <c r="A74" s="1081" t="s">
        <v>183</v>
      </c>
      <c r="B74" s="1077" t="s">
        <v>184</v>
      </c>
      <c r="C74" s="1470" t="s">
        <v>273</v>
      </c>
      <c r="D74" s="1078">
        <f t="shared" si="6"/>
        <v>239317.02</v>
      </c>
      <c r="E74" s="1079">
        <f t="shared" si="7"/>
        <v>68783.98</v>
      </c>
      <c r="F74" s="1080">
        <f t="shared" si="8"/>
        <v>185710.48999999996</v>
      </c>
      <c r="G74" s="1078">
        <f t="shared" si="9"/>
        <v>183639.15999999997</v>
      </c>
      <c r="H74" s="1100">
        <f t="shared" si="9"/>
        <v>2071.33</v>
      </c>
      <c r="I74" s="1104">
        <v>104473.93</v>
      </c>
      <c r="J74" s="1104">
        <v>0</v>
      </c>
      <c r="K74" s="1104">
        <v>68783.98</v>
      </c>
      <c r="L74" s="1104">
        <v>31780.36</v>
      </c>
      <c r="M74" s="1104">
        <v>1054.1600000000001</v>
      </c>
      <c r="N74" s="1104">
        <v>206092.43</v>
      </c>
      <c r="O74" s="1104">
        <v>134843.09</v>
      </c>
      <c r="P74" s="1104">
        <v>0</v>
      </c>
      <c r="Q74" s="1104">
        <v>0</v>
      </c>
      <c r="R74" s="1104">
        <v>151858.79999999999</v>
      </c>
      <c r="S74" s="1104">
        <v>1017.17</v>
      </c>
      <c r="T74" s="1104">
        <v>287719.06</v>
      </c>
    </row>
    <row r="75" spans="1:20" ht="15" customHeight="1">
      <c r="A75" s="1081" t="s">
        <v>185</v>
      </c>
      <c r="B75" s="1077" t="s">
        <v>186</v>
      </c>
      <c r="C75" s="1470" t="s">
        <v>273</v>
      </c>
      <c r="D75" s="1078">
        <f t="shared" si="6"/>
        <v>547725.15999999992</v>
      </c>
      <c r="E75" s="1079">
        <f t="shared" si="7"/>
        <v>264766.98</v>
      </c>
      <c r="F75" s="1080">
        <f t="shared" si="8"/>
        <v>313888.59999999998</v>
      </c>
      <c r="G75" s="1078">
        <f t="shared" si="9"/>
        <v>281760.11</v>
      </c>
      <c r="H75" s="1100">
        <f t="shared" si="9"/>
        <v>32128.489999999998</v>
      </c>
      <c r="I75" s="1104">
        <v>405923.55</v>
      </c>
      <c r="J75" s="1104">
        <v>0</v>
      </c>
      <c r="K75" s="1104">
        <v>264766.98</v>
      </c>
      <c r="L75" s="1104">
        <v>123024.62</v>
      </c>
      <c r="M75" s="1104">
        <v>30153.98</v>
      </c>
      <c r="N75" s="1104">
        <v>823869.13</v>
      </c>
      <c r="O75" s="1104">
        <v>141801.60999999999</v>
      </c>
      <c r="P75" s="1104">
        <v>0</v>
      </c>
      <c r="Q75" s="1104">
        <v>0</v>
      </c>
      <c r="R75" s="1104">
        <v>158735.49</v>
      </c>
      <c r="S75" s="1104">
        <v>1974.51</v>
      </c>
      <c r="T75" s="1104">
        <v>302511.61</v>
      </c>
    </row>
    <row r="76" spans="1:20" ht="15" customHeight="1">
      <c r="A76" s="1081" t="s">
        <v>187</v>
      </c>
      <c r="B76" s="1077" t="s">
        <v>188</v>
      </c>
      <c r="C76" s="1470" t="s">
        <v>271</v>
      </c>
      <c r="D76" s="1078">
        <f t="shared" si="6"/>
        <v>286233.48</v>
      </c>
      <c r="E76" s="1079">
        <f t="shared" si="7"/>
        <v>156686.06</v>
      </c>
      <c r="F76" s="1080">
        <f t="shared" si="8"/>
        <v>125947.26999999999</v>
      </c>
      <c r="G76" s="1078">
        <f t="shared" si="9"/>
        <v>123796.15</v>
      </c>
      <c r="H76" s="1100">
        <f t="shared" si="9"/>
        <v>2151.12</v>
      </c>
      <c r="I76" s="1104">
        <v>240502.19</v>
      </c>
      <c r="J76" s="1104">
        <v>0</v>
      </c>
      <c r="K76" s="1104">
        <v>156686.06</v>
      </c>
      <c r="L76" s="1104">
        <v>72855.94</v>
      </c>
      <c r="M76" s="1104">
        <v>1538.23</v>
      </c>
      <c r="N76" s="1104">
        <v>471582.42</v>
      </c>
      <c r="O76" s="1104">
        <v>45731.29</v>
      </c>
      <c r="P76" s="1104">
        <v>0</v>
      </c>
      <c r="Q76" s="1104">
        <v>0</v>
      </c>
      <c r="R76" s="1104">
        <v>50940.21</v>
      </c>
      <c r="S76" s="1104">
        <v>612.89</v>
      </c>
      <c r="T76" s="1104">
        <v>97284.39</v>
      </c>
    </row>
    <row r="77" spans="1:20" ht="15" customHeight="1">
      <c r="A77" s="1081" t="s">
        <v>189</v>
      </c>
      <c r="B77" s="1077" t="s">
        <v>190</v>
      </c>
      <c r="C77" s="1470" t="s">
        <v>274</v>
      </c>
      <c r="D77" s="1078">
        <f t="shared" si="6"/>
        <v>4007053.24</v>
      </c>
      <c r="E77" s="1079">
        <f t="shared" si="7"/>
        <v>1007346.42</v>
      </c>
      <c r="F77" s="1080">
        <f t="shared" si="8"/>
        <v>3271141.63</v>
      </c>
      <c r="G77" s="1078">
        <f t="shared" si="9"/>
        <v>3266159.58</v>
      </c>
      <c r="H77" s="1100">
        <f t="shared" si="9"/>
        <v>4982.0499999999993</v>
      </c>
      <c r="I77" s="1104">
        <v>1521020.47</v>
      </c>
      <c r="J77" s="1104">
        <v>0</v>
      </c>
      <c r="K77" s="1104">
        <v>1007346.42</v>
      </c>
      <c r="L77" s="1104">
        <v>463782.29</v>
      </c>
      <c r="M77" s="1104">
        <v>3769.2</v>
      </c>
      <c r="N77" s="1104">
        <v>2995918.38</v>
      </c>
      <c r="O77" s="1104">
        <v>2486032.77</v>
      </c>
      <c r="P77" s="1104">
        <v>0</v>
      </c>
      <c r="Q77" s="1104">
        <v>0</v>
      </c>
      <c r="R77" s="1104">
        <v>2802377.29</v>
      </c>
      <c r="S77" s="1104">
        <v>1212.8499999999999</v>
      </c>
      <c r="T77" s="1104">
        <v>5289622.91</v>
      </c>
    </row>
    <row r="78" spans="1:20" ht="15" customHeight="1">
      <c r="A78" s="1081" t="s">
        <v>191</v>
      </c>
      <c r="B78" s="1077" t="s">
        <v>192</v>
      </c>
      <c r="C78" s="1470" t="s">
        <v>275</v>
      </c>
      <c r="D78" s="1078">
        <f t="shared" si="6"/>
        <v>797258.69</v>
      </c>
      <c r="E78" s="1079">
        <f t="shared" si="7"/>
        <v>499718.84</v>
      </c>
      <c r="F78" s="1080">
        <f t="shared" si="8"/>
        <v>276801.80000000005</v>
      </c>
      <c r="G78" s="1078">
        <f t="shared" si="9"/>
        <v>268722.53000000003</v>
      </c>
      <c r="H78" s="1100">
        <f t="shared" si="9"/>
        <v>8079.27</v>
      </c>
      <c r="I78" s="1104">
        <v>765129.72</v>
      </c>
      <c r="J78" s="1104">
        <v>0</v>
      </c>
      <c r="K78" s="1104">
        <v>499718.84</v>
      </c>
      <c r="L78" s="1104">
        <v>232011.06</v>
      </c>
      <c r="M78" s="1104">
        <v>8080.38</v>
      </c>
      <c r="N78" s="1104">
        <v>1504940</v>
      </c>
      <c r="O78" s="1104">
        <v>32128.97</v>
      </c>
      <c r="P78" s="1104">
        <v>0</v>
      </c>
      <c r="Q78" s="1104">
        <v>0</v>
      </c>
      <c r="R78" s="1104">
        <v>36711.47</v>
      </c>
      <c r="S78" s="1104">
        <v>-1.1100000000000001</v>
      </c>
      <c r="T78" s="1104">
        <v>68839.33</v>
      </c>
    </row>
    <row r="79" spans="1:20" ht="15" customHeight="1">
      <c r="A79" s="1081" t="s">
        <v>195</v>
      </c>
      <c r="B79" s="1077" t="s">
        <v>196</v>
      </c>
      <c r="C79" s="1470" t="s">
        <v>274</v>
      </c>
      <c r="D79" s="1078">
        <f t="shared" si="6"/>
        <v>162343.76999999999</v>
      </c>
      <c r="E79" s="1079">
        <f t="shared" si="7"/>
        <v>64846.68</v>
      </c>
      <c r="F79" s="1080">
        <f t="shared" si="8"/>
        <v>112397.79000000001</v>
      </c>
      <c r="G79" s="1078">
        <f t="shared" si="9"/>
        <v>100978.52</v>
      </c>
      <c r="H79" s="1100">
        <f t="shared" si="9"/>
        <v>11419.27</v>
      </c>
      <c r="I79" s="1104">
        <v>99243.75</v>
      </c>
      <c r="J79" s="1104">
        <v>0</v>
      </c>
      <c r="K79" s="1104">
        <v>64846.68</v>
      </c>
      <c r="L79" s="1104">
        <v>30098.25</v>
      </c>
      <c r="M79" s="1104">
        <v>7539.51</v>
      </c>
      <c r="N79" s="1104">
        <v>201728.19</v>
      </c>
      <c r="O79" s="1104">
        <v>63100.02</v>
      </c>
      <c r="P79" s="1104">
        <v>0</v>
      </c>
      <c r="Q79" s="1104">
        <v>0</v>
      </c>
      <c r="R79" s="1104">
        <v>70880.27</v>
      </c>
      <c r="S79" s="1104">
        <v>3879.76</v>
      </c>
      <c r="T79" s="1104">
        <v>137860.04999999999</v>
      </c>
    </row>
    <row r="80" spans="1:20" ht="15" customHeight="1">
      <c r="A80" s="1081" t="s">
        <v>199</v>
      </c>
      <c r="B80" s="1077" t="s">
        <v>200</v>
      </c>
      <c r="C80" s="1470" t="s">
        <v>273</v>
      </c>
      <c r="D80" s="1078">
        <f t="shared" si="6"/>
        <v>179450.3</v>
      </c>
      <c r="E80" s="1079">
        <f t="shared" si="7"/>
        <v>88382.28</v>
      </c>
      <c r="F80" s="1080">
        <f t="shared" si="8"/>
        <v>91798.310000000012</v>
      </c>
      <c r="G80" s="1078">
        <f t="shared" si="9"/>
        <v>89656.790000000008</v>
      </c>
      <c r="H80" s="1100">
        <f t="shared" si="9"/>
        <v>2141.52</v>
      </c>
      <c r="I80" s="1104">
        <v>136051.09</v>
      </c>
      <c r="J80" s="1104">
        <v>0</v>
      </c>
      <c r="K80" s="1104">
        <v>88382.28</v>
      </c>
      <c r="L80" s="1104">
        <v>41166.480000000003</v>
      </c>
      <c r="M80" s="1104">
        <v>2099.36</v>
      </c>
      <c r="N80" s="1104">
        <v>267699.21000000002</v>
      </c>
      <c r="O80" s="1104">
        <v>43399.21</v>
      </c>
      <c r="P80" s="1104">
        <v>0</v>
      </c>
      <c r="Q80" s="1104">
        <v>0</v>
      </c>
      <c r="R80" s="1104">
        <v>48490.31</v>
      </c>
      <c r="S80" s="1104">
        <v>42.16</v>
      </c>
      <c r="T80" s="1104">
        <v>91931.68</v>
      </c>
    </row>
    <row r="81" spans="1:20" ht="15" customHeight="1">
      <c r="A81" s="1081" t="s">
        <v>203</v>
      </c>
      <c r="B81" s="1077" t="s">
        <v>204</v>
      </c>
      <c r="C81" s="1470" t="s">
        <v>272</v>
      </c>
      <c r="D81" s="1078">
        <f t="shared" si="6"/>
        <v>1006037.01</v>
      </c>
      <c r="E81" s="1079">
        <f t="shared" si="7"/>
        <v>427646.13</v>
      </c>
      <c r="F81" s="1080">
        <f t="shared" si="8"/>
        <v>674668.63</v>
      </c>
      <c r="G81" s="1078">
        <f t="shared" si="9"/>
        <v>595036.11</v>
      </c>
      <c r="H81" s="1100">
        <f t="shared" si="9"/>
        <v>79632.52</v>
      </c>
      <c r="I81" s="1104">
        <v>653943.87</v>
      </c>
      <c r="J81" s="1104">
        <v>0</v>
      </c>
      <c r="K81" s="1104">
        <v>427646.13</v>
      </c>
      <c r="L81" s="1104">
        <v>198397.04</v>
      </c>
      <c r="M81" s="1104">
        <v>70487.77</v>
      </c>
      <c r="N81" s="1104">
        <v>1350474.81</v>
      </c>
      <c r="O81" s="1104">
        <v>352093.14</v>
      </c>
      <c r="P81" s="1104">
        <v>0</v>
      </c>
      <c r="Q81" s="1104">
        <v>0</v>
      </c>
      <c r="R81" s="1104">
        <v>396639.07</v>
      </c>
      <c r="S81" s="1104">
        <v>9144.75</v>
      </c>
      <c r="T81" s="1104">
        <v>757876.96</v>
      </c>
    </row>
    <row r="82" spans="1:20" ht="15" customHeight="1">
      <c r="A82" s="1081" t="s">
        <v>205</v>
      </c>
      <c r="B82" s="1077" t="s">
        <v>206</v>
      </c>
      <c r="C82" s="1470" t="s">
        <v>272</v>
      </c>
      <c r="D82" s="1078">
        <f t="shared" si="6"/>
        <v>395012.11</v>
      </c>
      <c r="E82" s="1079">
        <f t="shared" si="7"/>
        <v>233336.24</v>
      </c>
      <c r="F82" s="1080">
        <f t="shared" si="8"/>
        <v>166799.87</v>
      </c>
      <c r="G82" s="1078">
        <f t="shared" si="9"/>
        <v>149931.97999999998</v>
      </c>
      <c r="H82" s="1100">
        <f t="shared" si="9"/>
        <v>16867.89</v>
      </c>
      <c r="I82" s="1104">
        <v>357746.75</v>
      </c>
      <c r="J82" s="1104">
        <v>0</v>
      </c>
      <c r="K82" s="1104">
        <v>233336.24</v>
      </c>
      <c r="L82" s="1104">
        <v>108421.79</v>
      </c>
      <c r="M82" s="1104">
        <v>16868.48</v>
      </c>
      <c r="N82" s="1104">
        <v>716373.26</v>
      </c>
      <c r="O82" s="1104">
        <v>37265.360000000001</v>
      </c>
      <c r="P82" s="1104">
        <v>0</v>
      </c>
      <c r="Q82" s="1104">
        <v>0</v>
      </c>
      <c r="R82" s="1104">
        <v>41510.19</v>
      </c>
      <c r="S82" s="1104">
        <v>-0.59</v>
      </c>
      <c r="T82" s="1104">
        <v>78774.960000000006</v>
      </c>
    </row>
    <row r="83" spans="1:20" ht="15" customHeight="1">
      <c r="A83" s="1081" t="s">
        <v>207</v>
      </c>
      <c r="B83" s="1077" t="s">
        <v>208</v>
      </c>
      <c r="C83" s="1470" t="s">
        <v>274</v>
      </c>
      <c r="D83" s="1078">
        <f t="shared" si="6"/>
        <v>1143798.54</v>
      </c>
      <c r="E83" s="1079">
        <f t="shared" si="7"/>
        <v>472700.12</v>
      </c>
      <c r="F83" s="1080">
        <f t="shared" si="8"/>
        <v>695323.28000000014</v>
      </c>
      <c r="G83" s="1078">
        <f t="shared" si="9"/>
        <v>692891.60000000009</v>
      </c>
      <c r="H83" s="1100">
        <f t="shared" si="9"/>
        <v>2431.6799999999998</v>
      </c>
      <c r="I83" s="1104">
        <v>722247.71</v>
      </c>
      <c r="J83" s="1104">
        <v>0</v>
      </c>
      <c r="K83" s="1104">
        <v>472700.12</v>
      </c>
      <c r="L83" s="1104">
        <v>219189.7</v>
      </c>
      <c r="M83" s="1104">
        <v>1513.25</v>
      </c>
      <c r="N83" s="1104">
        <v>1415650.78</v>
      </c>
      <c r="O83" s="1104">
        <v>421550.83</v>
      </c>
      <c r="P83" s="1104">
        <v>0</v>
      </c>
      <c r="Q83" s="1104">
        <v>0</v>
      </c>
      <c r="R83" s="1104">
        <v>473701.9</v>
      </c>
      <c r="S83" s="1104">
        <v>918.43</v>
      </c>
      <c r="T83" s="1104">
        <v>896171.16</v>
      </c>
    </row>
    <row r="84" spans="1:20" ht="15" customHeight="1">
      <c r="A84" s="1081" t="s">
        <v>209</v>
      </c>
      <c r="B84" s="1077" t="s">
        <v>210</v>
      </c>
      <c r="C84" s="1470" t="s">
        <v>275</v>
      </c>
      <c r="D84" s="1078">
        <f t="shared" si="6"/>
        <v>564952.62</v>
      </c>
      <c r="E84" s="1079">
        <f t="shared" si="7"/>
        <v>368779.57</v>
      </c>
      <c r="F84" s="1080">
        <f t="shared" si="8"/>
        <v>187539.45</v>
      </c>
      <c r="G84" s="1078">
        <f t="shared" si="9"/>
        <v>171274.07</v>
      </c>
      <c r="H84" s="1100">
        <f t="shared" si="9"/>
        <v>16265.38</v>
      </c>
      <c r="I84" s="1104">
        <v>564952.62</v>
      </c>
      <c r="J84" s="1104">
        <v>0</v>
      </c>
      <c r="K84" s="1104">
        <v>368779.57</v>
      </c>
      <c r="L84" s="1104">
        <v>171274.07</v>
      </c>
      <c r="M84" s="1104">
        <v>16265.38</v>
      </c>
      <c r="N84" s="1104">
        <v>1121271.6399999999</v>
      </c>
      <c r="O84" s="1105"/>
      <c r="P84" s="1105"/>
      <c r="Q84" s="1105"/>
      <c r="R84" s="1105"/>
      <c r="S84" s="1105"/>
      <c r="T84" s="1105"/>
    </row>
    <row r="85" spans="1:20" ht="15" customHeight="1">
      <c r="A85" s="1081" t="s">
        <v>211</v>
      </c>
      <c r="B85" s="1077" t="s">
        <v>212</v>
      </c>
      <c r="C85" s="1470" t="s">
        <v>275</v>
      </c>
      <c r="D85" s="1078">
        <f t="shared" si="6"/>
        <v>513473.95999999996</v>
      </c>
      <c r="E85" s="1079">
        <f t="shared" si="7"/>
        <v>301287.09000000003</v>
      </c>
      <c r="F85" s="1080">
        <f t="shared" si="8"/>
        <v>206812.36000000002</v>
      </c>
      <c r="G85" s="1078">
        <f t="shared" si="9"/>
        <v>197390.13</v>
      </c>
      <c r="H85" s="1100">
        <f t="shared" si="9"/>
        <v>9422.23</v>
      </c>
      <c r="I85" s="1104">
        <v>461952.43</v>
      </c>
      <c r="J85" s="1104">
        <v>0</v>
      </c>
      <c r="K85" s="1104">
        <v>301287.09000000003</v>
      </c>
      <c r="L85" s="1104">
        <v>139999.79999999999</v>
      </c>
      <c r="M85" s="1104">
        <v>8901.9699999999993</v>
      </c>
      <c r="N85" s="1104">
        <v>912141.29</v>
      </c>
      <c r="O85" s="1104">
        <v>51521.53</v>
      </c>
      <c r="P85" s="1104">
        <v>0</v>
      </c>
      <c r="Q85" s="1104">
        <v>0</v>
      </c>
      <c r="R85" s="1104">
        <v>57390.33</v>
      </c>
      <c r="S85" s="1104">
        <v>520.26</v>
      </c>
      <c r="T85" s="1104">
        <v>109432.12</v>
      </c>
    </row>
    <row r="86" spans="1:20" ht="15" customHeight="1">
      <c r="A86" s="1081" t="s">
        <v>213</v>
      </c>
      <c r="B86" s="1077" t="s">
        <v>214</v>
      </c>
      <c r="C86" s="1470" t="s">
        <v>274</v>
      </c>
      <c r="D86" s="1078">
        <f t="shared" si="6"/>
        <v>550883.96</v>
      </c>
      <c r="E86" s="1079">
        <f t="shared" si="7"/>
        <v>199836.55</v>
      </c>
      <c r="F86" s="1080">
        <f t="shared" si="8"/>
        <v>532181.17000000004</v>
      </c>
      <c r="G86" s="1078">
        <f t="shared" si="9"/>
        <v>367953.03</v>
      </c>
      <c r="H86" s="1100">
        <f t="shared" si="9"/>
        <v>164228.13999999998</v>
      </c>
      <c r="I86" s="1104">
        <v>306022.40000000002</v>
      </c>
      <c r="J86" s="1104">
        <v>0</v>
      </c>
      <c r="K86" s="1104">
        <v>199836.55</v>
      </c>
      <c r="L86" s="1104">
        <v>92788.91</v>
      </c>
      <c r="M86" s="1104">
        <v>162698.07999999999</v>
      </c>
      <c r="N86" s="1104">
        <v>761345.94</v>
      </c>
      <c r="O86" s="1104">
        <v>244861.56</v>
      </c>
      <c r="P86" s="1104">
        <v>0</v>
      </c>
      <c r="Q86" s="1104">
        <v>0</v>
      </c>
      <c r="R86" s="1104">
        <v>275164.12</v>
      </c>
      <c r="S86" s="1104">
        <v>1530.06</v>
      </c>
      <c r="T86" s="1104">
        <v>521555.74</v>
      </c>
    </row>
    <row r="87" spans="1:20" ht="15" customHeight="1">
      <c r="A87" s="1081" t="s">
        <v>215</v>
      </c>
      <c r="B87" s="1077" t="s">
        <v>216</v>
      </c>
      <c r="C87" s="1470" t="s">
        <v>275</v>
      </c>
      <c r="D87" s="1078">
        <f t="shared" si="6"/>
        <v>803188.14</v>
      </c>
      <c r="E87" s="1079">
        <f t="shared" si="7"/>
        <v>478552.43</v>
      </c>
      <c r="F87" s="1080">
        <f t="shared" si="8"/>
        <v>295704.89999999997</v>
      </c>
      <c r="G87" s="1078">
        <f t="shared" si="9"/>
        <v>299693.59999999998</v>
      </c>
      <c r="H87" s="1100">
        <f t="shared" si="9"/>
        <v>-3988.7</v>
      </c>
      <c r="I87" s="1104">
        <v>733779.15</v>
      </c>
      <c r="J87" s="1104">
        <v>0</v>
      </c>
      <c r="K87" s="1104">
        <v>478552.43</v>
      </c>
      <c r="L87" s="1104">
        <v>222378.2</v>
      </c>
      <c r="M87" s="1104">
        <v>-3988.41</v>
      </c>
      <c r="N87" s="1104">
        <v>1430721.37</v>
      </c>
      <c r="O87" s="1104">
        <v>69408.990000000005</v>
      </c>
      <c r="P87" s="1104">
        <v>0</v>
      </c>
      <c r="Q87" s="1104">
        <v>0</v>
      </c>
      <c r="R87" s="1104">
        <v>77315.399999999994</v>
      </c>
      <c r="S87" s="1104">
        <v>-0.28999999999999998</v>
      </c>
      <c r="T87" s="1104">
        <v>146724.1</v>
      </c>
    </row>
    <row r="88" spans="1:20" ht="15" customHeight="1">
      <c r="A88" s="1081" t="s">
        <v>217</v>
      </c>
      <c r="B88" s="1077" t="s">
        <v>218</v>
      </c>
      <c r="C88" s="1470" t="s">
        <v>271</v>
      </c>
      <c r="D88" s="1078">
        <f t="shared" si="6"/>
        <v>454509.25</v>
      </c>
      <c r="E88" s="1079">
        <f t="shared" si="7"/>
        <v>296596.84000000003</v>
      </c>
      <c r="F88" s="1080">
        <f t="shared" si="8"/>
        <v>144110.17000000001</v>
      </c>
      <c r="G88" s="1078">
        <f t="shared" si="9"/>
        <v>137775.33000000002</v>
      </c>
      <c r="H88" s="1100">
        <f t="shared" si="9"/>
        <v>6334.84</v>
      </c>
      <c r="I88" s="1104">
        <v>454510.29</v>
      </c>
      <c r="J88" s="1104">
        <v>0</v>
      </c>
      <c r="K88" s="1104">
        <v>296596.84000000003</v>
      </c>
      <c r="L88" s="1104">
        <v>137774.26</v>
      </c>
      <c r="M88" s="1104">
        <v>6334.87</v>
      </c>
      <c r="N88" s="1104">
        <v>895216.26</v>
      </c>
      <c r="O88" s="1104">
        <v>-1.04</v>
      </c>
      <c r="P88" s="1104">
        <v>0</v>
      </c>
      <c r="Q88" s="1104">
        <v>0</v>
      </c>
      <c r="R88" s="1104">
        <v>1.07</v>
      </c>
      <c r="S88" s="1104">
        <v>-0.03</v>
      </c>
      <c r="T88" s="1104">
        <v>0</v>
      </c>
    </row>
    <row r="89" spans="1:20" ht="15" customHeight="1">
      <c r="A89" s="1081" t="s">
        <v>219</v>
      </c>
      <c r="B89" s="1077" t="s">
        <v>220</v>
      </c>
      <c r="C89" s="1470" t="s">
        <v>274</v>
      </c>
      <c r="D89" s="1078">
        <f t="shared" si="6"/>
        <v>1183854.3400000001</v>
      </c>
      <c r="E89" s="1079">
        <f t="shared" si="7"/>
        <v>315397.28999999998</v>
      </c>
      <c r="F89" s="1080">
        <f t="shared" si="8"/>
        <v>970462.54</v>
      </c>
      <c r="G89" s="1078">
        <f t="shared" si="9"/>
        <v>942429.85000000009</v>
      </c>
      <c r="H89" s="1100">
        <f t="shared" si="9"/>
        <v>28032.69</v>
      </c>
      <c r="I89" s="1104">
        <v>477425.55</v>
      </c>
      <c r="J89" s="1104">
        <v>0</v>
      </c>
      <c r="K89" s="1104">
        <v>315397.28999999998</v>
      </c>
      <c r="L89" s="1104">
        <v>145427.95000000001</v>
      </c>
      <c r="M89" s="1104">
        <v>11833.64</v>
      </c>
      <c r="N89" s="1104">
        <v>950084.43</v>
      </c>
      <c r="O89" s="1104">
        <v>706428.79</v>
      </c>
      <c r="P89" s="1104">
        <v>0</v>
      </c>
      <c r="Q89" s="1104">
        <v>0</v>
      </c>
      <c r="R89" s="1104">
        <v>797001.9</v>
      </c>
      <c r="S89" s="1104">
        <v>16199.05</v>
      </c>
      <c r="T89" s="1104">
        <v>1519629.74</v>
      </c>
    </row>
    <row r="90" spans="1:20" ht="15" customHeight="1">
      <c r="A90" s="1081" t="s">
        <v>221</v>
      </c>
      <c r="B90" s="1077" t="s">
        <v>222</v>
      </c>
      <c r="C90" s="1470" t="s">
        <v>274</v>
      </c>
      <c r="D90" s="1078">
        <f t="shared" si="6"/>
        <v>817517.22</v>
      </c>
      <c r="E90" s="1079">
        <f t="shared" si="7"/>
        <v>252704.03</v>
      </c>
      <c r="F90" s="1080">
        <f t="shared" si="8"/>
        <v>616206.63</v>
      </c>
      <c r="G90" s="1078">
        <f t="shared" si="9"/>
        <v>606933.49</v>
      </c>
      <c r="H90" s="1100">
        <f t="shared" si="9"/>
        <v>9273.14</v>
      </c>
      <c r="I90" s="1104">
        <v>383574.71</v>
      </c>
      <c r="J90" s="1104">
        <v>0</v>
      </c>
      <c r="K90" s="1104">
        <v>252704.03</v>
      </c>
      <c r="L90" s="1104">
        <v>116713.2</v>
      </c>
      <c r="M90" s="1104">
        <v>8732.01</v>
      </c>
      <c r="N90" s="1104">
        <v>761723.95</v>
      </c>
      <c r="O90" s="1104">
        <v>433942.51</v>
      </c>
      <c r="P90" s="1104">
        <v>0</v>
      </c>
      <c r="Q90" s="1104">
        <v>0</v>
      </c>
      <c r="R90" s="1104">
        <v>490220.29</v>
      </c>
      <c r="S90" s="1104">
        <v>541.13</v>
      </c>
      <c r="T90" s="1104">
        <v>924703.93</v>
      </c>
    </row>
    <row r="91" spans="1:20" ht="15" customHeight="1">
      <c r="A91" s="1081" t="s">
        <v>225</v>
      </c>
      <c r="B91" s="1077" t="s">
        <v>226</v>
      </c>
      <c r="C91" s="1470" t="s">
        <v>271</v>
      </c>
      <c r="D91" s="1078">
        <f t="shared" si="6"/>
        <v>255500.38</v>
      </c>
      <c r="E91" s="1079">
        <f t="shared" si="7"/>
        <v>138008.49</v>
      </c>
      <c r="F91" s="1080">
        <f t="shared" si="8"/>
        <v>226635.94</v>
      </c>
      <c r="G91" s="1078">
        <f t="shared" si="9"/>
        <v>112679.3</v>
      </c>
      <c r="H91" s="1100">
        <f t="shared" si="9"/>
        <v>113956.64</v>
      </c>
      <c r="I91" s="1104">
        <v>211976.37</v>
      </c>
      <c r="J91" s="1104">
        <v>0</v>
      </c>
      <c r="K91" s="1104">
        <v>138008.49</v>
      </c>
      <c r="L91" s="1104">
        <v>64197.29</v>
      </c>
      <c r="M91" s="1104">
        <v>100438.59</v>
      </c>
      <c r="N91" s="1104">
        <v>514620.74</v>
      </c>
      <c r="O91" s="1104">
        <v>43524.01</v>
      </c>
      <c r="P91" s="1104">
        <v>0</v>
      </c>
      <c r="Q91" s="1104">
        <v>0</v>
      </c>
      <c r="R91" s="1104">
        <v>48482.01</v>
      </c>
      <c r="S91" s="1104">
        <v>13518.05</v>
      </c>
      <c r="T91" s="1104">
        <v>105524.07</v>
      </c>
    </row>
    <row r="92" spans="1:20" ht="15" customHeight="1">
      <c r="A92" s="1081" t="s">
        <v>227</v>
      </c>
      <c r="B92" s="1077" t="s">
        <v>228</v>
      </c>
      <c r="C92" s="1470" t="s">
        <v>271</v>
      </c>
      <c r="D92" s="1078">
        <f t="shared" si="6"/>
        <v>484722.05</v>
      </c>
      <c r="E92" s="1079">
        <f t="shared" si="7"/>
        <v>205298.41</v>
      </c>
      <c r="F92" s="1080">
        <f t="shared" si="8"/>
        <v>312444.02</v>
      </c>
      <c r="G92" s="1078">
        <f t="shared" si="9"/>
        <v>287400.76</v>
      </c>
      <c r="H92" s="1100">
        <f t="shared" si="9"/>
        <v>25043.26</v>
      </c>
      <c r="I92" s="1104">
        <v>313983.74</v>
      </c>
      <c r="J92" s="1104">
        <v>0</v>
      </c>
      <c r="K92" s="1104">
        <v>205298.41</v>
      </c>
      <c r="L92" s="1104">
        <v>95251.48</v>
      </c>
      <c r="M92" s="1104">
        <v>17896.89</v>
      </c>
      <c r="N92" s="1104">
        <v>632430.52</v>
      </c>
      <c r="O92" s="1104">
        <v>170738.31</v>
      </c>
      <c r="P92" s="1104">
        <v>0</v>
      </c>
      <c r="Q92" s="1104">
        <v>0</v>
      </c>
      <c r="R92" s="1104">
        <v>192149.28</v>
      </c>
      <c r="S92" s="1104">
        <v>7146.37</v>
      </c>
      <c r="T92" s="1104">
        <v>370033.96</v>
      </c>
    </row>
    <row r="93" spans="1:20" ht="15" customHeight="1">
      <c r="A93" s="1081" t="s">
        <v>229</v>
      </c>
      <c r="B93" s="1077" t="s">
        <v>230</v>
      </c>
      <c r="C93" s="1470" t="s">
        <v>275</v>
      </c>
      <c r="D93" s="1078">
        <f t="shared" si="6"/>
        <v>878408.07</v>
      </c>
      <c r="E93" s="1079">
        <f t="shared" si="7"/>
        <v>502497.88</v>
      </c>
      <c r="F93" s="1080">
        <f t="shared" si="8"/>
        <v>396494.91</v>
      </c>
      <c r="G93" s="1078">
        <f t="shared" si="9"/>
        <v>353439.57999999996</v>
      </c>
      <c r="H93" s="1100">
        <f t="shared" si="9"/>
        <v>43055.33</v>
      </c>
      <c r="I93" s="1104">
        <v>770766.33</v>
      </c>
      <c r="J93" s="1104">
        <v>0</v>
      </c>
      <c r="K93" s="1104">
        <v>502497.88</v>
      </c>
      <c r="L93" s="1104">
        <v>233555.11</v>
      </c>
      <c r="M93" s="1104">
        <v>43057.01</v>
      </c>
      <c r="N93" s="1104">
        <v>1549876.33</v>
      </c>
      <c r="O93" s="1104">
        <v>107641.74</v>
      </c>
      <c r="P93" s="1104">
        <v>0</v>
      </c>
      <c r="Q93" s="1104">
        <v>0</v>
      </c>
      <c r="R93" s="1104">
        <v>119884.47</v>
      </c>
      <c r="S93" s="1104">
        <v>-1.68</v>
      </c>
      <c r="T93" s="1104">
        <v>227524.53</v>
      </c>
    </row>
    <row r="94" spans="1:20" ht="15" customHeight="1">
      <c r="A94" s="1081" t="s">
        <v>233</v>
      </c>
      <c r="B94" s="1077" t="s">
        <v>234</v>
      </c>
      <c r="C94" s="1470" t="s">
        <v>274</v>
      </c>
      <c r="D94" s="1078">
        <f t="shared" si="6"/>
        <v>473641.67000000004</v>
      </c>
      <c r="E94" s="1079">
        <f t="shared" si="7"/>
        <v>193607.65</v>
      </c>
      <c r="F94" s="1080">
        <f t="shared" si="8"/>
        <v>310312.42</v>
      </c>
      <c r="G94" s="1078">
        <f t="shared" si="9"/>
        <v>290277.51</v>
      </c>
      <c r="H94" s="1100">
        <f t="shared" si="9"/>
        <v>20034.91</v>
      </c>
      <c r="I94" s="1104">
        <v>295648.57</v>
      </c>
      <c r="J94" s="1104">
        <v>0</v>
      </c>
      <c r="K94" s="1104">
        <v>193607.65</v>
      </c>
      <c r="L94" s="1104">
        <v>89743.67</v>
      </c>
      <c r="M94" s="1104">
        <v>19697.02</v>
      </c>
      <c r="N94" s="1104">
        <v>598696.91</v>
      </c>
      <c r="O94" s="1104">
        <v>177993.1</v>
      </c>
      <c r="P94" s="1104">
        <v>0</v>
      </c>
      <c r="Q94" s="1104">
        <v>0</v>
      </c>
      <c r="R94" s="1104">
        <v>200533.84</v>
      </c>
      <c r="S94" s="1104">
        <v>337.89</v>
      </c>
      <c r="T94" s="1104">
        <v>378864.83</v>
      </c>
    </row>
    <row r="95" spans="1:20" ht="15" customHeight="1">
      <c r="A95" s="1081" t="s">
        <v>235</v>
      </c>
      <c r="B95" s="1077" t="s">
        <v>236</v>
      </c>
      <c r="C95" s="1470" t="s">
        <v>275</v>
      </c>
      <c r="D95" s="1078">
        <f t="shared" si="6"/>
        <v>744848.42999999993</v>
      </c>
      <c r="E95" s="1079">
        <f t="shared" si="7"/>
        <v>379355.01</v>
      </c>
      <c r="F95" s="1080">
        <f t="shared" si="8"/>
        <v>373399.23</v>
      </c>
      <c r="G95" s="1078">
        <f t="shared" si="9"/>
        <v>358369.74</v>
      </c>
      <c r="H95" s="1100">
        <f t="shared" si="9"/>
        <v>15029.49</v>
      </c>
      <c r="I95" s="1104">
        <v>581916</v>
      </c>
      <c r="J95" s="1104">
        <v>0</v>
      </c>
      <c r="K95" s="1104">
        <v>379355.01</v>
      </c>
      <c r="L95" s="1104">
        <v>176325.99</v>
      </c>
      <c r="M95" s="1104">
        <v>15032.38</v>
      </c>
      <c r="N95" s="1104">
        <v>1152629.3799999999</v>
      </c>
      <c r="O95" s="1104">
        <v>162932.43</v>
      </c>
      <c r="P95" s="1104">
        <v>0</v>
      </c>
      <c r="Q95" s="1104">
        <v>0</v>
      </c>
      <c r="R95" s="1104">
        <v>182043.75</v>
      </c>
      <c r="S95" s="1104">
        <v>-2.89</v>
      </c>
      <c r="T95" s="1104">
        <v>344973.29</v>
      </c>
    </row>
    <row r="96" spans="1:20" ht="15" customHeight="1">
      <c r="A96" s="1081" t="s">
        <v>237</v>
      </c>
      <c r="B96" s="1077" t="s">
        <v>238</v>
      </c>
      <c r="C96" s="1470" t="s">
        <v>273</v>
      </c>
      <c r="D96" s="1078">
        <f t="shared" si="6"/>
        <v>419617.87</v>
      </c>
      <c r="E96" s="1079">
        <f t="shared" si="7"/>
        <v>192902.71</v>
      </c>
      <c r="F96" s="1080">
        <f t="shared" si="8"/>
        <v>264086.91000000003</v>
      </c>
      <c r="G96" s="1078">
        <f t="shared" si="9"/>
        <v>231025.75</v>
      </c>
      <c r="H96" s="1100">
        <f t="shared" si="9"/>
        <v>33061.160000000003</v>
      </c>
      <c r="I96" s="1104">
        <v>294262.87</v>
      </c>
      <c r="J96" s="1104">
        <v>0</v>
      </c>
      <c r="K96" s="1104">
        <v>192902.71</v>
      </c>
      <c r="L96" s="1104">
        <v>89359.94</v>
      </c>
      <c r="M96" s="1104">
        <v>33063.08</v>
      </c>
      <c r="N96" s="1104">
        <v>609588.6</v>
      </c>
      <c r="O96" s="1104">
        <v>125355</v>
      </c>
      <c r="P96" s="1104">
        <v>0</v>
      </c>
      <c r="Q96" s="1104">
        <v>0</v>
      </c>
      <c r="R96" s="1104">
        <v>141665.81</v>
      </c>
      <c r="S96" s="1104">
        <v>-1.92</v>
      </c>
      <c r="T96" s="1104">
        <v>267018.89</v>
      </c>
    </row>
    <row r="97" spans="1:20" ht="15" customHeight="1">
      <c r="A97" s="1081" t="s">
        <v>243</v>
      </c>
      <c r="B97" s="1077" t="s">
        <v>244</v>
      </c>
      <c r="C97" s="1470" t="s">
        <v>275</v>
      </c>
      <c r="D97" s="1078">
        <f t="shared" si="6"/>
        <v>1029111.4500000001</v>
      </c>
      <c r="E97" s="1079">
        <f t="shared" si="7"/>
        <v>616582.14</v>
      </c>
      <c r="F97" s="1080">
        <f t="shared" si="8"/>
        <v>382416.77</v>
      </c>
      <c r="G97" s="1078">
        <f t="shared" si="9"/>
        <v>379837.08</v>
      </c>
      <c r="H97" s="1100">
        <f t="shared" si="9"/>
        <v>2579.69</v>
      </c>
      <c r="I97" s="1104">
        <v>945456.65</v>
      </c>
      <c r="J97" s="1104">
        <v>0</v>
      </c>
      <c r="K97" s="1104">
        <v>616582.14</v>
      </c>
      <c r="L97" s="1104">
        <v>286525.03000000003</v>
      </c>
      <c r="M97" s="1104">
        <v>2580.5</v>
      </c>
      <c r="N97" s="1104">
        <v>1851144.32</v>
      </c>
      <c r="O97" s="1104">
        <v>83654.8</v>
      </c>
      <c r="P97" s="1104">
        <v>0</v>
      </c>
      <c r="Q97" s="1104">
        <v>0</v>
      </c>
      <c r="R97" s="1104">
        <v>93312.05</v>
      </c>
      <c r="S97" s="1104">
        <v>-0.81</v>
      </c>
      <c r="T97" s="1104">
        <v>176966.04</v>
      </c>
    </row>
    <row r="98" spans="1:20" ht="15" customHeight="1">
      <c r="A98" s="1081" t="s">
        <v>245</v>
      </c>
      <c r="B98" s="1077" t="s">
        <v>246</v>
      </c>
      <c r="C98" s="1470" t="s">
        <v>275</v>
      </c>
      <c r="D98" s="1078">
        <f t="shared" si="6"/>
        <v>619582.01</v>
      </c>
      <c r="E98" s="1079">
        <f t="shared" si="7"/>
        <v>298568.45</v>
      </c>
      <c r="F98" s="1080">
        <f t="shared" si="8"/>
        <v>323850.55</v>
      </c>
      <c r="G98" s="1078">
        <f t="shared" si="9"/>
        <v>319801.49</v>
      </c>
      <c r="H98" s="1100">
        <f t="shared" si="9"/>
        <v>4049.06</v>
      </c>
      <c r="I98" s="1104">
        <v>457741.58</v>
      </c>
      <c r="J98" s="1104">
        <v>0</v>
      </c>
      <c r="K98" s="1104">
        <v>298568.45</v>
      </c>
      <c r="L98" s="1104">
        <v>138729.43</v>
      </c>
      <c r="M98" s="1104">
        <v>4050.5</v>
      </c>
      <c r="N98" s="1104">
        <v>899089.96</v>
      </c>
      <c r="O98" s="1104">
        <v>161840.43</v>
      </c>
      <c r="P98" s="1104">
        <v>0</v>
      </c>
      <c r="Q98" s="1104">
        <v>0</v>
      </c>
      <c r="R98" s="1104">
        <v>181072.06</v>
      </c>
      <c r="S98" s="1104">
        <v>-1.44</v>
      </c>
      <c r="T98" s="1104">
        <v>342911.05</v>
      </c>
    </row>
    <row r="99" spans="1:20" ht="15" customHeight="1">
      <c r="A99" s="1081" t="s">
        <v>247</v>
      </c>
      <c r="B99" s="1077" t="s">
        <v>332</v>
      </c>
      <c r="C99" s="1470" t="s">
        <v>271</v>
      </c>
      <c r="D99" s="1078">
        <f t="shared" si="6"/>
        <v>756181.41</v>
      </c>
      <c r="E99" s="1079">
        <f t="shared" si="7"/>
        <v>332214.15000000002</v>
      </c>
      <c r="F99" s="1080">
        <f t="shared" si="8"/>
        <v>442638.89999999997</v>
      </c>
      <c r="G99" s="1078">
        <f t="shared" si="9"/>
        <v>431728.73</v>
      </c>
      <c r="H99" s="1100">
        <f t="shared" si="9"/>
        <v>10910.17</v>
      </c>
      <c r="I99" s="1104">
        <v>508915.20000000001</v>
      </c>
      <c r="J99" s="1104">
        <v>0</v>
      </c>
      <c r="K99" s="1104">
        <v>332214.15000000002</v>
      </c>
      <c r="L99" s="1104">
        <v>154288.78</v>
      </c>
      <c r="M99" s="1104">
        <v>9758.89</v>
      </c>
      <c r="N99" s="1104">
        <v>1005177.02</v>
      </c>
      <c r="O99" s="1104">
        <v>247266.21</v>
      </c>
      <c r="P99" s="1104">
        <v>0</v>
      </c>
      <c r="Q99" s="1104">
        <v>0</v>
      </c>
      <c r="R99" s="1104">
        <v>277439.95</v>
      </c>
      <c r="S99" s="1104">
        <v>1151.28</v>
      </c>
      <c r="T99" s="1104">
        <v>525857.43999999994</v>
      </c>
    </row>
    <row r="100" spans="1:20" ht="15" customHeight="1">
      <c r="A100" s="1081" t="s">
        <v>14</v>
      </c>
      <c r="B100" s="1077" t="s">
        <v>15</v>
      </c>
      <c r="C100" s="1470" t="s">
        <v>274</v>
      </c>
      <c r="D100" s="1078">
        <f t="shared" si="6"/>
        <v>2483530.09</v>
      </c>
      <c r="E100" s="1079">
        <f t="shared" si="7"/>
        <v>951647.81</v>
      </c>
      <c r="F100" s="1080">
        <f t="shared" si="8"/>
        <v>1595755.1900000002</v>
      </c>
      <c r="G100" s="1078">
        <f t="shared" si="9"/>
        <v>1579940.34</v>
      </c>
      <c r="H100" s="1100">
        <f t="shared" si="9"/>
        <v>15814.849999999999</v>
      </c>
      <c r="I100" s="1104">
        <v>1475047.75</v>
      </c>
      <c r="J100" s="1104">
        <v>0</v>
      </c>
      <c r="K100" s="1104">
        <v>951647.81</v>
      </c>
      <c r="L100" s="1104">
        <v>445131.8</v>
      </c>
      <c r="M100" s="1104">
        <v>15824.47</v>
      </c>
      <c r="N100" s="1104">
        <v>2887651.83</v>
      </c>
      <c r="O100" s="1104">
        <v>1008482.34</v>
      </c>
      <c r="P100" s="1104">
        <v>0</v>
      </c>
      <c r="Q100" s="1104">
        <v>0</v>
      </c>
      <c r="R100" s="1104">
        <v>1134808.54</v>
      </c>
      <c r="S100" s="1104">
        <v>-9.6199999999999992</v>
      </c>
      <c r="T100" s="1104">
        <v>2143281.2599999998</v>
      </c>
    </row>
    <row r="101" spans="1:20" ht="15" customHeight="1">
      <c r="A101" s="1081" t="s">
        <v>35</v>
      </c>
      <c r="B101" s="1077" t="s">
        <v>36</v>
      </c>
      <c r="C101" s="1470" t="s">
        <v>275</v>
      </c>
      <c r="D101" s="1078">
        <f t="shared" si="6"/>
        <v>560349.92000000004</v>
      </c>
      <c r="E101" s="1079">
        <f t="shared" si="7"/>
        <v>348589.46</v>
      </c>
      <c r="F101" s="1080">
        <f t="shared" si="8"/>
        <v>201067.91</v>
      </c>
      <c r="G101" s="1078">
        <f t="shared" si="9"/>
        <v>191209.68</v>
      </c>
      <c r="H101" s="1100">
        <f t="shared" si="9"/>
        <v>9858.23</v>
      </c>
      <c r="I101" s="1104">
        <v>534303.36</v>
      </c>
      <c r="J101" s="1104">
        <v>0</v>
      </c>
      <c r="K101" s="1104">
        <v>348589.46</v>
      </c>
      <c r="L101" s="1104">
        <v>161947.9</v>
      </c>
      <c r="M101" s="1104">
        <v>9858.57</v>
      </c>
      <c r="N101" s="1104">
        <v>1054699.29</v>
      </c>
      <c r="O101" s="1104">
        <v>26046.560000000001</v>
      </c>
      <c r="P101" s="1104">
        <v>0</v>
      </c>
      <c r="Q101" s="1104">
        <v>0</v>
      </c>
      <c r="R101" s="1104">
        <v>29261.78</v>
      </c>
      <c r="S101" s="1104">
        <v>-0.34</v>
      </c>
      <c r="T101" s="1104">
        <v>55308</v>
      </c>
    </row>
    <row r="102" spans="1:20" ht="15" customHeight="1">
      <c r="A102" s="1081" t="s">
        <v>53</v>
      </c>
      <c r="B102" s="1077" t="s">
        <v>54</v>
      </c>
      <c r="C102" s="1470" t="s">
        <v>272</v>
      </c>
      <c r="D102" s="1078">
        <f t="shared" si="6"/>
        <v>1433225.89</v>
      </c>
      <c r="E102" s="1079">
        <f t="shared" si="7"/>
        <v>438059.35</v>
      </c>
      <c r="F102" s="1080">
        <f t="shared" si="8"/>
        <v>1060641.3800000001</v>
      </c>
      <c r="G102" s="1078">
        <f t="shared" si="9"/>
        <v>1052175.83</v>
      </c>
      <c r="H102" s="1100">
        <f t="shared" si="9"/>
        <v>8465.5499999999993</v>
      </c>
      <c r="I102" s="1104">
        <v>673318.2</v>
      </c>
      <c r="J102" s="1104">
        <v>0</v>
      </c>
      <c r="K102" s="1104">
        <v>438059.35</v>
      </c>
      <c r="L102" s="1104">
        <v>203858.61</v>
      </c>
      <c r="M102" s="1104">
        <v>8233.56</v>
      </c>
      <c r="N102" s="1104">
        <v>1323469.72</v>
      </c>
      <c r="O102" s="1104">
        <v>759907.69</v>
      </c>
      <c r="P102" s="1104">
        <v>0</v>
      </c>
      <c r="Q102" s="1104">
        <v>0</v>
      </c>
      <c r="R102" s="1104">
        <v>848317.22</v>
      </c>
      <c r="S102" s="1104">
        <v>231.99</v>
      </c>
      <c r="T102" s="1104">
        <v>1608456.9</v>
      </c>
    </row>
    <row r="103" spans="1:20" ht="15" customHeight="1">
      <c r="A103" s="1081" t="s">
        <v>55</v>
      </c>
      <c r="B103" s="1077" t="s">
        <v>56</v>
      </c>
      <c r="C103" s="1470" t="s">
        <v>271</v>
      </c>
      <c r="D103" s="1078">
        <f t="shared" si="6"/>
        <v>3336760.31</v>
      </c>
      <c r="E103" s="1079">
        <f t="shared" si="7"/>
        <v>1295252.93</v>
      </c>
      <c r="F103" s="1080">
        <f t="shared" si="8"/>
        <v>2420010.7400000002</v>
      </c>
      <c r="G103" s="1078">
        <f t="shared" si="9"/>
        <v>2132213.7800000003</v>
      </c>
      <c r="H103" s="1100">
        <f t="shared" si="9"/>
        <v>287796.96000000002</v>
      </c>
      <c r="I103" s="1104">
        <v>1977708.85</v>
      </c>
      <c r="J103" s="1104">
        <v>0</v>
      </c>
      <c r="K103" s="1104">
        <v>1295252.93</v>
      </c>
      <c r="L103" s="1104">
        <v>600364.23</v>
      </c>
      <c r="M103" s="1104">
        <v>37517.980000000003</v>
      </c>
      <c r="N103" s="1104">
        <v>3910843.99</v>
      </c>
      <c r="O103" s="1104">
        <v>1359051.46</v>
      </c>
      <c r="P103" s="1104">
        <v>0</v>
      </c>
      <c r="Q103" s="1104">
        <v>0</v>
      </c>
      <c r="R103" s="1104">
        <v>1531849.55</v>
      </c>
      <c r="S103" s="1104">
        <v>250278.98</v>
      </c>
      <c r="T103" s="1104">
        <v>3141179.99</v>
      </c>
    </row>
    <row r="104" spans="1:20" ht="15" customHeight="1">
      <c r="A104" s="1081" t="s">
        <v>67</v>
      </c>
      <c r="B104" s="1077" t="s">
        <v>68</v>
      </c>
      <c r="C104" s="1470" t="s">
        <v>272</v>
      </c>
      <c r="D104" s="1078">
        <f t="shared" si="6"/>
        <v>1121820.42</v>
      </c>
      <c r="E104" s="1079">
        <f t="shared" si="7"/>
        <v>672677.87</v>
      </c>
      <c r="F104" s="1080">
        <f t="shared" si="8"/>
        <v>415063.33999999997</v>
      </c>
      <c r="G104" s="1078">
        <f t="shared" si="9"/>
        <v>412912.73</v>
      </c>
      <c r="H104" s="1100">
        <f t="shared" si="9"/>
        <v>2150.6099999999997</v>
      </c>
      <c r="I104" s="1104">
        <v>1031817.26</v>
      </c>
      <c r="J104" s="1104">
        <v>0</v>
      </c>
      <c r="K104" s="1104">
        <v>672677.87</v>
      </c>
      <c r="L104" s="1104">
        <v>312657.21999999997</v>
      </c>
      <c r="M104" s="1104">
        <v>2150.7399999999998</v>
      </c>
      <c r="N104" s="1104">
        <v>2019303.09</v>
      </c>
      <c r="O104" s="1104">
        <v>90003.16</v>
      </c>
      <c r="P104" s="1104">
        <v>0</v>
      </c>
      <c r="Q104" s="1104">
        <v>0</v>
      </c>
      <c r="R104" s="1104">
        <v>100255.51</v>
      </c>
      <c r="S104" s="1104">
        <v>-0.13</v>
      </c>
      <c r="T104" s="1104">
        <v>190258.54</v>
      </c>
    </row>
    <row r="105" spans="1:20" ht="15" customHeight="1">
      <c r="A105" s="1081" t="s">
        <v>83</v>
      </c>
      <c r="B105" s="1077" t="s">
        <v>333</v>
      </c>
      <c r="C105" s="1470" t="s">
        <v>271</v>
      </c>
      <c r="D105" s="1078">
        <f t="shared" si="6"/>
        <v>364751.67000000004</v>
      </c>
      <c r="E105" s="1079">
        <f t="shared" si="7"/>
        <v>176723.83</v>
      </c>
      <c r="F105" s="1080">
        <f t="shared" si="8"/>
        <v>192846.97</v>
      </c>
      <c r="G105" s="1078">
        <f t="shared" si="9"/>
        <v>187402.28</v>
      </c>
      <c r="H105" s="1100">
        <f t="shared" si="9"/>
        <v>5444.6900000000005</v>
      </c>
      <c r="I105" s="1104">
        <v>270453.40000000002</v>
      </c>
      <c r="J105" s="1104">
        <v>0</v>
      </c>
      <c r="K105" s="1104">
        <v>176723.83</v>
      </c>
      <c r="L105" s="1104">
        <v>82024.84</v>
      </c>
      <c r="M105" s="1104">
        <v>5306.31</v>
      </c>
      <c r="N105" s="1104">
        <v>534508.38</v>
      </c>
      <c r="O105" s="1104">
        <v>94298.27</v>
      </c>
      <c r="P105" s="1104">
        <v>0</v>
      </c>
      <c r="Q105" s="1104">
        <v>0</v>
      </c>
      <c r="R105" s="1104">
        <v>105377.44</v>
      </c>
      <c r="S105" s="1104">
        <v>138.38</v>
      </c>
      <c r="T105" s="1104">
        <v>199814.09</v>
      </c>
    </row>
    <row r="106" spans="1:20" ht="15" customHeight="1">
      <c r="A106" s="1081" t="s">
        <v>89</v>
      </c>
      <c r="B106" s="1077" t="s">
        <v>90</v>
      </c>
      <c r="C106" s="1470" t="s">
        <v>274</v>
      </c>
      <c r="D106" s="1078">
        <f t="shared" si="6"/>
        <v>593196.89</v>
      </c>
      <c r="E106" s="1079">
        <f t="shared" si="7"/>
        <v>243058.3</v>
      </c>
      <c r="F106" s="1080">
        <f t="shared" si="8"/>
        <v>372660.7</v>
      </c>
      <c r="G106" s="1078">
        <f t="shared" si="9"/>
        <v>360008.15</v>
      </c>
      <c r="H106" s="1100">
        <f t="shared" si="9"/>
        <v>12652.55</v>
      </c>
      <c r="I106" s="1104">
        <v>372440.24</v>
      </c>
      <c r="J106" s="1104">
        <v>0</v>
      </c>
      <c r="K106" s="1104">
        <v>243058.3</v>
      </c>
      <c r="L106" s="1104">
        <v>112901.01</v>
      </c>
      <c r="M106" s="1104">
        <v>5097.54</v>
      </c>
      <c r="N106" s="1104">
        <v>733497.09</v>
      </c>
      <c r="O106" s="1104">
        <v>220756.65</v>
      </c>
      <c r="P106" s="1104">
        <v>0</v>
      </c>
      <c r="Q106" s="1104">
        <v>0</v>
      </c>
      <c r="R106" s="1104">
        <v>247107.14</v>
      </c>
      <c r="S106" s="1104">
        <v>7555.01</v>
      </c>
      <c r="T106" s="1104">
        <v>475418.8</v>
      </c>
    </row>
    <row r="107" spans="1:20" ht="15" customHeight="1">
      <c r="A107" s="1081" t="s">
        <v>91</v>
      </c>
      <c r="B107" s="1077" t="s">
        <v>92</v>
      </c>
      <c r="C107" s="1470" t="s">
        <v>275</v>
      </c>
      <c r="D107" s="1078">
        <f t="shared" si="6"/>
        <v>235658.88999999998</v>
      </c>
      <c r="E107" s="1079">
        <f t="shared" si="7"/>
        <v>129526.24</v>
      </c>
      <c r="F107" s="1080">
        <f t="shared" si="8"/>
        <v>113189.68</v>
      </c>
      <c r="G107" s="1078">
        <f t="shared" si="9"/>
        <v>101599.72</v>
      </c>
      <c r="H107" s="1100">
        <f t="shared" si="9"/>
        <v>11589.96</v>
      </c>
      <c r="I107" s="1104">
        <v>198678.61</v>
      </c>
      <c r="J107" s="1104">
        <v>0</v>
      </c>
      <c r="K107" s="1104">
        <v>129526.24</v>
      </c>
      <c r="L107" s="1104">
        <v>60201.81</v>
      </c>
      <c r="M107" s="1104">
        <v>11592.65</v>
      </c>
      <c r="N107" s="1104">
        <v>399999.31</v>
      </c>
      <c r="O107" s="1104">
        <v>36980.28</v>
      </c>
      <c r="P107" s="1104">
        <v>0</v>
      </c>
      <c r="Q107" s="1104">
        <v>0</v>
      </c>
      <c r="R107" s="1104">
        <v>41397.910000000003</v>
      </c>
      <c r="S107" s="1104">
        <v>-2.69</v>
      </c>
      <c r="T107" s="1104">
        <v>78375.5</v>
      </c>
    </row>
    <row r="108" spans="1:20" ht="15" customHeight="1">
      <c r="A108" s="1081" t="s">
        <v>107</v>
      </c>
      <c r="B108" s="1077" t="s">
        <v>108</v>
      </c>
      <c r="C108" s="1470" t="s">
        <v>271</v>
      </c>
      <c r="D108" s="1078">
        <f t="shared" si="6"/>
        <v>2864598.17</v>
      </c>
      <c r="E108" s="1079">
        <f t="shared" si="7"/>
        <v>1531578.72</v>
      </c>
      <c r="F108" s="1080">
        <f t="shared" si="8"/>
        <v>1344267.5999999999</v>
      </c>
      <c r="G108" s="1078">
        <f t="shared" si="9"/>
        <v>1293392.3599999999</v>
      </c>
      <c r="H108" s="1100">
        <f t="shared" si="9"/>
        <v>50875.240000000005</v>
      </c>
      <c r="I108" s="1104">
        <v>2345923.0499999998</v>
      </c>
      <c r="J108" s="1104">
        <v>0</v>
      </c>
      <c r="K108" s="1104">
        <v>1531578.72</v>
      </c>
      <c r="L108" s="1104">
        <v>711255.6</v>
      </c>
      <c r="M108" s="1104">
        <v>50876.23</v>
      </c>
      <c r="N108" s="1104">
        <v>4639633.5999999996</v>
      </c>
      <c r="O108" s="1104">
        <v>518675.12</v>
      </c>
      <c r="P108" s="1104">
        <v>0</v>
      </c>
      <c r="Q108" s="1104">
        <v>0</v>
      </c>
      <c r="R108" s="1104">
        <v>582136.76</v>
      </c>
      <c r="S108" s="1104">
        <v>-0.99</v>
      </c>
      <c r="T108" s="1104">
        <v>1100810.8899999999</v>
      </c>
    </row>
    <row r="109" spans="1:20" ht="15" customHeight="1">
      <c r="A109" s="1081" t="s">
        <v>117</v>
      </c>
      <c r="B109" s="1077" t="s">
        <v>118</v>
      </c>
      <c r="C109" s="1470" t="s">
        <v>273</v>
      </c>
      <c r="D109" s="1078">
        <f t="shared" si="6"/>
        <v>784197.63</v>
      </c>
      <c r="E109" s="1079">
        <f t="shared" si="7"/>
        <v>431474.03</v>
      </c>
      <c r="F109" s="1080">
        <f t="shared" si="8"/>
        <v>335930.29000000004</v>
      </c>
      <c r="G109" s="1078">
        <f t="shared" si="9"/>
        <v>335940.16000000003</v>
      </c>
      <c r="H109" s="1100">
        <f t="shared" si="9"/>
        <v>-9.870000000000001</v>
      </c>
      <c r="I109" s="1104">
        <v>662808.88</v>
      </c>
      <c r="J109" s="1104">
        <v>0</v>
      </c>
      <c r="K109" s="1104">
        <v>431474.03</v>
      </c>
      <c r="L109" s="1104">
        <v>200723.99</v>
      </c>
      <c r="M109" s="1104">
        <v>-7.9</v>
      </c>
      <c r="N109" s="1104">
        <v>1294999</v>
      </c>
      <c r="O109" s="1104">
        <v>121388.75</v>
      </c>
      <c r="P109" s="1104">
        <v>0</v>
      </c>
      <c r="Q109" s="1104">
        <v>0</v>
      </c>
      <c r="R109" s="1104">
        <v>135216.17000000001</v>
      </c>
      <c r="S109" s="1104">
        <v>-1.97</v>
      </c>
      <c r="T109" s="1104">
        <v>256602.95</v>
      </c>
    </row>
    <row r="110" spans="1:20" ht="15" customHeight="1">
      <c r="A110" s="1081" t="s">
        <v>139</v>
      </c>
      <c r="B110" s="1077" t="s">
        <v>140</v>
      </c>
      <c r="C110" s="1470" t="s">
        <v>272</v>
      </c>
      <c r="D110" s="1078">
        <f t="shared" si="6"/>
        <v>1574714.5</v>
      </c>
      <c r="E110" s="1079">
        <f t="shared" si="7"/>
        <v>790256.85</v>
      </c>
      <c r="F110" s="1080">
        <f t="shared" si="8"/>
        <v>777308.97</v>
      </c>
      <c r="G110" s="1078">
        <f t="shared" si="9"/>
        <v>774097.92999999993</v>
      </c>
      <c r="H110" s="1100">
        <f t="shared" si="9"/>
        <v>3211.04</v>
      </c>
      <c r="I110" s="1104">
        <v>1209686.29</v>
      </c>
      <c r="J110" s="1104">
        <v>0</v>
      </c>
      <c r="K110" s="1104">
        <v>790256.85</v>
      </c>
      <c r="L110" s="1104">
        <v>366851.71</v>
      </c>
      <c r="M110" s="1104">
        <v>3217.22</v>
      </c>
      <c r="N110" s="1104">
        <v>2370012.0699999998</v>
      </c>
      <c r="O110" s="1104">
        <v>365028.21</v>
      </c>
      <c r="P110" s="1104">
        <v>0</v>
      </c>
      <c r="Q110" s="1104">
        <v>0</v>
      </c>
      <c r="R110" s="1104">
        <v>407246.22</v>
      </c>
      <c r="S110" s="1104">
        <v>-6.18</v>
      </c>
      <c r="T110" s="1104">
        <v>772268.25</v>
      </c>
    </row>
    <row r="111" spans="1:20" ht="15" customHeight="1">
      <c r="A111" s="1081" t="s">
        <v>143</v>
      </c>
      <c r="B111" s="1077" t="s">
        <v>144</v>
      </c>
      <c r="C111" s="1470" t="s">
        <v>274</v>
      </c>
      <c r="D111" s="1078">
        <f t="shared" si="6"/>
        <v>521625.04000000004</v>
      </c>
      <c r="E111" s="1079">
        <f t="shared" si="7"/>
        <v>184838.43</v>
      </c>
      <c r="F111" s="1080">
        <f t="shared" si="8"/>
        <v>355155.23000000004</v>
      </c>
      <c r="G111" s="1078">
        <f t="shared" si="9"/>
        <v>355165.84</v>
      </c>
      <c r="H111" s="1100">
        <f t="shared" si="9"/>
        <v>-10.61</v>
      </c>
      <c r="I111" s="1104">
        <v>282601.44</v>
      </c>
      <c r="J111" s="1104">
        <v>0</v>
      </c>
      <c r="K111" s="1104">
        <v>184838.43</v>
      </c>
      <c r="L111" s="1104">
        <v>85742.19</v>
      </c>
      <c r="M111" s="1104">
        <v>-4.66</v>
      </c>
      <c r="N111" s="1104">
        <v>553177.4</v>
      </c>
      <c r="O111" s="1104">
        <v>239023.6</v>
      </c>
      <c r="P111" s="1104">
        <v>0</v>
      </c>
      <c r="Q111" s="1104">
        <v>0</v>
      </c>
      <c r="R111" s="1104">
        <v>269423.65000000002</v>
      </c>
      <c r="S111" s="1104">
        <v>-5.95</v>
      </c>
      <c r="T111" s="1104">
        <v>508441.3</v>
      </c>
    </row>
    <row r="112" spans="1:20" ht="15" customHeight="1">
      <c r="A112" s="1081" t="s">
        <v>145</v>
      </c>
      <c r="B112" s="1077" t="s">
        <v>146</v>
      </c>
      <c r="C112" s="1470" t="s">
        <v>274</v>
      </c>
      <c r="D112" s="1078">
        <f t="shared" si="6"/>
        <v>156160.81</v>
      </c>
      <c r="E112" s="1079">
        <f t="shared" si="7"/>
        <v>91723.95</v>
      </c>
      <c r="F112" s="1080">
        <f t="shared" si="8"/>
        <v>59930.01999999999</v>
      </c>
      <c r="G112" s="1078">
        <f t="shared" si="9"/>
        <v>59934.709999999992</v>
      </c>
      <c r="H112" s="1100">
        <f t="shared" si="9"/>
        <v>-4.6899999999999995</v>
      </c>
      <c r="I112" s="1104">
        <v>140593.29999999999</v>
      </c>
      <c r="J112" s="1104">
        <v>0</v>
      </c>
      <c r="K112" s="1104">
        <v>91723.95</v>
      </c>
      <c r="L112" s="1104">
        <v>42613.02</v>
      </c>
      <c r="M112" s="1104">
        <v>-4.2699999999999996</v>
      </c>
      <c r="N112" s="1104">
        <v>274926</v>
      </c>
      <c r="O112" s="1104">
        <v>15567.51</v>
      </c>
      <c r="P112" s="1104">
        <v>0</v>
      </c>
      <c r="Q112" s="1104">
        <v>0</v>
      </c>
      <c r="R112" s="1104">
        <v>17321.689999999999</v>
      </c>
      <c r="S112" s="1104">
        <v>-0.42</v>
      </c>
      <c r="T112" s="1104">
        <v>32888.78</v>
      </c>
    </row>
    <row r="113" spans="1:20" ht="15" customHeight="1">
      <c r="A113" s="1081" t="s">
        <v>159</v>
      </c>
      <c r="B113" s="1077" t="s">
        <v>160</v>
      </c>
      <c r="C113" s="1470" t="s">
        <v>271</v>
      </c>
      <c r="D113" s="1078">
        <f t="shared" si="6"/>
        <v>4287734.54</v>
      </c>
      <c r="E113" s="1079">
        <f t="shared" si="7"/>
        <v>2238825.69</v>
      </c>
      <c r="F113" s="1080">
        <f t="shared" si="8"/>
        <v>1978051.95</v>
      </c>
      <c r="G113" s="1078">
        <f t="shared" si="9"/>
        <v>1978065.15</v>
      </c>
      <c r="H113" s="1100">
        <f t="shared" si="9"/>
        <v>-13.2</v>
      </c>
      <c r="I113" s="1104">
        <v>3440488.68</v>
      </c>
      <c r="J113" s="1104">
        <v>0</v>
      </c>
      <c r="K113" s="1104">
        <v>2238825.69</v>
      </c>
      <c r="L113" s="1104">
        <v>1041766.05</v>
      </c>
      <c r="M113" s="1104">
        <v>-8.42</v>
      </c>
      <c r="N113" s="1104">
        <v>6721072</v>
      </c>
      <c r="O113" s="1104">
        <v>847245.86</v>
      </c>
      <c r="P113" s="1104">
        <v>0</v>
      </c>
      <c r="Q113" s="1104">
        <v>0</v>
      </c>
      <c r="R113" s="1104">
        <v>936299.1</v>
      </c>
      <c r="S113" s="1104">
        <v>-4.78</v>
      </c>
      <c r="T113" s="1104">
        <v>1783540.18</v>
      </c>
    </row>
    <row r="114" spans="1:20" ht="15" customHeight="1">
      <c r="A114" s="1081" t="s">
        <v>161</v>
      </c>
      <c r="B114" s="1077" t="s">
        <v>162</v>
      </c>
      <c r="C114" s="1470" t="s">
        <v>271</v>
      </c>
      <c r="D114" s="1078">
        <f t="shared" si="6"/>
        <v>7421871.1099999994</v>
      </c>
      <c r="E114" s="1079">
        <f t="shared" si="7"/>
        <v>3933429.96</v>
      </c>
      <c r="F114" s="1080">
        <f t="shared" si="8"/>
        <v>3512413.42</v>
      </c>
      <c r="G114" s="1078">
        <f t="shared" si="9"/>
        <v>3378838.48</v>
      </c>
      <c r="H114" s="1100">
        <f t="shared" si="9"/>
        <v>133574.94</v>
      </c>
      <c r="I114" s="1104">
        <v>6028727.6699999999</v>
      </c>
      <c r="J114" s="1104">
        <v>0</v>
      </c>
      <c r="K114" s="1104">
        <v>3933429.96</v>
      </c>
      <c r="L114" s="1104">
        <v>1827376.31</v>
      </c>
      <c r="M114" s="1104">
        <v>94390.66</v>
      </c>
      <c r="N114" s="1104">
        <v>11883924.6</v>
      </c>
      <c r="O114" s="1104">
        <v>1393143.44</v>
      </c>
      <c r="P114" s="1104">
        <v>0</v>
      </c>
      <c r="Q114" s="1104">
        <v>0</v>
      </c>
      <c r="R114" s="1104">
        <v>1551462.17</v>
      </c>
      <c r="S114" s="1104">
        <v>39184.28</v>
      </c>
      <c r="T114" s="1104">
        <v>2983789.89</v>
      </c>
    </row>
    <row r="115" spans="1:20" ht="15" customHeight="1">
      <c r="A115" s="1081" t="s">
        <v>167</v>
      </c>
      <c r="B115" s="1077" t="s">
        <v>168</v>
      </c>
      <c r="C115" s="1470" t="s">
        <v>275</v>
      </c>
      <c r="D115" s="1078">
        <f t="shared" si="6"/>
        <v>187537.46</v>
      </c>
      <c r="E115" s="1079">
        <f t="shared" si="7"/>
        <v>104400.82</v>
      </c>
      <c r="F115" s="1080">
        <f t="shared" si="8"/>
        <v>110414.6</v>
      </c>
      <c r="G115" s="1078">
        <f t="shared" si="9"/>
        <v>78857.03</v>
      </c>
      <c r="H115" s="1100">
        <f t="shared" si="9"/>
        <v>31557.57</v>
      </c>
      <c r="I115" s="1104">
        <v>160455.51999999999</v>
      </c>
      <c r="J115" s="1104">
        <v>0</v>
      </c>
      <c r="K115" s="1104">
        <v>104400.82</v>
      </c>
      <c r="L115" s="1104">
        <v>48581.46</v>
      </c>
      <c r="M115" s="1104">
        <v>6861.07</v>
      </c>
      <c r="N115" s="1104">
        <v>320298.87</v>
      </c>
      <c r="O115" s="1104">
        <v>27081.94</v>
      </c>
      <c r="P115" s="1104">
        <v>0</v>
      </c>
      <c r="Q115" s="1104">
        <v>0</v>
      </c>
      <c r="R115" s="1104">
        <v>30275.57</v>
      </c>
      <c r="S115" s="1104">
        <v>24696.5</v>
      </c>
      <c r="T115" s="1104">
        <v>82054.009999999995</v>
      </c>
    </row>
    <row r="116" spans="1:20" ht="15" customHeight="1">
      <c r="A116" s="1081" t="s">
        <v>177</v>
      </c>
      <c r="B116" s="1077" t="s">
        <v>178</v>
      </c>
      <c r="C116" s="1470" t="s">
        <v>273</v>
      </c>
      <c r="D116" s="1078">
        <f t="shared" si="6"/>
        <v>1206411.21</v>
      </c>
      <c r="E116" s="1079">
        <f t="shared" si="7"/>
        <v>784890.92</v>
      </c>
      <c r="F116" s="1080">
        <f t="shared" si="8"/>
        <v>373692.27</v>
      </c>
      <c r="G116" s="1078">
        <f t="shared" si="9"/>
        <v>365266.38</v>
      </c>
      <c r="H116" s="1100">
        <f t="shared" si="9"/>
        <v>8425.89</v>
      </c>
      <c r="I116" s="1104">
        <v>1206411.21</v>
      </c>
      <c r="J116" s="1104">
        <v>0</v>
      </c>
      <c r="K116" s="1104">
        <v>784890.92</v>
      </c>
      <c r="L116" s="1104">
        <v>365266.38</v>
      </c>
      <c r="M116" s="1104">
        <v>8425.89</v>
      </c>
      <c r="N116" s="1104">
        <v>2364994.4</v>
      </c>
      <c r="O116" s="1105"/>
      <c r="P116" s="1105"/>
      <c r="Q116" s="1105"/>
      <c r="R116" s="1105"/>
      <c r="S116" s="1105"/>
      <c r="T116" s="1105"/>
    </row>
    <row r="117" spans="1:20" ht="15" customHeight="1">
      <c r="A117" s="1081" t="s">
        <v>181</v>
      </c>
      <c r="B117" s="1077" t="s">
        <v>182</v>
      </c>
      <c r="C117" s="1470" t="s">
        <v>271</v>
      </c>
      <c r="D117" s="1078">
        <f t="shared" si="6"/>
        <v>3337308.95</v>
      </c>
      <c r="E117" s="1079">
        <f t="shared" si="7"/>
        <v>1737820.9</v>
      </c>
      <c r="F117" s="1080">
        <f t="shared" si="8"/>
        <v>1587851.26</v>
      </c>
      <c r="G117" s="1078">
        <f t="shared" si="9"/>
        <v>1553316.01</v>
      </c>
      <c r="H117" s="1100">
        <f t="shared" si="9"/>
        <v>34535.25</v>
      </c>
      <c r="I117" s="1104">
        <v>2668430.5</v>
      </c>
      <c r="J117" s="1104">
        <v>0</v>
      </c>
      <c r="K117" s="1104">
        <v>1737820.9</v>
      </c>
      <c r="L117" s="1104">
        <v>808245.39</v>
      </c>
      <c r="M117" s="1104">
        <v>28521.78</v>
      </c>
      <c r="N117" s="1104">
        <v>5243018.57</v>
      </c>
      <c r="O117" s="1104">
        <v>668878.44999999995</v>
      </c>
      <c r="P117" s="1104">
        <v>0</v>
      </c>
      <c r="Q117" s="1104">
        <v>0</v>
      </c>
      <c r="R117" s="1104">
        <v>745070.62</v>
      </c>
      <c r="S117" s="1104">
        <v>6013.47</v>
      </c>
      <c r="T117" s="1104">
        <v>1419962.54</v>
      </c>
    </row>
    <row r="118" spans="1:20" ht="15" customHeight="1">
      <c r="A118" s="1081" t="s">
        <v>193</v>
      </c>
      <c r="B118" s="1077" t="s">
        <v>194</v>
      </c>
      <c r="C118" s="1470" t="s">
        <v>275</v>
      </c>
      <c r="D118" s="1078">
        <f t="shared" si="6"/>
        <v>211730.15999999997</v>
      </c>
      <c r="E118" s="1079">
        <f t="shared" si="7"/>
        <v>98268.77</v>
      </c>
      <c r="F118" s="1080">
        <f t="shared" si="8"/>
        <v>126434.20000000001</v>
      </c>
      <c r="G118" s="1078">
        <f t="shared" si="9"/>
        <v>115137.45000000001</v>
      </c>
      <c r="H118" s="1100">
        <f t="shared" si="9"/>
        <v>11296.75</v>
      </c>
      <c r="I118" s="1104">
        <v>150213.01999999999</v>
      </c>
      <c r="J118" s="1104">
        <v>0</v>
      </c>
      <c r="K118" s="1104">
        <v>98268.77</v>
      </c>
      <c r="L118" s="1104">
        <v>45576.62</v>
      </c>
      <c r="M118" s="1104">
        <v>11299.03</v>
      </c>
      <c r="N118" s="1104">
        <v>305357.44</v>
      </c>
      <c r="O118" s="1104">
        <v>61517.14</v>
      </c>
      <c r="P118" s="1104">
        <v>0</v>
      </c>
      <c r="Q118" s="1104">
        <v>0</v>
      </c>
      <c r="R118" s="1104">
        <v>69560.83</v>
      </c>
      <c r="S118" s="1104">
        <v>-2.2799999999999998</v>
      </c>
      <c r="T118" s="1104">
        <v>131075.69</v>
      </c>
    </row>
    <row r="119" spans="1:20" ht="15" customHeight="1">
      <c r="A119" s="1081" t="s">
        <v>197</v>
      </c>
      <c r="B119" s="1077" t="s">
        <v>334</v>
      </c>
      <c r="C119" s="1470" t="s">
        <v>273</v>
      </c>
      <c r="D119" s="1078">
        <f t="shared" si="6"/>
        <v>5760509.79</v>
      </c>
      <c r="E119" s="1079">
        <f t="shared" si="7"/>
        <v>3622053.17</v>
      </c>
      <c r="F119" s="1080">
        <f t="shared" si="8"/>
        <v>1937632.21</v>
      </c>
      <c r="G119" s="1078">
        <f t="shared" si="9"/>
        <v>1916906.79</v>
      </c>
      <c r="H119" s="1100">
        <f t="shared" si="9"/>
        <v>20725.420000000002</v>
      </c>
      <c r="I119" s="1104">
        <v>5551259.0700000003</v>
      </c>
      <c r="J119" s="1104">
        <v>0</v>
      </c>
      <c r="K119" s="1104">
        <v>3622053.17</v>
      </c>
      <c r="L119" s="1104">
        <v>1682675.62</v>
      </c>
      <c r="M119" s="1104">
        <v>-14.07</v>
      </c>
      <c r="N119" s="1104">
        <v>10855973.789999999</v>
      </c>
      <c r="O119" s="1104">
        <v>209250.72</v>
      </c>
      <c r="P119" s="1104">
        <v>0</v>
      </c>
      <c r="Q119" s="1104">
        <v>0</v>
      </c>
      <c r="R119" s="1104">
        <v>234231.17</v>
      </c>
      <c r="S119" s="1104">
        <v>20739.490000000002</v>
      </c>
      <c r="T119" s="1104">
        <v>464221.38</v>
      </c>
    </row>
    <row r="120" spans="1:20" ht="15" customHeight="1">
      <c r="A120" s="1081" t="s">
        <v>201</v>
      </c>
      <c r="B120" s="1077" t="s">
        <v>335</v>
      </c>
      <c r="C120" s="1470" t="s">
        <v>272</v>
      </c>
      <c r="D120" s="1078">
        <f t="shared" si="6"/>
        <v>2705658.7</v>
      </c>
      <c r="E120" s="1079">
        <f t="shared" si="7"/>
        <v>1297890.8899999999</v>
      </c>
      <c r="F120" s="1080">
        <f t="shared" si="8"/>
        <v>1411068.88</v>
      </c>
      <c r="G120" s="1078">
        <f t="shared" si="9"/>
        <v>1407339.67</v>
      </c>
      <c r="H120" s="1100">
        <f t="shared" si="9"/>
        <v>3729.21</v>
      </c>
      <c r="I120" s="1104">
        <v>1988381.75</v>
      </c>
      <c r="J120" s="1104">
        <v>0</v>
      </c>
      <c r="K120" s="1104">
        <v>1297890.8899999999</v>
      </c>
      <c r="L120" s="1104">
        <v>602806.46</v>
      </c>
      <c r="M120" s="1104">
        <v>3733.31</v>
      </c>
      <c r="N120" s="1104">
        <v>3892812.41</v>
      </c>
      <c r="O120" s="1104">
        <v>717276.95</v>
      </c>
      <c r="P120" s="1104">
        <v>0</v>
      </c>
      <c r="Q120" s="1104">
        <v>0</v>
      </c>
      <c r="R120" s="1104">
        <v>804533.21</v>
      </c>
      <c r="S120" s="1104">
        <v>-4.0999999999999996</v>
      </c>
      <c r="T120" s="1104">
        <v>1521806.06</v>
      </c>
    </row>
    <row r="121" spans="1:20" ht="15" customHeight="1">
      <c r="A121" s="1081" t="s">
        <v>223</v>
      </c>
      <c r="B121" s="1077" t="s">
        <v>224</v>
      </c>
      <c r="C121" s="1470" t="s">
        <v>271</v>
      </c>
      <c r="D121" s="1078">
        <f t="shared" si="6"/>
        <v>2127151.4300000002</v>
      </c>
      <c r="E121" s="1079">
        <f t="shared" si="7"/>
        <v>853164.03</v>
      </c>
      <c r="F121" s="1080">
        <f t="shared" si="8"/>
        <v>1360322.5099999998</v>
      </c>
      <c r="G121" s="1078">
        <f t="shared" si="9"/>
        <v>1322835.3199999998</v>
      </c>
      <c r="H121" s="1100">
        <f t="shared" si="9"/>
        <v>37487.19</v>
      </c>
      <c r="I121" s="1104">
        <v>1305600.51</v>
      </c>
      <c r="J121" s="1104">
        <v>0</v>
      </c>
      <c r="K121" s="1104">
        <v>853164.03</v>
      </c>
      <c r="L121" s="1104">
        <v>395984.72</v>
      </c>
      <c r="M121" s="1104">
        <v>1634.66</v>
      </c>
      <c r="N121" s="1104">
        <v>2556383.92</v>
      </c>
      <c r="O121" s="1104">
        <v>821550.92</v>
      </c>
      <c r="P121" s="1104">
        <v>0</v>
      </c>
      <c r="Q121" s="1104">
        <v>0</v>
      </c>
      <c r="R121" s="1104">
        <v>926850.6</v>
      </c>
      <c r="S121" s="1104">
        <v>35852.53</v>
      </c>
      <c r="T121" s="1104">
        <v>1784254.05</v>
      </c>
    </row>
    <row r="122" spans="1:20" ht="15" customHeight="1">
      <c r="A122" s="1081" t="s">
        <v>231</v>
      </c>
      <c r="B122" s="1077" t="s">
        <v>232</v>
      </c>
      <c r="C122" s="1470" t="s">
        <v>271</v>
      </c>
      <c r="D122" s="1078">
        <f t="shared" si="6"/>
        <v>5052092.83</v>
      </c>
      <c r="E122" s="1079">
        <f t="shared" si="7"/>
        <v>2292341.2599999998</v>
      </c>
      <c r="F122" s="1080">
        <f t="shared" si="8"/>
        <v>2783847.03</v>
      </c>
      <c r="G122" s="1078">
        <f t="shared" si="9"/>
        <v>2783858.94</v>
      </c>
      <c r="H122" s="1100">
        <f t="shared" si="9"/>
        <v>-11.91</v>
      </c>
      <c r="I122" s="1104">
        <v>3517690.66</v>
      </c>
      <c r="J122" s="1104">
        <v>0</v>
      </c>
      <c r="K122" s="1104">
        <v>2292341.2599999998</v>
      </c>
      <c r="L122" s="1104">
        <v>1065744.05</v>
      </c>
      <c r="M122" s="1104">
        <v>-3.97</v>
      </c>
      <c r="N122" s="1104">
        <v>6875772</v>
      </c>
      <c r="O122" s="1104">
        <v>1534402.17</v>
      </c>
      <c r="P122" s="1104">
        <v>0</v>
      </c>
      <c r="Q122" s="1104">
        <v>0</v>
      </c>
      <c r="R122" s="1104">
        <v>1718114.89</v>
      </c>
      <c r="S122" s="1104">
        <v>-7.94</v>
      </c>
      <c r="T122" s="1104">
        <v>3252509.12</v>
      </c>
    </row>
    <row r="123" spans="1:20" ht="15" customHeight="1">
      <c r="A123" s="1081" t="s">
        <v>239</v>
      </c>
      <c r="B123" s="1077" t="s">
        <v>240</v>
      </c>
      <c r="C123" s="1470" t="s">
        <v>271</v>
      </c>
      <c r="D123" s="1078">
        <f t="shared" si="6"/>
        <v>166192.49</v>
      </c>
      <c r="E123" s="1079">
        <f t="shared" si="7"/>
        <v>78697.64</v>
      </c>
      <c r="F123" s="1080">
        <f t="shared" si="8"/>
        <v>91810.739999999991</v>
      </c>
      <c r="G123" s="1078">
        <f t="shared" si="9"/>
        <v>87401.67</v>
      </c>
      <c r="H123" s="1100">
        <f t="shared" si="9"/>
        <v>4409.07</v>
      </c>
      <c r="I123" s="1104">
        <v>120600.45</v>
      </c>
      <c r="J123" s="1104">
        <v>0</v>
      </c>
      <c r="K123" s="1104">
        <v>78697.64</v>
      </c>
      <c r="L123" s="1104">
        <v>36556.71</v>
      </c>
      <c r="M123" s="1104">
        <v>-2.8</v>
      </c>
      <c r="N123" s="1104">
        <v>235852</v>
      </c>
      <c r="O123" s="1104">
        <v>45592.04</v>
      </c>
      <c r="P123" s="1104">
        <v>0</v>
      </c>
      <c r="Q123" s="1104">
        <v>0</v>
      </c>
      <c r="R123" s="1104">
        <v>50844.959999999999</v>
      </c>
      <c r="S123" s="1104">
        <v>4411.87</v>
      </c>
      <c r="T123" s="1104">
        <v>100848.87</v>
      </c>
    </row>
    <row r="124" spans="1:20" ht="15" customHeight="1">
      <c r="A124" s="1081" t="s">
        <v>241</v>
      </c>
      <c r="B124" s="1077" t="s">
        <v>242</v>
      </c>
      <c r="C124" s="1470" t="s">
        <v>274</v>
      </c>
      <c r="D124" s="1078">
        <f t="shared" si="6"/>
        <v>625722.85</v>
      </c>
      <c r="E124" s="1079">
        <f t="shared" si="7"/>
        <v>246076.88</v>
      </c>
      <c r="F124" s="1080">
        <f t="shared" si="8"/>
        <v>398003.44999999995</v>
      </c>
      <c r="G124" s="1078">
        <f t="shared" si="9"/>
        <v>395233.27999999997</v>
      </c>
      <c r="H124" s="1100">
        <f t="shared" si="9"/>
        <v>2770.17</v>
      </c>
      <c r="I124" s="1104">
        <v>376218.32</v>
      </c>
      <c r="J124" s="1104">
        <v>0</v>
      </c>
      <c r="K124" s="1104">
        <v>246076.88</v>
      </c>
      <c r="L124" s="1104">
        <v>114146.23</v>
      </c>
      <c r="M124" s="1104">
        <v>1235.43</v>
      </c>
      <c r="N124" s="1104">
        <v>737676.86</v>
      </c>
      <c r="O124" s="1104">
        <v>249504.53</v>
      </c>
      <c r="P124" s="1104">
        <v>0</v>
      </c>
      <c r="Q124" s="1104">
        <v>0</v>
      </c>
      <c r="R124" s="1104">
        <v>281087.05</v>
      </c>
      <c r="S124" s="1104">
        <v>1534.74</v>
      </c>
      <c r="T124" s="1104">
        <v>532126.31999999995</v>
      </c>
    </row>
    <row r="125" spans="1:20">
      <c r="I125" s="1106"/>
      <c r="J125" s="1106">
        <v>0</v>
      </c>
      <c r="K125" s="1106">
        <v>52992152.370000012</v>
      </c>
      <c r="L125" s="1106">
        <v>24608771.799999997</v>
      </c>
      <c r="M125" s="1106">
        <v>2454340.100000001</v>
      </c>
      <c r="N125" s="1106">
        <v>161221809.90999997</v>
      </c>
      <c r="O125" s="1106">
        <v>37508998.69000002</v>
      </c>
      <c r="P125" s="1106">
        <v>0</v>
      </c>
      <c r="Q125" s="1106">
        <v>0</v>
      </c>
      <c r="R125" s="1106">
        <v>42063014.389999993</v>
      </c>
      <c r="S125" s="1106">
        <v>834293.11999999988</v>
      </c>
      <c r="T125" s="1106">
        <v>80406306.200000003</v>
      </c>
    </row>
    <row r="126" spans="1:20" s="511" customFormat="1">
      <c r="A126" s="511" t="s">
        <v>1134</v>
      </c>
      <c r="B126" s="1082"/>
      <c r="C126" s="1082"/>
      <c r="D126" s="1016"/>
    </row>
    <row r="127" spans="1:20" s="511" customFormat="1"/>
    <row r="128" spans="1:20" s="542" customFormat="1">
      <c r="A128" s="542" t="s">
        <v>249</v>
      </c>
    </row>
    <row r="129" spans="1:3">
      <c r="A129" s="543" t="s">
        <v>250</v>
      </c>
      <c r="B129" s="544" t="s">
        <v>251</v>
      </c>
      <c r="C129" s="544"/>
    </row>
  </sheetData>
  <autoFilter ref="A3:C3"/>
  <hyperlinks>
    <hyperlink ref="B129" r:id="rId1"/>
  </hyperlinks>
  <pageMargins left="0.7" right="0.7" top="0.75" bottom="0.75" header="0.3" footer="0.3"/>
  <pageSetup orientation="portrait" r:id="rId2"/>
</worksheet>
</file>

<file path=xl/worksheets/sheet28.xml><?xml version="1.0" encoding="utf-8"?>
<worksheet xmlns="http://schemas.openxmlformats.org/spreadsheetml/2006/main" xmlns:r="http://schemas.openxmlformats.org/officeDocument/2006/relationships">
  <dimension ref="A1:T129"/>
  <sheetViews>
    <sheetView workbookViewId="0">
      <pane ySplit="4" topLeftCell="A101" activePane="bottomLeft" state="frozen"/>
      <selection pane="bottomLeft" activeCell="C5" sqref="C5:C124"/>
    </sheetView>
  </sheetViews>
  <sheetFormatPr defaultRowHeight="15.75"/>
  <cols>
    <col min="1" max="1" width="9" style="280"/>
    <col min="2" max="2" width="26.125" style="280" customWidth="1"/>
    <col min="3" max="3" width="19.25" style="280" customWidth="1"/>
    <col min="4" max="4" width="12.375" style="280" bestFit="1" customWidth="1"/>
    <col min="5" max="5" width="11.375" style="280" bestFit="1" customWidth="1"/>
    <col min="6" max="6" width="12.375" style="280" bestFit="1" customWidth="1"/>
    <col min="7" max="8" width="12.5" style="280" bestFit="1" customWidth="1"/>
    <col min="9" max="9" width="14.5" style="280" bestFit="1" customWidth="1"/>
    <col min="10" max="10" width="10.125" style="280" bestFit="1" customWidth="1"/>
    <col min="11" max="12" width="13.5" style="280" bestFit="1" customWidth="1"/>
    <col min="13" max="13" width="12.375" style="280" bestFit="1" customWidth="1"/>
    <col min="14" max="14" width="15.125" style="280" bestFit="1" customWidth="1"/>
    <col min="15" max="15" width="13.5" style="280" bestFit="1" customWidth="1"/>
    <col min="16" max="16" width="10.125" style="280" bestFit="1" customWidth="1"/>
    <col min="17" max="17" width="8.75" style="280" bestFit="1" customWidth="1"/>
    <col min="18" max="18" width="13.5" style="280" bestFit="1" customWidth="1"/>
    <col min="19" max="19" width="12.375" style="280" bestFit="1" customWidth="1"/>
    <col min="20" max="20" width="16.625" style="280" customWidth="1"/>
    <col min="21" max="16384" width="9" style="280"/>
  </cols>
  <sheetData>
    <row r="1" spans="1:20">
      <c r="A1" s="64" t="s">
        <v>1031</v>
      </c>
      <c r="F1" s="1067"/>
      <c r="G1" s="1067"/>
      <c r="H1" s="1067"/>
    </row>
    <row r="2" spans="1:20">
      <c r="A2" s="64"/>
      <c r="F2" s="1067"/>
      <c r="G2" s="1067"/>
      <c r="H2" s="1067"/>
    </row>
    <row r="3" spans="1:20" ht="31.5">
      <c r="A3" s="1107" t="s">
        <v>4</v>
      </c>
      <c r="B3" s="1108" t="s">
        <v>5</v>
      </c>
      <c r="C3" s="1471" t="s">
        <v>252</v>
      </c>
      <c r="D3" s="1109" t="s">
        <v>336</v>
      </c>
      <c r="E3" s="1110" t="s">
        <v>337</v>
      </c>
      <c r="F3" s="1111" t="s">
        <v>499</v>
      </c>
      <c r="G3" s="1112" t="s">
        <v>338</v>
      </c>
      <c r="H3" s="1113" t="s">
        <v>538</v>
      </c>
      <c r="I3" s="1114" t="s">
        <v>349</v>
      </c>
      <c r="J3" s="1114" t="s">
        <v>350</v>
      </c>
      <c r="K3" s="1114" t="s">
        <v>351</v>
      </c>
      <c r="L3" s="1114" t="s">
        <v>352</v>
      </c>
      <c r="M3" s="1114" t="s">
        <v>353</v>
      </c>
      <c r="N3" s="1114" t="s">
        <v>354</v>
      </c>
      <c r="O3" s="1114" t="s">
        <v>355</v>
      </c>
      <c r="P3" s="1114" t="s">
        <v>356</v>
      </c>
      <c r="Q3" s="1114" t="s">
        <v>357</v>
      </c>
      <c r="R3" s="1114" t="s">
        <v>358</v>
      </c>
      <c r="S3" s="1114" t="s">
        <v>359</v>
      </c>
      <c r="T3" s="1114" t="s">
        <v>360</v>
      </c>
    </row>
    <row r="4" spans="1:20">
      <c r="A4" s="1086" t="s">
        <v>8</v>
      </c>
      <c r="B4" s="1087" t="s">
        <v>9</v>
      </c>
      <c r="C4" s="1472"/>
      <c r="D4" s="1088">
        <f t="shared" ref="D4:T4" si="0">SUM(D5:D124)</f>
        <v>124653831.25999999</v>
      </c>
      <c r="E4" s="1089">
        <f t="shared" si="0"/>
        <v>46078724.590000004</v>
      </c>
      <c r="F4" s="1090">
        <f t="shared" si="0"/>
        <v>129882554.98999994</v>
      </c>
      <c r="G4" s="1091">
        <f t="shared" si="0"/>
        <v>120550755.41</v>
      </c>
      <c r="H4" s="1090">
        <f t="shared" si="0"/>
        <v>9331799.5800000001</v>
      </c>
      <c r="I4" s="1115">
        <f t="shared" si="0"/>
        <v>113965512.94000003</v>
      </c>
      <c r="J4" s="1115">
        <f t="shared" si="0"/>
        <v>0</v>
      </c>
      <c r="K4" s="1115">
        <f t="shared" si="0"/>
        <v>46078724.590000004</v>
      </c>
      <c r="L4" s="1115">
        <f t="shared" si="0"/>
        <v>29356902.339999996</v>
      </c>
      <c r="M4" s="1115">
        <f t="shared" si="0"/>
        <v>7432277.4299999978</v>
      </c>
      <c r="N4" s="1115">
        <f t="shared" si="0"/>
        <v>196833417.30000004</v>
      </c>
      <c r="O4" s="1115">
        <f t="shared" si="0"/>
        <v>10688318.32</v>
      </c>
      <c r="P4" s="1115">
        <f t="shared" si="0"/>
        <v>0</v>
      </c>
      <c r="Q4" s="1115">
        <f t="shared" si="0"/>
        <v>0</v>
      </c>
      <c r="R4" s="1115">
        <f t="shared" si="0"/>
        <v>91193853.070000023</v>
      </c>
      <c r="S4" s="1115">
        <f t="shared" si="0"/>
        <v>1899522.15</v>
      </c>
      <c r="T4" s="1115">
        <f t="shared" si="0"/>
        <v>103781693.53999998</v>
      </c>
    </row>
    <row r="5" spans="1:20" ht="15" customHeight="1">
      <c r="A5" s="1092" t="s">
        <v>10</v>
      </c>
      <c r="B5" s="1093" t="s">
        <v>11</v>
      </c>
      <c r="C5" s="1473" t="s">
        <v>271</v>
      </c>
      <c r="D5" s="1094">
        <f>+I5+J5+O5+P5</f>
        <v>767741.73</v>
      </c>
      <c r="E5" s="1095">
        <f>+K5+Q5</f>
        <v>310353.34999999998</v>
      </c>
      <c r="F5" s="1096">
        <f>+G5+H5</f>
        <v>260946.61</v>
      </c>
      <c r="G5" s="1097">
        <f>+L5+R5</f>
        <v>197752.8</v>
      </c>
      <c r="H5" s="1096">
        <f>+M5+S5</f>
        <v>63193.81</v>
      </c>
      <c r="I5" s="1116">
        <v>767741.73</v>
      </c>
      <c r="J5" s="1116">
        <v>0</v>
      </c>
      <c r="K5" s="1116">
        <v>310353.34999999998</v>
      </c>
      <c r="L5" s="1116">
        <v>197752.8</v>
      </c>
      <c r="M5" s="1116">
        <v>63193.81</v>
      </c>
      <c r="N5" s="1116">
        <v>1339041.69</v>
      </c>
      <c r="O5" s="1117"/>
      <c r="P5" s="1117"/>
      <c r="Q5" s="1117"/>
      <c r="R5" s="1117"/>
      <c r="S5" s="1117"/>
      <c r="T5" s="1117"/>
    </row>
    <row r="6" spans="1:20" ht="15" customHeight="1">
      <c r="A6" s="1092" t="s">
        <v>12</v>
      </c>
      <c r="B6" s="1093" t="s">
        <v>13</v>
      </c>
      <c r="C6" s="1473" t="s">
        <v>272</v>
      </c>
      <c r="D6" s="1094">
        <f t="shared" ref="D6:D69" si="1">+I6+J6+O6+P6</f>
        <v>1323898.8999999999</v>
      </c>
      <c r="E6" s="1095">
        <f t="shared" ref="E6:E69" si="2">+K6+Q6</f>
        <v>397630.99</v>
      </c>
      <c r="F6" s="1096">
        <f t="shared" ref="F6:F69" si="3">+G6+H6</f>
        <v>3934214.26</v>
      </c>
      <c r="G6" s="1097">
        <f t="shared" ref="G6:H69" si="4">+L6+R6</f>
        <v>3188855.44</v>
      </c>
      <c r="H6" s="1096">
        <f t="shared" si="4"/>
        <v>745358.82000000007</v>
      </c>
      <c r="I6" s="1116">
        <v>980094.3</v>
      </c>
      <c r="J6" s="1116">
        <v>0</v>
      </c>
      <c r="K6" s="1116">
        <v>397630.99</v>
      </c>
      <c r="L6" s="1116">
        <v>252717.21</v>
      </c>
      <c r="M6" s="1116">
        <v>9308.65</v>
      </c>
      <c r="N6" s="1116">
        <v>1639751.15</v>
      </c>
      <c r="O6" s="1116">
        <v>343804.6</v>
      </c>
      <c r="P6" s="1116">
        <v>0</v>
      </c>
      <c r="Q6" s="1116">
        <v>0</v>
      </c>
      <c r="R6" s="1116">
        <v>2936138.23</v>
      </c>
      <c r="S6" s="1116">
        <v>736050.17</v>
      </c>
      <c r="T6" s="1116">
        <v>4015993</v>
      </c>
    </row>
    <row r="7" spans="1:20" ht="15" customHeight="1">
      <c r="A7" s="1092" t="s">
        <v>16</v>
      </c>
      <c r="B7" s="1093" t="s">
        <v>307</v>
      </c>
      <c r="C7" s="1473" t="s">
        <v>272</v>
      </c>
      <c r="D7" s="1094">
        <f t="shared" si="1"/>
        <v>433335.12</v>
      </c>
      <c r="E7" s="1095">
        <f t="shared" si="2"/>
        <v>173562.18</v>
      </c>
      <c r="F7" s="1096">
        <f t="shared" si="3"/>
        <v>149248.32000000001</v>
      </c>
      <c r="G7" s="1097">
        <f t="shared" si="4"/>
        <v>143822.07</v>
      </c>
      <c r="H7" s="1096">
        <f t="shared" si="4"/>
        <v>5426.25</v>
      </c>
      <c r="I7" s="1116">
        <v>429425.69</v>
      </c>
      <c r="J7" s="1116">
        <v>0</v>
      </c>
      <c r="K7" s="1116">
        <v>173562.18</v>
      </c>
      <c r="L7" s="1116">
        <v>110605.29</v>
      </c>
      <c r="M7" s="1116">
        <v>5426.58</v>
      </c>
      <c r="N7" s="1116">
        <v>719019.74</v>
      </c>
      <c r="O7" s="1116">
        <v>3909.43</v>
      </c>
      <c r="P7" s="1116">
        <v>0</v>
      </c>
      <c r="Q7" s="1116">
        <v>0</v>
      </c>
      <c r="R7" s="1116">
        <v>33216.78</v>
      </c>
      <c r="S7" s="1116">
        <v>-0.33</v>
      </c>
      <c r="T7" s="1116">
        <v>37125.879999999997</v>
      </c>
    </row>
    <row r="8" spans="1:20" ht="15" customHeight="1">
      <c r="A8" s="1092" t="s">
        <v>18</v>
      </c>
      <c r="B8" s="1093" t="s">
        <v>19</v>
      </c>
      <c r="C8" s="1473" t="s">
        <v>273</v>
      </c>
      <c r="D8" s="1094">
        <f t="shared" si="1"/>
        <v>225362.81999999998</v>
      </c>
      <c r="E8" s="1095">
        <f t="shared" si="2"/>
        <v>90507.15</v>
      </c>
      <c r="F8" s="1096">
        <f t="shared" si="3"/>
        <v>69474.94</v>
      </c>
      <c r="G8" s="1097">
        <f t="shared" si="4"/>
        <v>69420.350000000006</v>
      </c>
      <c r="H8" s="1096">
        <f t="shared" si="4"/>
        <v>54.589999999999996</v>
      </c>
      <c r="I8" s="1116">
        <v>223980.46</v>
      </c>
      <c r="J8" s="1116">
        <v>0</v>
      </c>
      <c r="K8" s="1116">
        <v>90507.15</v>
      </c>
      <c r="L8" s="1116">
        <v>57684.97</v>
      </c>
      <c r="M8" s="1116">
        <v>1.9</v>
      </c>
      <c r="N8" s="1116">
        <v>372174.48</v>
      </c>
      <c r="O8" s="1116">
        <v>1382.36</v>
      </c>
      <c r="P8" s="1116">
        <v>0</v>
      </c>
      <c r="Q8" s="1116">
        <v>0</v>
      </c>
      <c r="R8" s="1116">
        <v>11735.38</v>
      </c>
      <c r="S8" s="1116">
        <v>52.69</v>
      </c>
      <c r="T8" s="1116">
        <v>13170.43</v>
      </c>
    </row>
    <row r="9" spans="1:20" ht="15" customHeight="1">
      <c r="A9" s="1092" t="s">
        <v>20</v>
      </c>
      <c r="B9" s="1093" t="s">
        <v>21</v>
      </c>
      <c r="C9" s="1473" t="s">
        <v>272</v>
      </c>
      <c r="D9" s="1094">
        <f t="shared" si="1"/>
        <v>401349.25</v>
      </c>
      <c r="E9" s="1095">
        <f t="shared" si="2"/>
        <v>162284.76</v>
      </c>
      <c r="F9" s="1096">
        <f t="shared" si="3"/>
        <v>167556.56</v>
      </c>
      <c r="G9" s="1097">
        <f t="shared" si="4"/>
        <v>103384.29</v>
      </c>
      <c r="H9" s="1096">
        <f t="shared" si="4"/>
        <v>64172.27</v>
      </c>
      <c r="I9" s="1116">
        <v>401349.25</v>
      </c>
      <c r="J9" s="1116">
        <v>0</v>
      </c>
      <c r="K9" s="1116">
        <v>162284.76</v>
      </c>
      <c r="L9" s="1116">
        <v>103384.29</v>
      </c>
      <c r="M9" s="1116">
        <v>64172.27</v>
      </c>
      <c r="N9" s="1116">
        <v>731190.57</v>
      </c>
      <c r="O9" s="1117"/>
      <c r="P9" s="1117"/>
      <c r="Q9" s="1117"/>
      <c r="R9" s="1117"/>
      <c r="S9" s="1117"/>
      <c r="T9" s="1117"/>
    </row>
    <row r="10" spans="1:20" ht="15" customHeight="1">
      <c r="A10" s="1092" t="s">
        <v>22</v>
      </c>
      <c r="B10" s="1093" t="s">
        <v>23</v>
      </c>
      <c r="C10" s="1473" t="s">
        <v>272</v>
      </c>
      <c r="D10" s="1094">
        <f t="shared" si="1"/>
        <v>307336.99000000005</v>
      </c>
      <c r="E10" s="1095">
        <f t="shared" si="2"/>
        <v>123009.02</v>
      </c>
      <c r="F10" s="1096">
        <f t="shared" si="3"/>
        <v>111084.7</v>
      </c>
      <c r="G10" s="1097">
        <f t="shared" si="4"/>
        <v>102838.42</v>
      </c>
      <c r="H10" s="1096">
        <f t="shared" si="4"/>
        <v>8246.2800000000007</v>
      </c>
      <c r="I10" s="1116">
        <v>304461.90000000002</v>
      </c>
      <c r="J10" s="1116">
        <v>0</v>
      </c>
      <c r="K10" s="1116">
        <v>123009.02</v>
      </c>
      <c r="L10" s="1116">
        <v>78408.36</v>
      </c>
      <c r="M10" s="1116">
        <v>8246.86</v>
      </c>
      <c r="N10" s="1116">
        <v>514126.14</v>
      </c>
      <c r="O10" s="1116">
        <v>2875.09</v>
      </c>
      <c r="P10" s="1116">
        <v>0</v>
      </c>
      <c r="Q10" s="1116">
        <v>0</v>
      </c>
      <c r="R10" s="1116">
        <v>24430.06</v>
      </c>
      <c r="S10" s="1116">
        <v>-0.57999999999999996</v>
      </c>
      <c r="T10" s="1116">
        <v>27304.57</v>
      </c>
    </row>
    <row r="11" spans="1:20" ht="15" customHeight="1">
      <c r="A11" s="1092" t="s">
        <v>24</v>
      </c>
      <c r="B11" s="1093" t="s">
        <v>25</v>
      </c>
      <c r="C11" s="1473" t="s">
        <v>274</v>
      </c>
      <c r="D11" s="1094">
        <f t="shared" si="1"/>
        <v>3183439.28</v>
      </c>
      <c r="E11" s="1095">
        <f t="shared" si="2"/>
        <v>1096515.57</v>
      </c>
      <c r="F11" s="1096">
        <f t="shared" si="3"/>
        <v>4837516.26</v>
      </c>
      <c r="G11" s="1097">
        <f t="shared" si="4"/>
        <v>4741855.55</v>
      </c>
      <c r="H11" s="1096">
        <f t="shared" si="4"/>
        <v>95660.709999999992</v>
      </c>
      <c r="I11" s="1116">
        <v>2710766.92</v>
      </c>
      <c r="J11" s="1116">
        <v>0</v>
      </c>
      <c r="K11" s="1116">
        <v>1096515.57</v>
      </c>
      <c r="L11" s="1116">
        <v>698375.28</v>
      </c>
      <c r="M11" s="1116">
        <v>-7.77</v>
      </c>
      <c r="N11" s="1116">
        <v>4505650</v>
      </c>
      <c r="O11" s="1116">
        <v>472672.36</v>
      </c>
      <c r="P11" s="1116">
        <v>0</v>
      </c>
      <c r="Q11" s="1116">
        <v>0</v>
      </c>
      <c r="R11" s="1116">
        <v>4043480.27</v>
      </c>
      <c r="S11" s="1116">
        <v>95668.479999999996</v>
      </c>
      <c r="T11" s="1116">
        <v>4611821.1100000003</v>
      </c>
    </row>
    <row r="12" spans="1:20" ht="15" customHeight="1">
      <c r="A12" s="1092" t="s">
        <v>26</v>
      </c>
      <c r="B12" s="1093" t="s">
        <v>908</v>
      </c>
      <c r="C12" s="1473" t="s">
        <v>272</v>
      </c>
      <c r="D12" s="1094">
        <f t="shared" si="1"/>
        <v>1884474.3</v>
      </c>
      <c r="E12" s="1095">
        <f t="shared" si="2"/>
        <v>744011.66</v>
      </c>
      <c r="F12" s="1096">
        <f t="shared" si="3"/>
        <v>879780.29</v>
      </c>
      <c r="G12" s="1097">
        <f t="shared" si="4"/>
        <v>847402.02</v>
      </c>
      <c r="H12" s="1096">
        <f t="shared" si="4"/>
        <v>32378.27</v>
      </c>
      <c r="I12" s="1116">
        <v>1840698.1</v>
      </c>
      <c r="J12" s="1116">
        <v>0</v>
      </c>
      <c r="K12" s="1116">
        <v>744011.66</v>
      </c>
      <c r="L12" s="1116">
        <v>474114.63</v>
      </c>
      <c r="M12" s="1116">
        <v>32382.36</v>
      </c>
      <c r="N12" s="1116">
        <v>3091206.75</v>
      </c>
      <c r="O12" s="1116">
        <v>43776.2</v>
      </c>
      <c r="P12" s="1116">
        <v>0</v>
      </c>
      <c r="Q12" s="1116">
        <v>0</v>
      </c>
      <c r="R12" s="1116">
        <v>373287.39</v>
      </c>
      <c r="S12" s="1116">
        <v>-4.09</v>
      </c>
      <c r="T12" s="1116">
        <v>417059.5</v>
      </c>
    </row>
    <row r="13" spans="1:20" ht="15" customHeight="1">
      <c r="A13" s="1092" t="s">
        <v>27</v>
      </c>
      <c r="B13" s="1093" t="s">
        <v>28</v>
      </c>
      <c r="C13" s="1473" t="s">
        <v>272</v>
      </c>
      <c r="D13" s="1094">
        <f t="shared" si="1"/>
        <v>91716.08</v>
      </c>
      <c r="E13" s="1095">
        <f t="shared" si="2"/>
        <v>36562.76</v>
      </c>
      <c r="F13" s="1096">
        <f t="shared" si="3"/>
        <v>36504.46</v>
      </c>
      <c r="G13" s="1097">
        <f t="shared" si="4"/>
        <v>34056.5</v>
      </c>
      <c r="H13" s="1096">
        <f t="shared" si="4"/>
        <v>2447.96</v>
      </c>
      <c r="I13" s="1116">
        <v>90449.33</v>
      </c>
      <c r="J13" s="1116">
        <v>0</v>
      </c>
      <c r="K13" s="1116">
        <v>36562.76</v>
      </c>
      <c r="L13" s="1116">
        <v>23295.61</v>
      </c>
      <c r="M13" s="1116">
        <v>2448.67</v>
      </c>
      <c r="N13" s="1116">
        <v>152756.37</v>
      </c>
      <c r="O13" s="1116">
        <v>1266.75</v>
      </c>
      <c r="P13" s="1116">
        <v>0</v>
      </c>
      <c r="Q13" s="1116">
        <v>0</v>
      </c>
      <c r="R13" s="1116">
        <v>10760.89</v>
      </c>
      <c r="S13" s="1116">
        <v>-0.71</v>
      </c>
      <c r="T13" s="1116">
        <v>12026.93</v>
      </c>
    </row>
    <row r="14" spans="1:20" ht="15" customHeight="1">
      <c r="A14" s="1092" t="s">
        <v>29</v>
      </c>
      <c r="B14" s="1093" t="s">
        <v>329</v>
      </c>
      <c r="C14" s="1473" t="s">
        <v>272</v>
      </c>
      <c r="D14" s="1094">
        <f t="shared" si="1"/>
        <v>793221</v>
      </c>
      <c r="E14" s="1095">
        <f t="shared" si="2"/>
        <v>261501.91</v>
      </c>
      <c r="F14" s="1096">
        <f t="shared" si="3"/>
        <v>1454113.72</v>
      </c>
      <c r="G14" s="1097">
        <f t="shared" si="4"/>
        <v>1445749.73</v>
      </c>
      <c r="H14" s="1096">
        <f t="shared" si="4"/>
        <v>8363.99</v>
      </c>
      <c r="I14" s="1116">
        <v>643746.76</v>
      </c>
      <c r="J14" s="1116">
        <v>0</v>
      </c>
      <c r="K14" s="1116">
        <v>261501.91</v>
      </c>
      <c r="L14" s="1116">
        <v>166048.01</v>
      </c>
      <c r="M14" s="1116">
        <v>6594.74</v>
      </c>
      <c r="N14" s="1116">
        <v>1077891.42</v>
      </c>
      <c r="O14" s="1116">
        <v>149474.23999999999</v>
      </c>
      <c r="P14" s="1116">
        <v>0</v>
      </c>
      <c r="Q14" s="1116">
        <v>0</v>
      </c>
      <c r="R14" s="1116">
        <v>1279701.72</v>
      </c>
      <c r="S14" s="1116">
        <v>1769.25</v>
      </c>
      <c r="T14" s="1116">
        <v>1430945.21</v>
      </c>
    </row>
    <row r="15" spans="1:20" ht="15" customHeight="1">
      <c r="A15" s="1092" t="s">
        <v>31</v>
      </c>
      <c r="B15" s="1093" t="s">
        <v>32</v>
      </c>
      <c r="C15" s="1473" t="s">
        <v>275</v>
      </c>
      <c r="D15" s="1094">
        <f t="shared" si="1"/>
        <v>153123.09000000003</v>
      </c>
      <c r="E15" s="1095">
        <f t="shared" si="2"/>
        <v>59111.13</v>
      </c>
      <c r="F15" s="1096">
        <f t="shared" si="3"/>
        <v>99762.709999999992</v>
      </c>
      <c r="G15" s="1097">
        <f t="shared" si="4"/>
        <v>95635.359999999986</v>
      </c>
      <c r="H15" s="1096">
        <f t="shared" si="4"/>
        <v>4127.3499999999995</v>
      </c>
      <c r="I15" s="1116">
        <v>146298.45000000001</v>
      </c>
      <c r="J15" s="1116">
        <v>0</v>
      </c>
      <c r="K15" s="1116">
        <v>59111.13</v>
      </c>
      <c r="L15" s="1116">
        <v>37676.089999999997</v>
      </c>
      <c r="M15" s="1116">
        <v>4085.93</v>
      </c>
      <c r="N15" s="1116">
        <v>247171.6</v>
      </c>
      <c r="O15" s="1116">
        <v>6824.64</v>
      </c>
      <c r="P15" s="1116">
        <v>0</v>
      </c>
      <c r="Q15" s="1116">
        <v>0</v>
      </c>
      <c r="R15" s="1116">
        <v>57959.27</v>
      </c>
      <c r="S15" s="1116">
        <v>41.42</v>
      </c>
      <c r="T15" s="1116">
        <v>64825.33</v>
      </c>
    </row>
    <row r="16" spans="1:20" ht="15" customHeight="1">
      <c r="A16" s="1092" t="s">
        <v>33</v>
      </c>
      <c r="B16" s="1093" t="s">
        <v>34</v>
      </c>
      <c r="C16" s="1473" t="s">
        <v>272</v>
      </c>
      <c r="D16" s="1094">
        <f t="shared" si="1"/>
        <v>253857.19</v>
      </c>
      <c r="E16" s="1095">
        <f t="shared" si="2"/>
        <v>100111.07</v>
      </c>
      <c r="F16" s="1096">
        <f t="shared" si="3"/>
        <v>122048.15999999999</v>
      </c>
      <c r="G16" s="1097">
        <f t="shared" si="4"/>
        <v>115036.62</v>
      </c>
      <c r="H16" s="1096">
        <f t="shared" si="4"/>
        <v>7011.54</v>
      </c>
      <c r="I16" s="1116">
        <v>247828.57</v>
      </c>
      <c r="J16" s="1116">
        <v>0</v>
      </c>
      <c r="K16" s="1116">
        <v>100111.07</v>
      </c>
      <c r="L16" s="1116">
        <v>63820.07</v>
      </c>
      <c r="M16" s="1116">
        <v>6901.68</v>
      </c>
      <c r="N16" s="1116">
        <v>418661.39</v>
      </c>
      <c r="O16" s="1116">
        <v>6028.62</v>
      </c>
      <c r="P16" s="1116">
        <v>0</v>
      </c>
      <c r="Q16" s="1116">
        <v>0</v>
      </c>
      <c r="R16" s="1116">
        <v>51216.55</v>
      </c>
      <c r="S16" s="1116">
        <v>109.86</v>
      </c>
      <c r="T16" s="1116">
        <v>57355.03</v>
      </c>
    </row>
    <row r="17" spans="1:20" ht="15" customHeight="1">
      <c r="A17" s="1092" t="s">
        <v>37</v>
      </c>
      <c r="B17" s="1093" t="s">
        <v>38</v>
      </c>
      <c r="C17" s="1473" t="s">
        <v>271</v>
      </c>
      <c r="D17" s="1094">
        <f t="shared" si="1"/>
        <v>333130.80000000005</v>
      </c>
      <c r="E17" s="1095">
        <f t="shared" si="2"/>
        <v>134435.56</v>
      </c>
      <c r="F17" s="1096">
        <f t="shared" si="3"/>
        <v>95838.65</v>
      </c>
      <c r="G17" s="1097">
        <f t="shared" si="4"/>
        <v>90140.25</v>
      </c>
      <c r="H17" s="1096">
        <f t="shared" si="4"/>
        <v>5698.4000000000005</v>
      </c>
      <c r="I17" s="1116">
        <v>332604.27</v>
      </c>
      <c r="J17" s="1116">
        <v>0</v>
      </c>
      <c r="K17" s="1116">
        <v>134435.56</v>
      </c>
      <c r="L17" s="1116">
        <v>85666.69</v>
      </c>
      <c r="M17" s="1116">
        <v>5054.01</v>
      </c>
      <c r="N17" s="1116">
        <v>557760.53</v>
      </c>
      <c r="O17" s="1116">
        <v>526.53</v>
      </c>
      <c r="P17" s="1116">
        <v>0</v>
      </c>
      <c r="Q17" s="1116">
        <v>0</v>
      </c>
      <c r="R17" s="1116">
        <v>4473.5600000000004</v>
      </c>
      <c r="S17" s="1116">
        <v>644.39</v>
      </c>
      <c r="T17" s="1116">
        <v>5644.48</v>
      </c>
    </row>
    <row r="18" spans="1:20" ht="15" customHeight="1">
      <c r="A18" s="1092" t="s">
        <v>39</v>
      </c>
      <c r="B18" s="1093" t="s">
        <v>40</v>
      </c>
      <c r="C18" s="1473" t="s">
        <v>275</v>
      </c>
      <c r="D18" s="1094">
        <f t="shared" si="1"/>
        <v>931918.62</v>
      </c>
      <c r="E18" s="1095">
        <f t="shared" si="2"/>
        <v>369364.88</v>
      </c>
      <c r="F18" s="1096">
        <f t="shared" si="3"/>
        <v>394017.51999999996</v>
      </c>
      <c r="G18" s="1097">
        <f t="shared" si="4"/>
        <v>394265.98</v>
      </c>
      <c r="H18" s="1096">
        <f t="shared" si="4"/>
        <v>-248.46000000000004</v>
      </c>
      <c r="I18" s="1116">
        <v>913508.59</v>
      </c>
      <c r="J18" s="1116">
        <v>0</v>
      </c>
      <c r="K18" s="1116">
        <v>369364.88</v>
      </c>
      <c r="L18" s="1116">
        <v>235315.83</v>
      </c>
      <c r="M18" s="1116">
        <v>-917.72</v>
      </c>
      <c r="N18" s="1116">
        <v>1517271.58</v>
      </c>
      <c r="O18" s="1116">
        <v>18410.03</v>
      </c>
      <c r="P18" s="1116">
        <v>0</v>
      </c>
      <c r="Q18" s="1116">
        <v>0</v>
      </c>
      <c r="R18" s="1116">
        <v>158950.15</v>
      </c>
      <c r="S18" s="1116">
        <v>669.26</v>
      </c>
      <c r="T18" s="1116">
        <v>178029.44</v>
      </c>
    </row>
    <row r="19" spans="1:20" ht="15" customHeight="1">
      <c r="A19" s="1092" t="s">
        <v>41</v>
      </c>
      <c r="B19" s="1093" t="s">
        <v>42</v>
      </c>
      <c r="C19" s="1473" t="s">
        <v>273</v>
      </c>
      <c r="D19" s="1094">
        <f t="shared" si="1"/>
        <v>283089.20999999996</v>
      </c>
      <c r="E19" s="1095">
        <f t="shared" si="2"/>
        <v>112879.64</v>
      </c>
      <c r="F19" s="1096">
        <f t="shared" si="3"/>
        <v>132987.37</v>
      </c>
      <c r="G19" s="1097">
        <f t="shared" si="4"/>
        <v>103195.73</v>
      </c>
      <c r="H19" s="1096">
        <f t="shared" si="4"/>
        <v>29791.64</v>
      </c>
      <c r="I19" s="1116">
        <v>279411.99</v>
      </c>
      <c r="J19" s="1116">
        <v>0</v>
      </c>
      <c r="K19" s="1116">
        <v>112879.64</v>
      </c>
      <c r="L19" s="1116">
        <v>71955.7</v>
      </c>
      <c r="M19" s="1116">
        <v>29692.02</v>
      </c>
      <c r="N19" s="1116">
        <v>493939.35</v>
      </c>
      <c r="O19" s="1116">
        <v>3677.22</v>
      </c>
      <c r="P19" s="1116">
        <v>0</v>
      </c>
      <c r="Q19" s="1116">
        <v>0</v>
      </c>
      <c r="R19" s="1116">
        <v>31240.03</v>
      </c>
      <c r="S19" s="1116">
        <v>99.62</v>
      </c>
      <c r="T19" s="1116">
        <v>35016.870000000003</v>
      </c>
    </row>
    <row r="20" spans="1:20" ht="15" customHeight="1">
      <c r="A20" s="1092" t="s">
        <v>43</v>
      </c>
      <c r="B20" s="1093" t="s">
        <v>44</v>
      </c>
      <c r="C20" s="1473" t="s">
        <v>272</v>
      </c>
      <c r="D20" s="1094">
        <f t="shared" si="1"/>
        <v>1042509.15</v>
      </c>
      <c r="E20" s="1095">
        <f t="shared" si="2"/>
        <v>418788.8</v>
      </c>
      <c r="F20" s="1096">
        <f t="shared" si="3"/>
        <v>431690.77</v>
      </c>
      <c r="G20" s="1097">
        <f t="shared" si="4"/>
        <v>322272.64000000001</v>
      </c>
      <c r="H20" s="1096">
        <f t="shared" si="4"/>
        <v>109418.13</v>
      </c>
      <c r="I20" s="1116">
        <v>1035912.92</v>
      </c>
      <c r="J20" s="1116">
        <v>0</v>
      </c>
      <c r="K20" s="1116">
        <v>418788.8</v>
      </c>
      <c r="L20" s="1116">
        <v>266835.86</v>
      </c>
      <c r="M20" s="1116">
        <v>109420.03</v>
      </c>
      <c r="N20" s="1116">
        <v>1830957.61</v>
      </c>
      <c r="O20" s="1116">
        <v>6596.23</v>
      </c>
      <c r="P20" s="1116">
        <v>0</v>
      </c>
      <c r="Q20" s="1116">
        <v>0</v>
      </c>
      <c r="R20" s="1116">
        <v>55436.78</v>
      </c>
      <c r="S20" s="1116">
        <v>-1.9</v>
      </c>
      <c r="T20" s="1116">
        <v>62031.11</v>
      </c>
    </row>
    <row r="21" spans="1:20" ht="15" customHeight="1">
      <c r="A21" s="1092" t="s">
        <v>45</v>
      </c>
      <c r="B21" s="1093" t="s">
        <v>46</v>
      </c>
      <c r="C21" s="1473" t="s">
        <v>273</v>
      </c>
      <c r="D21" s="1094">
        <f t="shared" si="1"/>
        <v>344390.95999999996</v>
      </c>
      <c r="E21" s="1095">
        <f t="shared" si="2"/>
        <v>134692.49</v>
      </c>
      <c r="F21" s="1096">
        <f t="shared" si="3"/>
        <v>177724.25</v>
      </c>
      <c r="G21" s="1097">
        <f t="shared" si="4"/>
        <v>177795.46</v>
      </c>
      <c r="H21" s="1096">
        <f t="shared" si="4"/>
        <v>-71.209999999999994</v>
      </c>
      <c r="I21" s="1116">
        <v>333574.24</v>
      </c>
      <c r="J21" s="1116">
        <v>0</v>
      </c>
      <c r="K21" s="1116">
        <v>134692.49</v>
      </c>
      <c r="L21" s="1116">
        <v>85893.18</v>
      </c>
      <c r="M21" s="1116">
        <v>-69.64</v>
      </c>
      <c r="N21" s="1116">
        <v>554090.27</v>
      </c>
      <c r="O21" s="1116">
        <v>10816.72</v>
      </c>
      <c r="P21" s="1116">
        <v>0</v>
      </c>
      <c r="Q21" s="1116">
        <v>0</v>
      </c>
      <c r="R21" s="1116">
        <v>91902.28</v>
      </c>
      <c r="S21" s="1116">
        <v>-1.57</v>
      </c>
      <c r="T21" s="1116">
        <v>102717.43</v>
      </c>
    </row>
    <row r="22" spans="1:20" ht="15" customHeight="1">
      <c r="A22" s="1092" t="s">
        <v>47</v>
      </c>
      <c r="B22" s="1093" t="s">
        <v>48</v>
      </c>
      <c r="C22" s="1473" t="s">
        <v>275</v>
      </c>
      <c r="D22" s="1094">
        <f t="shared" si="1"/>
        <v>464313.45</v>
      </c>
      <c r="E22" s="1095">
        <f t="shared" si="2"/>
        <v>183988.15</v>
      </c>
      <c r="F22" s="1096">
        <f t="shared" si="3"/>
        <v>270495.59999999998</v>
      </c>
      <c r="G22" s="1097">
        <f t="shared" si="4"/>
        <v>194738.97999999998</v>
      </c>
      <c r="H22" s="1096">
        <f t="shared" si="4"/>
        <v>75756.62000000001</v>
      </c>
      <c r="I22" s="1116">
        <v>455192.3</v>
      </c>
      <c r="J22" s="1116">
        <v>0</v>
      </c>
      <c r="K22" s="1116">
        <v>183988.15</v>
      </c>
      <c r="L22" s="1116">
        <v>117242.72</v>
      </c>
      <c r="M22" s="1116">
        <v>75758.070000000007</v>
      </c>
      <c r="N22" s="1116">
        <v>832181.24</v>
      </c>
      <c r="O22" s="1116">
        <v>9121.15</v>
      </c>
      <c r="P22" s="1116">
        <v>0</v>
      </c>
      <c r="Q22" s="1116">
        <v>0</v>
      </c>
      <c r="R22" s="1116">
        <v>77496.259999999995</v>
      </c>
      <c r="S22" s="1116">
        <v>-1.45</v>
      </c>
      <c r="T22" s="1116">
        <v>86615.96</v>
      </c>
    </row>
    <row r="23" spans="1:20" ht="15" customHeight="1">
      <c r="A23" s="1092" t="s">
        <v>49</v>
      </c>
      <c r="B23" s="1093" t="s">
        <v>276</v>
      </c>
      <c r="C23" s="1473" t="s">
        <v>273</v>
      </c>
      <c r="D23" s="1094">
        <f t="shared" si="1"/>
        <v>168521.65000000002</v>
      </c>
      <c r="E23" s="1095">
        <f t="shared" si="2"/>
        <v>67602.39</v>
      </c>
      <c r="F23" s="1096">
        <f t="shared" si="3"/>
        <v>53786.64</v>
      </c>
      <c r="G23" s="1097">
        <f t="shared" si="4"/>
        <v>53796.22</v>
      </c>
      <c r="H23" s="1096">
        <f t="shared" si="4"/>
        <v>-9.58</v>
      </c>
      <c r="I23" s="1116">
        <v>167241.76</v>
      </c>
      <c r="J23" s="1116">
        <v>0</v>
      </c>
      <c r="K23" s="1116">
        <v>67602.39</v>
      </c>
      <c r="L23" s="1116">
        <v>43075.91</v>
      </c>
      <c r="M23" s="1116">
        <v>-9.3800000000000008</v>
      </c>
      <c r="N23" s="1116">
        <v>277910.68</v>
      </c>
      <c r="O23" s="1116">
        <v>1279.8900000000001</v>
      </c>
      <c r="P23" s="1116">
        <v>0</v>
      </c>
      <c r="Q23" s="1116">
        <v>0</v>
      </c>
      <c r="R23" s="1116">
        <v>10720.31</v>
      </c>
      <c r="S23" s="1116">
        <v>-0.2</v>
      </c>
      <c r="T23" s="1116">
        <v>12000</v>
      </c>
    </row>
    <row r="24" spans="1:20" ht="15" customHeight="1">
      <c r="A24" s="1092" t="s">
        <v>51</v>
      </c>
      <c r="B24" s="1093" t="s">
        <v>52</v>
      </c>
      <c r="C24" s="1473" t="s">
        <v>272</v>
      </c>
      <c r="D24" s="1094">
        <f t="shared" si="1"/>
        <v>275837.96999999997</v>
      </c>
      <c r="E24" s="1095">
        <f t="shared" si="2"/>
        <v>108916.22</v>
      </c>
      <c r="F24" s="1096">
        <f t="shared" si="3"/>
        <v>431278.55000000005</v>
      </c>
      <c r="G24" s="1097">
        <f t="shared" si="4"/>
        <v>122610.16</v>
      </c>
      <c r="H24" s="1096">
        <f t="shared" si="4"/>
        <v>308668.39</v>
      </c>
      <c r="I24" s="1116">
        <v>269578.31</v>
      </c>
      <c r="J24" s="1116">
        <v>0</v>
      </c>
      <c r="K24" s="1116">
        <v>108916.22</v>
      </c>
      <c r="L24" s="1116">
        <v>69426.039999999994</v>
      </c>
      <c r="M24" s="1116">
        <v>308669.45</v>
      </c>
      <c r="N24" s="1116">
        <v>756590.02</v>
      </c>
      <c r="O24" s="1116">
        <v>6259.66</v>
      </c>
      <c r="P24" s="1116">
        <v>0</v>
      </c>
      <c r="Q24" s="1116">
        <v>0</v>
      </c>
      <c r="R24" s="1116">
        <v>53184.12</v>
      </c>
      <c r="S24" s="1116">
        <v>-1.06</v>
      </c>
      <c r="T24" s="1116">
        <v>59442.720000000001</v>
      </c>
    </row>
    <row r="25" spans="1:20" ht="15" customHeight="1">
      <c r="A25" s="1092" t="s">
        <v>57</v>
      </c>
      <c r="B25" s="1093" t="s">
        <v>305</v>
      </c>
      <c r="C25" s="1473" t="s">
        <v>273</v>
      </c>
      <c r="D25" s="1094">
        <f t="shared" si="1"/>
        <v>2455293.91</v>
      </c>
      <c r="E25" s="1095">
        <f t="shared" si="2"/>
        <v>898953.48</v>
      </c>
      <c r="F25" s="1096">
        <f t="shared" si="3"/>
        <v>2550048.2899999996</v>
      </c>
      <c r="G25" s="1097">
        <f t="shared" si="4"/>
        <v>2530836.6799999997</v>
      </c>
      <c r="H25" s="1096">
        <f t="shared" si="4"/>
        <v>19211.61</v>
      </c>
      <c r="I25" s="1116">
        <v>2226310.27</v>
      </c>
      <c r="J25" s="1116">
        <v>0</v>
      </c>
      <c r="K25" s="1116">
        <v>898953.48</v>
      </c>
      <c r="L25" s="1116">
        <v>573270.73</v>
      </c>
      <c r="M25" s="1116">
        <v>57.38</v>
      </c>
      <c r="N25" s="1116">
        <v>3698591.86</v>
      </c>
      <c r="O25" s="1116">
        <v>228983.64</v>
      </c>
      <c r="P25" s="1116">
        <v>0</v>
      </c>
      <c r="Q25" s="1116">
        <v>0</v>
      </c>
      <c r="R25" s="1116">
        <v>1957565.95</v>
      </c>
      <c r="S25" s="1116">
        <v>19154.23</v>
      </c>
      <c r="T25" s="1116">
        <v>2205703.8199999998</v>
      </c>
    </row>
    <row r="26" spans="1:20" ht="15" customHeight="1">
      <c r="A26" s="1092" t="s">
        <v>59</v>
      </c>
      <c r="B26" s="1093" t="s">
        <v>60</v>
      </c>
      <c r="C26" s="1473" t="s">
        <v>274</v>
      </c>
      <c r="D26" s="1094">
        <f t="shared" si="1"/>
        <v>185550.33</v>
      </c>
      <c r="E26" s="1095">
        <f t="shared" si="2"/>
        <v>62339.53</v>
      </c>
      <c r="F26" s="1096">
        <f t="shared" si="3"/>
        <v>315699.87000000005</v>
      </c>
      <c r="G26" s="1097">
        <f t="shared" si="4"/>
        <v>315097.55000000005</v>
      </c>
      <c r="H26" s="1096">
        <f t="shared" si="4"/>
        <v>602.31999999999994</v>
      </c>
      <c r="I26" s="1116">
        <v>153566.65</v>
      </c>
      <c r="J26" s="1116">
        <v>0</v>
      </c>
      <c r="K26" s="1116">
        <v>62339.53</v>
      </c>
      <c r="L26" s="1116">
        <v>39602.78</v>
      </c>
      <c r="M26" s="1116">
        <v>303.93</v>
      </c>
      <c r="N26" s="1116">
        <v>255812.89</v>
      </c>
      <c r="O26" s="1116">
        <v>31983.68</v>
      </c>
      <c r="P26" s="1116">
        <v>0</v>
      </c>
      <c r="Q26" s="1116">
        <v>0</v>
      </c>
      <c r="R26" s="1116">
        <v>275494.77</v>
      </c>
      <c r="S26" s="1116">
        <v>298.39</v>
      </c>
      <c r="T26" s="1116">
        <v>307776.84000000003</v>
      </c>
    </row>
    <row r="27" spans="1:20" ht="15" customHeight="1">
      <c r="A27" s="1092" t="s">
        <v>61</v>
      </c>
      <c r="B27" s="1093" t="s">
        <v>62</v>
      </c>
      <c r="C27" s="1473" t="s">
        <v>272</v>
      </c>
      <c r="D27" s="1094">
        <f t="shared" si="1"/>
        <v>86237.93</v>
      </c>
      <c r="E27" s="1095">
        <f t="shared" si="2"/>
        <v>32258.38</v>
      </c>
      <c r="F27" s="1096">
        <f t="shared" si="3"/>
        <v>509424.07999999996</v>
      </c>
      <c r="G27" s="1097">
        <f t="shared" si="4"/>
        <v>74270.11</v>
      </c>
      <c r="H27" s="1096">
        <f t="shared" si="4"/>
        <v>435153.97</v>
      </c>
      <c r="I27" s="1116">
        <v>79913.399999999994</v>
      </c>
      <c r="J27" s="1116">
        <v>0</v>
      </c>
      <c r="K27" s="1116">
        <v>32258.38</v>
      </c>
      <c r="L27" s="1116">
        <v>20574.3</v>
      </c>
      <c r="M27" s="1116">
        <v>295659.88</v>
      </c>
      <c r="N27" s="1116">
        <v>428405.96</v>
      </c>
      <c r="O27" s="1116">
        <v>6324.53</v>
      </c>
      <c r="P27" s="1116">
        <v>0</v>
      </c>
      <c r="Q27" s="1116">
        <v>0</v>
      </c>
      <c r="R27" s="1116">
        <v>53695.81</v>
      </c>
      <c r="S27" s="1116">
        <v>139494.09</v>
      </c>
      <c r="T27" s="1116">
        <v>199514.43</v>
      </c>
    </row>
    <row r="28" spans="1:20" ht="15" customHeight="1">
      <c r="A28" s="1092" t="s">
        <v>63</v>
      </c>
      <c r="B28" s="1093" t="s">
        <v>64</v>
      </c>
      <c r="C28" s="1473" t="s">
        <v>274</v>
      </c>
      <c r="D28" s="1094">
        <f t="shared" si="1"/>
        <v>542525.79</v>
      </c>
      <c r="E28" s="1095">
        <f t="shared" si="2"/>
        <v>205395.52</v>
      </c>
      <c r="F28" s="1096">
        <f t="shared" si="3"/>
        <v>3693816.58</v>
      </c>
      <c r="G28" s="1097">
        <f t="shared" si="4"/>
        <v>416921.06</v>
      </c>
      <c r="H28" s="1096">
        <f t="shared" si="4"/>
        <v>3276895.52</v>
      </c>
      <c r="I28" s="1116">
        <v>508740.69</v>
      </c>
      <c r="J28" s="1116">
        <v>0</v>
      </c>
      <c r="K28" s="1116">
        <v>205395.52</v>
      </c>
      <c r="L28" s="1116">
        <v>130993.48</v>
      </c>
      <c r="M28" s="1116">
        <v>3176509.81</v>
      </c>
      <c r="N28" s="1116">
        <v>4021639.5</v>
      </c>
      <c r="O28" s="1116">
        <v>33785.1</v>
      </c>
      <c r="P28" s="1116">
        <v>0</v>
      </c>
      <c r="Q28" s="1116">
        <v>0</v>
      </c>
      <c r="R28" s="1116">
        <v>285927.58</v>
      </c>
      <c r="S28" s="1116">
        <v>100385.71</v>
      </c>
      <c r="T28" s="1116">
        <v>420098.39</v>
      </c>
    </row>
    <row r="29" spans="1:20" ht="15" customHeight="1">
      <c r="A29" s="1092" t="s">
        <v>65</v>
      </c>
      <c r="B29" s="1093" t="s">
        <v>66</v>
      </c>
      <c r="C29" s="1473" t="s">
        <v>273</v>
      </c>
      <c r="D29" s="1094">
        <f t="shared" si="1"/>
        <v>201618.89</v>
      </c>
      <c r="E29" s="1095">
        <f t="shared" si="2"/>
        <v>79604.19</v>
      </c>
      <c r="F29" s="1096">
        <f t="shared" si="3"/>
        <v>94475.4</v>
      </c>
      <c r="G29" s="1097">
        <f t="shared" si="4"/>
        <v>89282.08</v>
      </c>
      <c r="H29" s="1096">
        <f t="shared" si="4"/>
        <v>5193.32</v>
      </c>
      <c r="I29" s="1116">
        <v>197083.19</v>
      </c>
      <c r="J29" s="1116">
        <v>0</v>
      </c>
      <c r="K29" s="1116">
        <v>79604.19</v>
      </c>
      <c r="L29" s="1116">
        <v>50749.83</v>
      </c>
      <c r="M29" s="1116">
        <v>5195.25</v>
      </c>
      <c r="N29" s="1116">
        <v>332632.46000000002</v>
      </c>
      <c r="O29" s="1116">
        <v>4535.7</v>
      </c>
      <c r="P29" s="1116">
        <v>0</v>
      </c>
      <c r="Q29" s="1116">
        <v>0</v>
      </c>
      <c r="R29" s="1116">
        <v>38532.25</v>
      </c>
      <c r="S29" s="1116">
        <v>-1.93</v>
      </c>
      <c r="T29" s="1116">
        <v>43066.02</v>
      </c>
    </row>
    <row r="30" spans="1:20" ht="15" customHeight="1">
      <c r="A30" s="1092" t="s">
        <v>69</v>
      </c>
      <c r="B30" s="1093" t="s">
        <v>70</v>
      </c>
      <c r="C30" s="1473" t="s">
        <v>275</v>
      </c>
      <c r="D30" s="1094">
        <f t="shared" si="1"/>
        <v>601551.34000000008</v>
      </c>
      <c r="E30" s="1095">
        <f t="shared" si="2"/>
        <v>239128.4</v>
      </c>
      <c r="F30" s="1096">
        <f t="shared" si="3"/>
        <v>257993.00999999998</v>
      </c>
      <c r="G30" s="1097">
        <f t="shared" si="4"/>
        <v>234232.40999999997</v>
      </c>
      <c r="H30" s="1096">
        <f t="shared" si="4"/>
        <v>23760.600000000002</v>
      </c>
      <c r="I30" s="1116">
        <v>591924.16</v>
      </c>
      <c r="J30" s="1116">
        <v>0</v>
      </c>
      <c r="K30" s="1116">
        <v>239128.4</v>
      </c>
      <c r="L30" s="1116">
        <v>152438.68</v>
      </c>
      <c r="M30" s="1116">
        <v>23199.95</v>
      </c>
      <c r="N30" s="1116">
        <v>1006691.19</v>
      </c>
      <c r="O30" s="1116">
        <v>9627.18</v>
      </c>
      <c r="P30" s="1116">
        <v>0</v>
      </c>
      <c r="Q30" s="1116">
        <v>0</v>
      </c>
      <c r="R30" s="1116">
        <v>81793.73</v>
      </c>
      <c r="S30" s="1116">
        <v>560.65</v>
      </c>
      <c r="T30" s="1116">
        <v>91981.56</v>
      </c>
    </row>
    <row r="31" spans="1:20" ht="15" customHeight="1">
      <c r="A31" s="1092" t="s">
        <v>71</v>
      </c>
      <c r="B31" s="1093" t="s">
        <v>72</v>
      </c>
      <c r="C31" s="1473" t="s">
        <v>271</v>
      </c>
      <c r="D31" s="1094">
        <f t="shared" si="1"/>
        <v>408727.91</v>
      </c>
      <c r="E31" s="1095">
        <f t="shared" si="2"/>
        <v>165269.59</v>
      </c>
      <c r="F31" s="1096">
        <f t="shared" si="3"/>
        <v>111487.26000000001</v>
      </c>
      <c r="G31" s="1097">
        <f t="shared" si="4"/>
        <v>105286.38</v>
      </c>
      <c r="H31" s="1096">
        <f t="shared" si="4"/>
        <v>6200.88</v>
      </c>
      <c r="I31" s="1116">
        <v>408727.91</v>
      </c>
      <c r="J31" s="1116">
        <v>0</v>
      </c>
      <c r="K31" s="1116">
        <v>165269.59</v>
      </c>
      <c r="L31" s="1116">
        <v>105286.38</v>
      </c>
      <c r="M31" s="1116">
        <v>6200.88</v>
      </c>
      <c r="N31" s="1116">
        <v>685484.76</v>
      </c>
      <c r="O31" s="1117"/>
      <c r="P31" s="1117"/>
      <c r="Q31" s="1117"/>
      <c r="R31" s="1117"/>
      <c r="S31" s="1117"/>
      <c r="T31" s="1117"/>
    </row>
    <row r="32" spans="1:20" ht="15" customHeight="1">
      <c r="A32" s="1092" t="s">
        <v>73</v>
      </c>
      <c r="B32" s="1093" t="s">
        <v>74</v>
      </c>
      <c r="C32" s="1473" t="s">
        <v>273</v>
      </c>
      <c r="D32" s="1094">
        <f t="shared" si="1"/>
        <v>211502.33</v>
      </c>
      <c r="E32" s="1095">
        <f t="shared" si="2"/>
        <v>78269.490000000005</v>
      </c>
      <c r="F32" s="1096">
        <f t="shared" si="3"/>
        <v>229147.94000000003</v>
      </c>
      <c r="G32" s="1097">
        <f t="shared" si="4"/>
        <v>202844.40000000002</v>
      </c>
      <c r="H32" s="1096">
        <f t="shared" si="4"/>
        <v>26303.54</v>
      </c>
      <c r="I32" s="1116">
        <v>193657.77</v>
      </c>
      <c r="J32" s="1116">
        <v>0</v>
      </c>
      <c r="K32" s="1116">
        <v>78269.490000000005</v>
      </c>
      <c r="L32" s="1116">
        <v>49877.36</v>
      </c>
      <c r="M32" s="1116">
        <v>26109.33</v>
      </c>
      <c r="N32" s="1116">
        <v>347913.95</v>
      </c>
      <c r="O32" s="1116">
        <v>17844.560000000001</v>
      </c>
      <c r="P32" s="1116">
        <v>0</v>
      </c>
      <c r="Q32" s="1116">
        <v>0</v>
      </c>
      <c r="R32" s="1116">
        <v>152967.04000000001</v>
      </c>
      <c r="S32" s="1116">
        <v>194.21</v>
      </c>
      <c r="T32" s="1116">
        <v>171005.81</v>
      </c>
    </row>
    <row r="33" spans="1:20" ht="15" customHeight="1">
      <c r="A33" s="1092" t="s">
        <v>75</v>
      </c>
      <c r="B33" s="1093" t="s">
        <v>312</v>
      </c>
      <c r="C33" s="1473" t="s">
        <v>274</v>
      </c>
      <c r="D33" s="1094">
        <f t="shared" si="1"/>
        <v>9605554.8300000001</v>
      </c>
      <c r="E33" s="1095">
        <f t="shared" si="2"/>
        <v>2621684.17</v>
      </c>
      <c r="F33" s="1096">
        <f t="shared" si="3"/>
        <v>28390186.09</v>
      </c>
      <c r="G33" s="1097">
        <f t="shared" si="4"/>
        <v>28390201.48</v>
      </c>
      <c r="H33" s="1096">
        <f t="shared" si="4"/>
        <v>-15.389999999999999</v>
      </c>
      <c r="I33" s="1116">
        <v>6461687.0499999998</v>
      </c>
      <c r="J33" s="1116">
        <v>0</v>
      </c>
      <c r="K33" s="1116">
        <v>2621684.17</v>
      </c>
      <c r="L33" s="1116">
        <v>1666180.38</v>
      </c>
      <c r="M33" s="1116">
        <v>-0.6</v>
      </c>
      <c r="N33" s="1116">
        <v>10749551</v>
      </c>
      <c r="O33" s="1116">
        <v>3143867.78</v>
      </c>
      <c r="P33" s="1116">
        <v>0</v>
      </c>
      <c r="Q33" s="1116">
        <v>0</v>
      </c>
      <c r="R33" s="1116">
        <v>26724021.100000001</v>
      </c>
      <c r="S33" s="1116">
        <v>-14.79</v>
      </c>
      <c r="T33" s="1116">
        <v>29867874.09</v>
      </c>
    </row>
    <row r="34" spans="1:20" ht="15" customHeight="1">
      <c r="A34" s="1092" t="s">
        <v>77</v>
      </c>
      <c r="B34" s="1093" t="s">
        <v>78</v>
      </c>
      <c r="C34" s="1473" t="s">
        <v>274</v>
      </c>
      <c r="D34" s="1094">
        <f t="shared" si="1"/>
        <v>659272.67000000004</v>
      </c>
      <c r="E34" s="1095">
        <f t="shared" si="2"/>
        <v>224018.56</v>
      </c>
      <c r="F34" s="1096">
        <f t="shared" si="3"/>
        <v>1468700.3099999998</v>
      </c>
      <c r="G34" s="1097">
        <f t="shared" si="4"/>
        <v>1069413.3899999999</v>
      </c>
      <c r="H34" s="1096">
        <f t="shared" si="4"/>
        <v>399286.92</v>
      </c>
      <c r="I34" s="1116">
        <v>551566.18000000005</v>
      </c>
      <c r="J34" s="1116">
        <v>0</v>
      </c>
      <c r="K34" s="1116">
        <v>224018.56</v>
      </c>
      <c r="L34" s="1116">
        <v>142265.53</v>
      </c>
      <c r="M34" s="1116">
        <v>374281.17</v>
      </c>
      <c r="N34" s="1116">
        <v>1292131.44</v>
      </c>
      <c r="O34" s="1116">
        <v>107706.49</v>
      </c>
      <c r="P34" s="1116">
        <v>0</v>
      </c>
      <c r="Q34" s="1116">
        <v>0</v>
      </c>
      <c r="R34" s="1116">
        <v>927147.86</v>
      </c>
      <c r="S34" s="1116">
        <v>25005.75</v>
      </c>
      <c r="T34" s="1116">
        <v>1059860.1000000001</v>
      </c>
    </row>
    <row r="35" spans="1:20" ht="15" customHeight="1">
      <c r="A35" s="1092" t="s">
        <v>79</v>
      </c>
      <c r="B35" s="1093" t="s">
        <v>80</v>
      </c>
      <c r="C35" s="1473" t="s">
        <v>275</v>
      </c>
      <c r="D35" s="1094">
        <f t="shared" si="1"/>
        <v>183978.84</v>
      </c>
      <c r="E35" s="1095">
        <f t="shared" si="2"/>
        <v>72724.83</v>
      </c>
      <c r="F35" s="1096">
        <f t="shared" si="3"/>
        <v>83047.34</v>
      </c>
      <c r="G35" s="1097">
        <f t="shared" si="4"/>
        <v>82585.86</v>
      </c>
      <c r="H35" s="1096">
        <f t="shared" si="4"/>
        <v>461.48</v>
      </c>
      <c r="I35" s="1116">
        <v>179676.43</v>
      </c>
      <c r="J35" s="1116">
        <v>0</v>
      </c>
      <c r="K35" s="1116">
        <v>72724.83</v>
      </c>
      <c r="L35" s="1116">
        <v>46294.37</v>
      </c>
      <c r="M35" s="1116">
        <v>462.12</v>
      </c>
      <c r="N35" s="1116">
        <v>299157.75</v>
      </c>
      <c r="O35" s="1116">
        <v>4302.41</v>
      </c>
      <c r="P35" s="1116">
        <v>0</v>
      </c>
      <c r="Q35" s="1116">
        <v>0</v>
      </c>
      <c r="R35" s="1116">
        <v>36291.49</v>
      </c>
      <c r="S35" s="1116">
        <v>-0.64</v>
      </c>
      <c r="T35" s="1116">
        <v>40593.26</v>
      </c>
    </row>
    <row r="36" spans="1:20" ht="15" customHeight="1">
      <c r="A36" s="1092" t="s">
        <v>81</v>
      </c>
      <c r="B36" s="1093" t="s">
        <v>82</v>
      </c>
      <c r="C36" s="1473" t="s">
        <v>273</v>
      </c>
      <c r="D36" s="1094">
        <f t="shared" si="1"/>
        <v>298654.5</v>
      </c>
      <c r="E36" s="1095">
        <f t="shared" si="2"/>
        <v>109353.19</v>
      </c>
      <c r="F36" s="1096">
        <f t="shared" si="3"/>
        <v>469174.32999999996</v>
      </c>
      <c r="G36" s="1097">
        <f t="shared" si="4"/>
        <v>308737.48</v>
      </c>
      <c r="H36" s="1096">
        <f t="shared" si="4"/>
        <v>160436.85</v>
      </c>
      <c r="I36" s="1116">
        <v>270861.93</v>
      </c>
      <c r="J36" s="1116">
        <v>0</v>
      </c>
      <c r="K36" s="1116">
        <v>109353.19</v>
      </c>
      <c r="L36" s="1116">
        <v>69741.81</v>
      </c>
      <c r="M36" s="1116">
        <v>102176.99</v>
      </c>
      <c r="N36" s="1116">
        <v>552133.92000000004</v>
      </c>
      <c r="O36" s="1116">
        <v>27792.57</v>
      </c>
      <c r="P36" s="1116">
        <v>0</v>
      </c>
      <c r="Q36" s="1116">
        <v>0</v>
      </c>
      <c r="R36" s="1116">
        <v>238995.67</v>
      </c>
      <c r="S36" s="1116">
        <v>58259.86</v>
      </c>
      <c r="T36" s="1116">
        <v>325048.09999999998</v>
      </c>
    </row>
    <row r="37" spans="1:20" ht="15" customHeight="1">
      <c r="A37" s="1092" t="s">
        <v>85</v>
      </c>
      <c r="B37" s="1093" t="s">
        <v>330</v>
      </c>
      <c r="C37" s="1473" t="s">
        <v>272</v>
      </c>
      <c r="D37" s="1094">
        <f t="shared" si="1"/>
        <v>676457.75</v>
      </c>
      <c r="E37" s="1095">
        <f t="shared" si="2"/>
        <v>246727.06</v>
      </c>
      <c r="F37" s="1096">
        <f t="shared" si="3"/>
        <v>749184.41</v>
      </c>
      <c r="G37" s="1097">
        <f t="shared" si="4"/>
        <v>725033.84000000008</v>
      </c>
      <c r="H37" s="1096">
        <f t="shared" si="4"/>
        <v>24150.57</v>
      </c>
      <c r="I37" s="1116">
        <v>610351.74</v>
      </c>
      <c r="J37" s="1116">
        <v>0</v>
      </c>
      <c r="K37" s="1116">
        <v>246727.06</v>
      </c>
      <c r="L37" s="1116">
        <v>157212.70000000001</v>
      </c>
      <c r="M37" s="1116">
        <v>21208.83</v>
      </c>
      <c r="N37" s="1116">
        <v>1035500.33</v>
      </c>
      <c r="O37" s="1116">
        <v>66106.009999999995</v>
      </c>
      <c r="P37" s="1116">
        <v>0</v>
      </c>
      <c r="Q37" s="1116">
        <v>0</v>
      </c>
      <c r="R37" s="1116">
        <v>567821.14</v>
      </c>
      <c r="S37" s="1116">
        <v>2941.74</v>
      </c>
      <c r="T37" s="1116">
        <v>636868.89</v>
      </c>
    </row>
    <row r="38" spans="1:20" ht="15" customHeight="1">
      <c r="A38" s="1092" t="s">
        <v>87</v>
      </c>
      <c r="B38" s="1093" t="s">
        <v>88</v>
      </c>
      <c r="C38" s="1473" t="s">
        <v>274</v>
      </c>
      <c r="D38" s="1094">
        <f t="shared" si="1"/>
        <v>639884.64</v>
      </c>
      <c r="E38" s="1095">
        <f t="shared" si="2"/>
        <v>214628.44</v>
      </c>
      <c r="F38" s="1096">
        <f t="shared" si="3"/>
        <v>1092950.6299999999</v>
      </c>
      <c r="G38" s="1097">
        <f t="shared" si="4"/>
        <v>1091101.72</v>
      </c>
      <c r="H38" s="1096">
        <f t="shared" si="4"/>
        <v>1848.91</v>
      </c>
      <c r="I38" s="1116">
        <v>529067.24</v>
      </c>
      <c r="J38" s="1116">
        <v>0</v>
      </c>
      <c r="K38" s="1116">
        <v>214628.44</v>
      </c>
      <c r="L38" s="1116">
        <v>136416.42000000001</v>
      </c>
      <c r="M38" s="1116">
        <v>660</v>
      </c>
      <c r="N38" s="1116">
        <v>880772.1</v>
      </c>
      <c r="O38" s="1116">
        <v>110817.4</v>
      </c>
      <c r="P38" s="1116">
        <v>0</v>
      </c>
      <c r="Q38" s="1116">
        <v>0</v>
      </c>
      <c r="R38" s="1116">
        <v>954685.3</v>
      </c>
      <c r="S38" s="1116">
        <v>1188.9100000000001</v>
      </c>
      <c r="T38" s="1116">
        <v>1066691.6100000001</v>
      </c>
    </row>
    <row r="39" spans="1:20" ht="15" customHeight="1">
      <c r="A39" s="1092" t="s">
        <v>93</v>
      </c>
      <c r="B39" s="1093" t="s">
        <v>94</v>
      </c>
      <c r="C39" s="1473" t="s">
        <v>275</v>
      </c>
      <c r="D39" s="1094">
        <f t="shared" si="1"/>
        <v>342316.76</v>
      </c>
      <c r="E39" s="1095">
        <f t="shared" si="2"/>
        <v>138375.28</v>
      </c>
      <c r="F39" s="1096">
        <f t="shared" si="3"/>
        <v>91495.85</v>
      </c>
      <c r="G39" s="1097">
        <f t="shared" si="4"/>
        <v>88171.71</v>
      </c>
      <c r="H39" s="1096">
        <f t="shared" si="4"/>
        <v>3324.14</v>
      </c>
      <c r="I39" s="1116">
        <v>342316.76</v>
      </c>
      <c r="J39" s="1116">
        <v>0</v>
      </c>
      <c r="K39" s="1116">
        <v>138375.28</v>
      </c>
      <c r="L39" s="1116">
        <v>88171.71</v>
      </c>
      <c r="M39" s="1116">
        <v>3324.14</v>
      </c>
      <c r="N39" s="1116">
        <v>572187.89</v>
      </c>
      <c r="O39" s="1117"/>
      <c r="P39" s="1117"/>
      <c r="Q39" s="1117"/>
      <c r="R39" s="1117"/>
      <c r="S39" s="1117"/>
      <c r="T39" s="1117"/>
    </row>
    <row r="40" spans="1:20" ht="15" customHeight="1">
      <c r="A40" s="1092" t="s">
        <v>95</v>
      </c>
      <c r="B40" s="1093" t="s">
        <v>96</v>
      </c>
      <c r="C40" s="1473" t="s">
        <v>271</v>
      </c>
      <c r="D40" s="1094">
        <f t="shared" si="1"/>
        <v>484895.15</v>
      </c>
      <c r="E40" s="1095">
        <f t="shared" si="2"/>
        <v>183215.43</v>
      </c>
      <c r="F40" s="1096">
        <f t="shared" si="3"/>
        <v>381751.33999999997</v>
      </c>
      <c r="G40" s="1097">
        <f t="shared" si="4"/>
        <v>380182.66</v>
      </c>
      <c r="H40" s="1096">
        <f t="shared" si="4"/>
        <v>1568.6799999999998</v>
      </c>
      <c r="I40" s="1116">
        <v>453367.69</v>
      </c>
      <c r="J40" s="1116">
        <v>0</v>
      </c>
      <c r="K40" s="1116">
        <v>183215.43</v>
      </c>
      <c r="L40" s="1116">
        <v>116766.19</v>
      </c>
      <c r="M40" s="1116">
        <v>1572.37</v>
      </c>
      <c r="N40" s="1116">
        <v>754921.68</v>
      </c>
      <c r="O40" s="1116">
        <v>31527.46</v>
      </c>
      <c r="P40" s="1116">
        <v>0</v>
      </c>
      <c r="Q40" s="1116">
        <v>0</v>
      </c>
      <c r="R40" s="1116">
        <v>263416.46999999997</v>
      </c>
      <c r="S40" s="1116">
        <v>-3.69</v>
      </c>
      <c r="T40" s="1116">
        <v>294940.24</v>
      </c>
    </row>
    <row r="41" spans="1:20" ht="15" customHeight="1">
      <c r="A41" s="1092" t="s">
        <v>97</v>
      </c>
      <c r="B41" s="1093" t="s">
        <v>98</v>
      </c>
      <c r="C41" s="1473" t="s">
        <v>273</v>
      </c>
      <c r="D41" s="1094">
        <f t="shared" si="1"/>
        <v>254977.96000000002</v>
      </c>
      <c r="E41" s="1095">
        <f t="shared" si="2"/>
        <v>88665.37</v>
      </c>
      <c r="F41" s="1096">
        <f t="shared" si="3"/>
        <v>393591.82999999996</v>
      </c>
      <c r="G41" s="1097">
        <f t="shared" si="4"/>
        <v>369432.23</v>
      </c>
      <c r="H41" s="1096">
        <f t="shared" si="4"/>
        <v>24159.599999999999</v>
      </c>
      <c r="I41" s="1116">
        <v>218718.64</v>
      </c>
      <c r="J41" s="1116">
        <v>0</v>
      </c>
      <c r="K41" s="1116">
        <v>88665.37</v>
      </c>
      <c r="L41" s="1116">
        <v>56381.56</v>
      </c>
      <c r="M41" s="1116">
        <v>24159.919999999998</v>
      </c>
      <c r="N41" s="1116">
        <v>387925.49</v>
      </c>
      <c r="O41" s="1116">
        <v>36259.32</v>
      </c>
      <c r="P41" s="1116">
        <v>0</v>
      </c>
      <c r="Q41" s="1116">
        <v>0</v>
      </c>
      <c r="R41" s="1116">
        <v>313050.67</v>
      </c>
      <c r="S41" s="1116">
        <v>-0.32</v>
      </c>
      <c r="T41" s="1116">
        <v>349309.67</v>
      </c>
    </row>
    <row r="42" spans="1:20" ht="15" customHeight="1">
      <c r="A42" s="1092" t="s">
        <v>99</v>
      </c>
      <c r="B42" s="1093" t="s">
        <v>100</v>
      </c>
      <c r="C42" s="1473" t="s">
        <v>275</v>
      </c>
      <c r="D42" s="1094">
        <f t="shared" si="1"/>
        <v>331905.68</v>
      </c>
      <c r="E42" s="1095">
        <f t="shared" si="2"/>
        <v>134028.09</v>
      </c>
      <c r="F42" s="1096">
        <f t="shared" si="3"/>
        <v>104523.15999999999</v>
      </c>
      <c r="G42" s="1097">
        <f t="shared" si="4"/>
        <v>89214.819999999992</v>
      </c>
      <c r="H42" s="1096">
        <f t="shared" si="4"/>
        <v>15308.34</v>
      </c>
      <c r="I42" s="1116">
        <v>331454.51</v>
      </c>
      <c r="J42" s="1116">
        <v>0</v>
      </c>
      <c r="K42" s="1116">
        <v>134028.09</v>
      </c>
      <c r="L42" s="1116">
        <v>85381.92</v>
      </c>
      <c r="M42" s="1116">
        <v>15308.51</v>
      </c>
      <c r="N42" s="1116">
        <v>566173.03</v>
      </c>
      <c r="O42" s="1116">
        <v>451.17</v>
      </c>
      <c r="P42" s="1116">
        <v>0</v>
      </c>
      <c r="Q42" s="1116">
        <v>0</v>
      </c>
      <c r="R42" s="1116">
        <v>3832.9</v>
      </c>
      <c r="S42" s="1116">
        <v>-0.17</v>
      </c>
      <c r="T42" s="1116">
        <v>4283.8999999999996</v>
      </c>
    </row>
    <row r="43" spans="1:20" ht="15" customHeight="1">
      <c r="A43" s="1092" t="s">
        <v>101</v>
      </c>
      <c r="B43" s="1093" t="s">
        <v>102</v>
      </c>
      <c r="C43" s="1473" t="s">
        <v>274</v>
      </c>
      <c r="D43" s="1094">
        <f t="shared" si="1"/>
        <v>218781.44</v>
      </c>
      <c r="E43" s="1095">
        <f t="shared" si="2"/>
        <v>78990.22</v>
      </c>
      <c r="F43" s="1096">
        <f t="shared" si="3"/>
        <v>253895.63</v>
      </c>
      <c r="G43" s="1097">
        <f t="shared" si="4"/>
        <v>253303.67999999999</v>
      </c>
      <c r="H43" s="1096">
        <f t="shared" si="4"/>
        <v>591.94999999999993</v>
      </c>
      <c r="I43" s="1116">
        <v>195199.28</v>
      </c>
      <c r="J43" s="1116">
        <v>0</v>
      </c>
      <c r="K43" s="1116">
        <v>78990.22</v>
      </c>
      <c r="L43" s="1116">
        <v>50293.81</v>
      </c>
      <c r="M43" s="1116">
        <v>570.05999999999995</v>
      </c>
      <c r="N43" s="1116">
        <v>325053.37</v>
      </c>
      <c r="O43" s="1116">
        <v>23582.16</v>
      </c>
      <c r="P43" s="1116">
        <v>0</v>
      </c>
      <c r="Q43" s="1116">
        <v>0</v>
      </c>
      <c r="R43" s="1116">
        <v>203009.87</v>
      </c>
      <c r="S43" s="1116">
        <v>21.89</v>
      </c>
      <c r="T43" s="1116">
        <v>226613.92</v>
      </c>
    </row>
    <row r="44" spans="1:20" ht="15" customHeight="1">
      <c r="A44" s="1092" t="s">
        <v>103</v>
      </c>
      <c r="B44" s="1093" t="s">
        <v>104</v>
      </c>
      <c r="C44" s="1473" t="s">
        <v>271</v>
      </c>
      <c r="D44" s="1094">
        <f t="shared" si="1"/>
        <v>429783.77</v>
      </c>
      <c r="E44" s="1095">
        <f t="shared" si="2"/>
        <v>173598.64</v>
      </c>
      <c r="F44" s="1096">
        <f t="shared" si="3"/>
        <v>117606.22</v>
      </c>
      <c r="G44" s="1097">
        <f t="shared" si="4"/>
        <v>113842.55</v>
      </c>
      <c r="H44" s="1096">
        <f t="shared" si="4"/>
        <v>3763.67</v>
      </c>
      <c r="I44" s="1116">
        <v>429403</v>
      </c>
      <c r="J44" s="1116">
        <v>0</v>
      </c>
      <c r="K44" s="1116">
        <v>173598.64</v>
      </c>
      <c r="L44" s="1116">
        <v>110607.36</v>
      </c>
      <c r="M44" s="1116">
        <v>3763.71</v>
      </c>
      <c r="N44" s="1116">
        <v>717372.71</v>
      </c>
      <c r="O44" s="1116">
        <v>380.77</v>
      </c>
      <c r="P44" s="1116">
        <v>0</v>
      </c>
      <c r="Q44" s="1116">
        <v>0</v>
      </c>
      <c r="R44" s="1116">
        <v>3235.19</v>
      </c>
      <c r="S44" s="1116">
        <v>-0.04</v>
      </c>
      <c r="T44" s="1116">
        <v>3615.92</v>
      </c>
    </row>
    <row r="45" spans="1:20" ht="15" customHeight="1">
      <c r="A45" s="1092" t="s">
        <v>105</v>
      </c>
      <c r="B45" s="1093" t="s">
        <v>331</v>
      </c>
      <c r="C45" s="1473" t="s">
        <v>272</v>
      </c>
      <c r="D45" s="1094">
        <f t="shared" si="1"/>
        <v>806725.22</v>
      </c>
      <c r="E45" s="1095">
        <f t="shared" si="2"/>
        <v>322434.61</v>
      </c>
      <c r="F45" s="1096">
        <f t="shared" si="3"/>
        <v>342501.92</v>
      </c>
      <c r="G45" s="1097">
        <f t="shared" si="4"/>
        <v>286275.58999999997</v>
      </c>
      <c r="H45" s="1096">
        <f t="shared" si="4"/>
        <v>56226.33</v>
      </c>
      <c r="I45" s="1116">
        <v>797292.25</v>
      </c>
      <c r="J45" s="1116">
        <v>0</v>
      </c>
      <c r="K45" s="1116">
        <v>322434.61</v>
      </c>
      <c r="L45" s="1116">
        <v>205390.18</v>
      </c>
      <c r="M45" s="1116">
        <v>56140.71</v>
      </c>
      <c r="N45" s="1116">
        <v>1381257.75</v>
      </c>
      <c r="O45" s="1116">
        <v>9432.9699999999993</v>
      </c>
      <c r="P45" s="1116">
        <v>0</v>
      </c>
      <c r="Q45" s="1116">
        <v>0</v>
      </c>
      <c r="R45" s="1116">
        <v>80885.41</v>
      </c>
      <c r="S45" s="1116">
        <v>85.62</v>
      </c>
      <c r="T45" s="1116">
        <v>90404</v>
      </c>
    </row>
    <row r="46" spans="1:20" ht="15" customHeight="1">
      <c r="A46" s="1092" t="s">
        <v>109</v>
      </c>
      <c r="B46" s="1093" t="s">
        <v>110</v>
      </c>
      <c r="C46" s="1473" t="s">
        <v>273</v>
      </c>
      <c r="D46" s="1094">
        <f t="shared" si="1"/>
        <v>638459.32000000007</v>
      </c>
      <c r="E46" s="1095">
        <f t="shared" si="2"/>
        <v>230803.92</v>
      </c>
      <c r="F46" s="1096">
        <f t="shared" si="3"/>
        <v>733416.27999999991</v>
      </c>
      <c r="G46" s="1097">
        <f t="shared" si="4"/>
        <v>720539.91999999993</v>
      </c>
      <c r="H46" s="1096">
        <f t="shared" si="4"/>
        <v>12876.359999999999</v>
      </c>
      <c r="I46" s="1116">
        <v>570829.80000000005</v>
      </c>
      <c r="J46" s="1116">
        <v>0</v>
      </c>
      <c r="K46" s="1116">
        <v>230803.92</v>
      </c>
      <c r="L46" s="1116">
        <v>147041.97</v>
      </c>
      <c r="M46" s="1116">
        <v>12880.48</v>
      </c>
      <c r="N46" s="1116">
        <v>961556.17</v>
      </c>
      <c r="O46" s="1116">
        <v>67629.52</v>
      </c>
      <c r="P46" s="1116">
        <v>0</v>
      </c>
      <c r="Q46" s="1116">
        <v>0</v>
      </c>
      <c r="R46" s="1116">
        <v>573497.94999999995</v>
      </c>
      <c r="S46" s="1116">
        <v>-4.12</v>
      </c>
      <c r="T46" s="1116">
        <v>641123.35</v>
      </c>
    </row>
    <row r="47" spans="1:20" ht="15" customHeight="1">
      <c r="A47" s="1092" t="s">
        <v>111</v>
      </c>
      <c r="B47" s="1093" t="s">
        <v>112</v>
      </c>
      <c r="C47" s="1473" t="s">
        <v>273</v>
      </c>
      <c r="D47" s="1094">
        <f t="shared" si="1"/>
        <v>2527466.6799999997</v>
      </c>
      <c r="E47" s="1095">
        <f t="shared" si="2"/>
        <v>922562.39</v>
      </c>
      <c r="F47" s="1096">
        <f t="shared" si="3"/>
        <v>2688528.8500000006</v>
      </c>
      <c r="G47" s="1097">
        <f t="shared" si="4"/>
        <v>2616580.4000000004</v>
      </c>
      <c r="H47" s="1096">
        <f t="shared" si="4"/>
        <v>71948.45</v>
      </c>
      <c r="I47" s="1116">
        <v>2286684.59</v>
      </c>
      <c r="J47" s="1116">
        <v>0</v>
      </c>
      <c r="K47" s="1116">
        <v>922562.39</v>
      </c>
      <c r="L47" s="1116">
        <v>588672.31000000006</v>
      </c>
      <c r="M47" s="1116">
        <v>63498.27</v>
      </c>
      <c r="N47" s="1116">
        <v>3861417.56</v>
      </c>
      <c r="O47" s="1116">
        <v>240782.09</v>
      </c>
      <c r="P47" s="1116">
        <v>0</v>
      </c>
      <c r="Q47" s="1116">
        <v>0</v>
      </c>
      <c r="R47" s="1116">
        <v>2027908.09</v>
      </c>
      <c r="S47" s="1116">
        <v>8450.18</v>
      </c>
      <c r="T47" s="1116">
        <v>2277140.36</v>
      </c>
    </row>
    <row r="48" spans="1:20" ht="15" customHeight="1">
      <c r="A48" s="1092" t="s">
        <v>113</v>
      </c>
      <c r="B48" s="1093" t="s">
        <v>310</v>
      </c>
      <c r="C48" s="1473" t="s">
        <v>272</v>
      </c>
      <c r="D48" s="1094">
        <f t="shared" si="1"/>
        <v>1160901.72</v>
      </c>
      <c r="E48" s="1095">
        <f t="shared" si="2"/>
        <v>469430.27</v>
      </c>
      <c r="F48" s="1096">
        <f t="shared" si="3"/>
        <v>326337.46000000002</v>
      </c>
      <c r="G48" s="1097">
        <f t="shared" si="4"/>
        <v>299050.59000000003</v>
      </c>
      <c r="H48" s="1096">
        <f t="shared" si="4"/>
        <v>27286.87</v>
      </c>
      <c r="I48" s="1116">
        <v>1160901.72</v>
      </c>
      <c r="J48" s="1116">
        <v>0</v>
      </c>
      <c r="K48" s="1116">
        <v>469430.27</v>
      </c>
      <c r="L48" s="1116">
        <v>299050.59000000003</v>
      </c>
      <c r="M48" s="1116">
        <v>27286.87</v>
      </c>
      <c r="N48" s="1116">
        <v>1956669.45</v>
      </c>
      <c r="O48" s="1117"/>
      <c r="P48" s="1117"/>
      <c r="Q48" s="1117"/>
      <c r="R48" s="1117"/>
      <c r="S48" s="1117"/>
      <c r="T48" s="1117"/>
    </row>
    <row r="49" spans="1:20" ht="15" customHeight="1">
      <c r="A49" s="1092" t="s">
        <v>115</v>
      </c>
      <c r="B49" s="1093" t="s">
        <v>116</v>
      </c>
      <c r="C49" s="1473" t="s">
        <v>272</v>
      </c>
      <c r="D49" s="1094">
        <f t="shared" si="1"/>
        <v>24392.03</v>
      </c>
      <c r="E49" s="1095">
        <f t="shared" si="2"/>
        <v>9861.57</v>
      </c>
      <c r="F49" s="1096">
        <f t="shared" si="3"/>
        <v>7087.28</v>
      </c>
      <c r="G49" s="1097">
        <f t="shared" si="4"/>
        <v>6282</v>
      </c>
      <c r="H49" s="1096">
        <f t="shared" si="4"/>
        <v>805.28</v>
      </c>
      <c r="I49" s="1116">
        <v>24392.03</v>
      </c>
      <c r="J49" s="1116">
        <v>0</v>
      </c>
      <c r="K49" s="1116">
        <v>9861.57</v>
      </c>
      <c r="L49" s="1116">
        <v>6282</v>
      </c>
      <c r="M49" s="1116">
        <v>805.28</v>
      </c>
      <c r="N49" s="1116">
        <v>41340.879999999997</v>
      </c>
      <c r="O49" s="1117"/>
      <c r="P49" s="1117"/>
      <c r="Q49" s="1117"/>
      <c r="R49" s="1117"/>
      <c r="S49" s="1117"/>
      <c r="T49" s="1117"/>
    </row>
    <row r="50" spans="1:20" ht="15" customHeight="1">
      <c r="A50" s="1092" t="s">
        <v>119</v>
      </c>
      <c r="B50" s="1093" t="s">
        <v>120</v>
      </c>
      <c r="C50" s="1473" t="s">
        <v>271</v>
      </c>
      <c r="D50" s="1094">
        <f t="shared" si="1"/>
        <v>674279.1</v>
      </c>
      <c r="E50" s="1095">
        <f t="shared" si="2"/>
        <v>259218.1</v>
      </c>
      <c r="F50" s="1096">
        <f t="shared" si="3"/>
        <v>484481.99</v>
      </c>
      <c r="G50" s="1097">
        <f t="shared" si="4"/>
        <v>433247.63</v>
      </c>
      <c r="H50" s="1096">
        <f t="shared" si="4"/>
        <v>51234.36</v>
      </c>
      <c r="I50" s="1116">
        <v>642350.99</v>
      </c>
      <c r="J50" s="1116">
        <v>0</v>
      </c>
      <c r="K50" s="1116">
        <v>259218.1</v>
      </c>
      <c r="L50" s="1116">
        <v>165374.57</v>
      </c>
      <c r="M50" s="1116">
        <v>51237.38</v>
      </c>
      <c r="N50" s="1116">
        <v>1118181.04</v>
      </c>
      <c r="O50" s="1116">
        <v>31928.11</v>
      </c>
      <c r="P50" s="1116">
        <v>0</v>
      </c>
      <c r="Q50" s="1116">
        <v>0</v>
      </c>
      <c r="R50" s="1116">
        <v>267873.06</v>
      </c>
      <c r="S50" s="1116">
        <v>-3.02</v>
      </c>
      <c r="T50" s="1116">
        <v>299798.15000000002</v>
      </c>
    </row>
    <row r="51" spans="1:20" ht="15" customHeight="1">
      <c r="A51" s="1092" t="s">
        <v>121</v>
      </c>
      <c r="B51" s="1093" t="s">
        <v>122</v>
      </c>
      <c r="C51" s="1473" t="s">
        <v>271</v>
      </c>
      <c r="D51" s="1094">
        <f t="shared" si="1"/>
        <v>689453.37</v>
      </c>
      <c r="E51" s="1095">
        <f t="shared" si="2"/>
        <v>240720.21</v>
      </c>
      <c r="F51" s="1096">
        <f t="shared" si="3"/>
        <v>1177676.55</v>
      </c>
      <c r="G51" s="1097">
        <f t="shared" si="4"/>
        <v>962455.61</v>
      </c>
      <c r="H51" s="1096">
        <f t="shared" si="4"/>
        <v>215220.94</v>
      </c>
      <c r="I51" s="1116">
        <v>595325.63</v>
      </c>
      <c r="J51" s="1116">
        <v>0</v>
      </c>
      <c r="K51" s="1116">
        <v>240720.21</v>
      </c>
      <c r="L51" s="1116">
        <v>153354.59</v>
      </c>
      <c r="M51" s="1116">
        <v>217386.51</v>
      </c>
      <c r="N51" s="1116">
        <v>1206786.94</v>
      </c>
      <c r="O51" s="1116">
        <v>94127.74</v>
      </c>
      <c r="P51" s="1116">
        <v>0</v>
      </c>
      <c r="Q51" s="1116">
        <v>0</v>
      </c>
      <c r="R51" s="1116">
        <v>809101.02</v>
      </c>
      <c r="S51" s="1116">
        <v>-2165.5700000000002</v>
      </c>
      <c r="T51" s="1116">
        <v>901063.19</v>
      </c>
    </row>
    <row r="52" spans="1:20" ht="15" customHeight="1">
      <c r="A52" s="1092" t="s">
        <v>123</v>
      </c>
      <c r="B52" s="1093" t="s">
        <v>278</v>
      </c>
      <c r="C52" s="1473" t="s">
        <v>273</v>
      </c>
      <c r="D52" s="1094">
        <f t="shared" si="1"/>
        <v>152397</v>
      </c>
      <c r="E52" s="1095">
        <f t="shared" si="2"/>
        <v>57870.01</v>
      </c>
      <c r="F52" s="1096">
        <f t="shared" si="3"/>
        <v>114403.04999999999</v>
      </c>
      <c r="G52" s="1097">
        <f t="shared" si="4"/>
        <v>113426.4</v>
      </c>
      <c r="H52" s="1096">
        <f t="shared" si="4"/>
        <v>976.65</v>
      </c>
      <c r="I52" s="1116">
        <v>143397.88</v>
      </c>
      <c r="J52" s="1116">
        <v>0</v>
      </c>
      <c r="K52" s="1116">
        <v>57870.01</v>
      </c>
      <c r="L52" s="1116">
        <v>36917.129999999997</v>
      </c>
      <c r="M52" s="1116">
        <v>681.8</v>
      </c>
      <c r="N52" s="1116">
        <v>238866.82</v>
      </c>
      <c r="O52" s="1116">
        <v>8999.1200000000008</v>
      </c>
      <c r="P52" s="1116">
        <v>0</v>
      </c>
      <c r="Q52" s="1116">
        <v>0</v>
      </c>
      <c r="R52" s="1116">
        <v>76509.27</v>
      </c>
      <c r="S52" s="1116">
        <v>294.85000000000002</v>
      </c>
      <c r="T52" s="1116">
        <v>85803.24</v>
      </c>
    </row>
    <row r="53" spans="1:20" ht="15" customHeight="1">
      <c r="A53" s="1092" t="s">
        <v>125</v>
      </c>
      <c r="B53" s="1093" t="s">
        <v>126</v>
      </c>
      <c r="C53" s="1473" t="s">
        <v>274</v>
      </c>
      <c r="D53" s="1094">
        <f t="shared" si="1"/>
        <v>230069.8</v>
      </c>
      <c r="E53" s="1095">
        <f t="shared" si="2"/>
        <v>82116.12</v>
      </c>
      <c r="F53" s="1096">
        <f t="shared" si="3"/>
        <v>401466.04000000004</v>
      </c>
      <c r="G53" s="1097">
        <f t="shared" si="4"/>
        <v>283086.94</v>
      </c>
      <c r="H53" s="1096">
        <f t="shared" si="4"/>
        <v>118379.1</v>
      </c>
      <c r="I53" s="1116">
        <v>202984.36</v>
      </c>
      <c r="J53" s="1116">
        <v>0</v>
      </c>
      <c r="K53" s="1116">
        <v>82116.12</v>
      </c>
      <c r="L53" s="1116">
        <v>52294.51</v>
      </c>
      <c r="M53" s="1116">
        <v>112360.16</v>
      </c>
      <c r="N53" s="1116">
        <v>449755.15</v>
      </c>
      <c r="O53" s="1116">
        <v>27085.439999999999</v>
      </c>
      <c r="P53" s="1116">
        <v>0</v>
      </c>
      <c r="Q53" s="1116">
        <v>0</v>
      </c>
      <c r="R53" s="1116">
        <v>230792.43</v>
      </c>
      <c r="S53" s="1116">
        <v>6018.94</v>
      </c>
      <c r="T53" s="1116">
        <v>263896.81</v>
      </c>
    </row>
    <row r="54" spans="1:20" ht="15" customHeight="1">
      <c r="A54" s="1092" t="s">
        <v>127</v>
      </c>
      <c r="B54" s="1093" t="s">
        <v>128</v>
      </c>
      <c r="C54" s="1473" t="s">
        <v>273</v>
      </c>
      <c r="D54" s="1094">
        <f t="shared" si="1"/>
        <v>159414.11000000002</v>
      </c>
      <c r="E54" s="1095">
        <f t="shared" si="2"/>
        <v>59698.38</v>
      </c>
      <c r="F54" s="1096">
        <f t="shared" si="3"/>
        <v>141524.68</v>
      </c>
      <c r="G54" s="1097">
        <f t="shared" si="4"/>
        <v>135914.25</v>
      </c>
      <c r="H54" s="1096">
        <f t="shared" si="4"/>
        <v>5610.43</v>
      </c>
      <c r="I54" s="1116">
        <v>147859.73000000001</v>
      </c>
      <c r="J54" s="1116">
        <v>0</v>
      </c>
      <c r="K54" s="1116">
        <v>59698.38</v>
      </c>
      <c r="L54" s="1116">
        <v>38070.15</v>
      </c>
      <c r="M54" s="1116">
        <v>4511.71</v>
      </c>
      <c r="N54" s="1116">
        <v>250139.97</v>
      </c>
      <c r="O54" s="1116">
        <v>11554.38</v>
      </c>
      <c r="P54" s="1116">
        <v>0</v>
      </c>
      <c r="Q54" s="1116">
        <v>0</v>
      </c>
      <c r="R54" s="1116">
        <v>97844.1</v>
      </c>
      <c r="S54" s="1116">
        <v>1098.72</v>
      </c>
      <c r="T54" s="1116">
        <v>110497.2</v>
      </c>
    </row>
    <row r="55" spans="1:20" ht="15" customHeight="1">
      <c r="A55" s="1092" t="s">
        <v>129</v>
      </c>
      <c r="B55" s="1093" t="s">
        <v>130</v>
      </c>
      <c r="C55" s="1473" t="s">
        <v>273</v>
      </c>
      <c r="D55" s="1094">
        <f t="shared" si="1"/>
        <v>227097.06000000003</v>
      </c>
      <c r="E55" s="1095">
        <f t="shared" si="2"/>
        <v>90792.95</v>
      </c>
      <c r="F55" s="1096">
        <f t="shared" si="3"/>
        <v>110081.87999999999</v>
      </c>
      <c r="G55" s="1097">
        <f t="shared" si="4"/>
        <v>78477.899999999994</v>
      </c>
      <c r="H55" s="1096">
        <f t="shared" si="4"/>
        <v>31603.98</v>
      </c>
      <c r="I55" s="1116">
        <v>224611.64</v>
      </c>
      <c r="J55" s="1116">
        <v>0</v>
      </c>
      <c r="K55" s="1116">
        <v>90792.95</v>
      </c>
      <c r="L55" s="1116">
        <v>57853.440000000002</v>
      </c>
      <c r="M55" s="1116">
        <v>31604.25</v>
      </c>
      <c r="N55" s="1116">
        <v>404862.28</v>
      </c>
      <c r="O55" s="1116">
        <v>2485.42</v>
      </c>
      <c r="P55" s="1116">
        <v>0</v>
      </c>
      <c r="Q55" s="1116">
        <v>0</v>
      </c>
      <c r="R55" s="1116">
        <v>20624.46</v>
      </c>
      <c r="S55" s="1116">
        <v>-0.27</v>
      </c>
      <c r="T55" s="1116">
        <v>23109.61</v>
      </c>
    </row>
    <row r="56" spans="1:20" ht="15" customHeight="1">
      <c r="A56" s="1092" t="s">
        <v>131</v>
      </c>
      <c r="B56" s="1093" t="s">
        <v>132</v>
      </c>
      <c r="C56" s="1473" t="s">
        <v>275</v>
      </c>
      <c r="D56" s="1094">
        <f t="shared" si="1"/>
        <v>861668.48</v>
      </c>
      <c r="E56" s="1095">
        <f t="shared" si="2"/>
        <v>348439.93</v>
      </c>
      <c r="F56" s="1096">
        <f t="shared" si="3"/>
        <v>226231.96</v>
      </c>
      <c r="G56" s="1097">
        <f t="shared" si="4"/>
        <v>221968.03</v>
      </c>
      <c r="H56" s="1096">
        <f t="shared" si="4"/>
        <v>4263.93</v>
      </c>
      <c r="I56" s="1116">
        <v>861668.48</v>
      </c>
      <c r="J56" s="1116">
        <v>0</v>
      </c>
      <c r="K56" s="1116">
        <v>348439.93</v>
      </c>
      <c r="L56" s="1116">
        <v>221968.03</v>
      </c>
      <c r="M56" s="1116">
        <v>4263.93</v>
      </c>
      <c r="N56" s="1116">
        <v>1436340.37</v>
      </c>
      <c r="O56" s="1117"/>
      <c r="P56" s="1117"/>
      <c r="Q56" s="1117"/>
      <c r="R56" s="1117"/>
      <c r="S56" s="1117"/>
      <c r="T56" s="1117"/>
    </row>
    <row r="57" spans="1:20" ht="15" customHeight="1">
      <c r="A57" s="1092" t="s">
        <v>133</v>
      </c>
      <c r="B57" s="1093" t="s">
        <v>134</v>
      </c>
      <c r="C57" s="1473" t="s">
        <v>274</v>
      </c>
      <c r="D57" s="1094">
        <f t="shared" si="1"/>
        <v>1482228.7</v>
      </c>
      <c r="E57" s="1095">
        <f t="shared" si="2"/>
        <v>386207.44</v>
      </c>
      <c r="F57" s="1096">
        <f t="shared" si="3"/>
        <v>4834424.3099999996</v>
      </c>
      <c r="G57" s="1097">
        <f t="shared" si="4"/>
        <v>4737270.0999999996</v>
      </c>
      <c r="H57" s="1096">
        <f t="shared" si="4"/>
        <v>97154.21</v>
      </c>
      <c r="I57" s="1116">
        <v>952653.51</v>
      </c>
      <c r="J57" s="1116">
        <v>0</v>
      </c>
      <c r="K57" s="1116">
        <v>386207.44</v>
      </c>
      <c r="L57" s="1116">
        <v>245588.47</v>
      </c>
      <c r="M57" s="1116">
        <v>97168.13</v>
      </c>
      <c r="N57" s="1116">
        <v>1681617.55</v>
      </c>
      <c r="O57" s="1116">
        <v>529575.18999999994</v>
      </c>
      <c r="P57" s="1116">
        <v>0</v>
      </c>
      <c r="Q57" s="1116">
        <v>0</v>
      </c>
      <c r="R57" s="1116">
        <v>4491681.63</v>
      </c>
      <c r="S57" s="1116">
        <v>-13.92</v>
      </c>
      <c r="T57" s="1116">
        <v>5021242.9000000004</v>
      </c>
    </row>
    <row r="58" spans="1:20" ht="15" customHeight="1">
      <c r="A58" s="1092" t="s">
        <v>135</v>
      </c>
      <c r="B58" s="1093" t="s">
        <v>136</v>
      </c>
      <c r="C58" s="1473" t="s">
        <v>274</v>
      </c>
      <c r="D58" s="1094">
        <f t="shared" si="1"/>
        <v>457863.99</v>
      </c>
      <c r="E58" s="1095">
        <f t="shared" si="2"/>
        <v>159158.39000000001</v>
      </c>
      <c r="F58" s="1096">
        <f t="shared" si="3"/>
        <v>670024.34</v>
      </c>
      <c r="G58" s="1097">
        <f t="shared" si="4"/>
        <v>667569.76</v>
      </c>
      <c r="H58" s="1096">
        <f t="shared" si="4"/>
        <v>2454.58</v>
      </c>
      <c r="I58" s="1116">
        <v>392220.83</v>
      </c>
      <c r="J58" s="1116">
        <v>0</v>
      </c>
      <c r="K58" s="1116">
        <v>159158.39000000001</v>
      </c>
      <c r="L58" s="1116">
        <v>101137.73</v>
      </c>
      <c r="M58" s="1116">
        <v>687.01</v>
      </c>
      <c r="N58" s="1116">
        <v>653203.96</v>
      </c>
      <c r="O58" s="1116">
        <v>65643.16</v>
      </c>
      <c r="P58" s="1116">
        <v>0</v>
      </c>
      <c r="Q58" s="1116">
        <v>0</v>
      </c>
      <c r="R58" s="1116">
        <v>566432.03</v>
      </c>
      <c r="S58" s="1116">
        <v>1767.57</v>
      </c>
      <c r="T58" s="1116">
        <v>633842.76</v>
      </c>
    </row>
    <row r="59" spans="1:20" ht="15" customHeight="1">
      <c r="A59" s="1092" t="s">
        <v>137</v>
      </c>
      <c r="B59" s="1093" t="s">
        <v>138</v>
      </c>
      <c r="C59" s="1473" t="s">
        <v>273</v>
      </c>
      <c r="D59" s="1094">
        <f t="shared" si="1"/>
        <v>155924.50999999998</v>
      </c>
      <c r="E59" s="1095">
        <f t="shared" si="2"/>
        <v>62673.83</v>
      </c>
      <c r="F59" s="1096">
        <f t="shared" si="3"/>
        <v>50276.82</v>
      </c>
      <c r="G59" s="1097">
        <f t="shared" si="4"/>
        <v>46883.54</v>
      </c>
      <c r="H59" s="1096">
        <f t="shared" si="4"/>
        <v>3393.2799999999997</v>
      </c>
      <c r="I59" s="1116">
        <v>155107.85999999999</v>
      </c>
      <c r="J59" s="1116">
        <v>0</v>
      </c>
      <c r="K59" s="1116">
        <v>62673.83</v>
      </c>
      <c r="L59" s="1116">
        <v>39944.79</v>
      </c>
      <c r="M59" s="1116">
        <v>3371.74</v>
      </c>
      <c r="N59" s="1116">
        <v>261098.22</v>
      </c>
      <c r="O59" s="1116">
        <v>816.65</v>
      </c>
      <c r="P59" s="1116">
        <v>0</v>
      </c>
      <c r="Q59" s="1116">
        <v>0</v>
      </c>
      <c r="R59" s="1116">
        <v>6938.75</v>
      </c>
      <c r="S59" s="1116">
        <v>21.54</v>
      </c>
      <c r="T59" s="1116">
        <v>7776.94</v>
      </c>
    </row>
    <row r="60" spans="1:20" ht="15" customHeight="1">
      <c r="A60" s="1092" t="s">
        <v>141</v>
      </c>
      <c r="B60" s="1093" t="s">
        <v>142</v>
      </c>
      <c r="C60" s="1473" t="s">
        <v>274</v>
      </c>
      <c r="D60" s="1094">
        <f t="shared" si="1"/>
        <v>202779.46</v>
      </c>
      <c r="E60" s="1095">
        <f t="shared" si="2"/>
        <v>76109.149999999994</v>
      </c>
      <c r="F60" s="1096">
        <f t="shared" si="3"/>
        <v>176348.18</v>
      </c>
      <c r="G60" s="1097">
        <f t="shared" si="4"/>
        <v>168524.3</v>
      </c>
      <c r="H60" s="1096">
        <f t="shared" si="4"/>
        <v>7823.88</v>
      </c>
      <c r="I60" s="1116">
        <v>188367.77</v>
      </c>
      <c r="J60" s="1116">
        <v>0</v>
      </c>
      <c r="K60" s="1116">
        <v>76109.149999999994</v>
      </c>
      <c r="L60" s="1116">
        <v>48510.04</v>
      </c>
      <c r="M60" s="1116">
        <v>7826.18</v>
      </c>
      <c r="N60" s="1116">
        <v>320813.14</v>
      </c>
      <c r="O60" s="1116">
        <v>14411.69</v>
      </c>
      <c r="P60" s="1116">
        <v>0</v>
      </c>
      <c r="Q60" s="1116">
        <v>0</v>
      </c>
      <c r="R60" s="1116">
        <v>120014.26</v>
      </c>
      <c r="S60" s="1116">
        <v>-2.2999999999999998</v>
      </c>
      <c r="T60" s="1116">
        <v>134423.65</v>
      </c>
    </row>
    <row r="61" spans="1:20" ht="15" customHeight="1">
      <c r="A61" s="1092" t="s">
        <v>147</v>
      </c>
      <c r="B61" s="1093" t="s">
        <v>148</v>
      </c>
      <c r="C61" s="1473" t="s">
        <v>271</v>
      </c>
      <c r="D61" s="1094">
        <f t="shared" si="1"/>
        <v>152957.79</v>
      </c>
      <c r="E61" s="1095">
        <f t="shared" si="2"/>
        <v>58250.27</v>
      </c>
      <c r="F61" s="1096">
        <f t="shared" si="3"/>
        <v>116317.00000000001</v>
      </c>
      <c r="G61" s="1097">
        <f t="shared" si="4"/>
        <v>111942.26000000001</v>
      </c>
      <c r="H61" s="1096">
        <f t="shared" si="4"/>
        <v>4374.74</v>
      </c>
      <c r="I61" s="1116">
        <v>144092.26</v>
      </c>
      <c r="J61" s="1116">
        <v>0</v>
      </c>
      <c r="K61" s="1116">
        <v>58250.27</v>
      </c>
      <c r="L61" s="1116">
        <v>37113.18</v>
      </c>
      <c r="M61" s="1116">
        <v>4295.88</v>
      </c>
      <c r="N61" s="1116">
        <v>243751.59</v>
      </c>
      <c r="O61" s="1116">
        <v>8865.5300000000007</v>
      </c>
      <c r="P61" s="1116">
        <v>0</v>
      </c>
      <c r="Q61" s="1116">
        <v>0</v>
      </c>
      <c r="R61" s="1116">
        <v>74829.08</v>
      </c>
      <c r="S61" s="1116">
        <v>78.86</v>
      </c>
      <c r="T61" s="1116">
        <v>83773.47</v>
      </c>
    </row>
    <row r="62" spans="1:20" ht="15" customHeight="1">
      <c r="A62" s="1092" t="s">
        <v>149</v>
      </c>
      <c r="B62" s="1093" t="s">
        <v>150</v>
      </c>
      <c r="C62" s="1473" t="s">
        <v>272</v>
      </c>
      <c r="D62" s="1094">
        <f t="shared" si="1"/>
        <v>458890.51</v>
      </c>
      <c r="E62" s="1095">
        <f t="shared" si="2"/>
        <v>183688.11</v>
      </c>
      <c r="F62" s="1096">
        <f t="shared" si="3"/>
        <v>234296.15000000002</v>
      </c>
      <c r="G62" s="1097">
        <f t="shared" si="4"/>
        <v>153740.22</v>
      </c>
      <c r="H62" s="1096">
        <f t="shared" si="4"/>
        <v>80555.930000000008</v>
      </c>
      <c r="I62" s="1116">
        <v>454574.76</v>
      </c>
      <c r="J62" s="1116">
        <v>0</v>
      </c>
      <c r="K62" s="1116">
        <v>183688.11</v>
      </c>
      <c r="L62" s="1116">
        <v>117074.94</v>
      </c>
      <c r="M62" s="1116">
        <v>80557.350000000006</v>
      </c>
      <c r="N62" s="1116">
        <v>835895.16</v>
      </c>
      <c r="O62" s="1116">
        <v>4315.75</v>
      </c>
      <c r="P62" s="1116">
        <v>0</v>
      </c>
      <c r="Q62" s="1116">
        <v>0</v>
      </c>
      <c r="R62" s="1116">
        <v>36665.279999999999</v>
      </c>
      <c r="S62" s="1116">
        <v>-1.42</v>
      </c>
      <c r="T62" s="1116">
        <v>40979.61</v>
      </c>
    </row>
    <row r="63" spans="1:20" ht="15" customHeight="1">
      <c r="A63" s="1092" t="s">
        <v>151</v>
      </c>
      <c r="B63" s="1093" t="s">
        <v>152</v>
      </c>
      <c r="C63" s="1473" t="s">
        <v>273</v>
      </c>
      <c r="D63" s="1094">
        <f t="shared" si="1"/>
        <v>181313.8</v>
      </c>
      <c r="E63" s="1095">
        <f t="shared" si="2"/>
        <v>72701.97</v>
      </c>
      <c r="F63" s="1096">
        <f t="shared" si="3"/>
        <v>68007.11</v>
      </c>
      <c r="G63" s="1097">
        <f t="shared" si="4"/>
        <v>58511.56</v>
      </c>
      <c r="H63" s="1096">
        <f t="shared" si="4"/>
        <v>9495.5500000000011</v>
      </c>
      <c r="I63" s="1116">
        <v>179890.59</v>
      </c>
      <c r="J63" s="1116">
        <v>0</v>
      </c>
      <c r="K63" s="1116">
        <v>72701.97</v>
      </c>
      <c r="L63" s="1116">
        <v>46330.27</v>
      </c>
      <c r="M63" s="1116">
        <v>9496.8700000000008</v>
      </c>
      <c r="N63" s="1116">
        <v>308419.7</v>
      </c>
      <c r="O63" s="1116">
        <v>1423.21</v>
      </c>
      <c r="P63" s="1116">
        <v>0</v>
      </c>
      <c r="Q63" s="1116">
        <v>0</v>
      </c>
      <c r="R63" s="1116">
        <v>12181.29</v>
      </c>
      <c r="S63" s="1116">
        <v>-1.32</v>
      </c>
      <c r="T63" s="1116">
        <v>13603.18</v>
      </c>
    </row>
    <row r="64" spans="1:20" ht="15" customHeight="1">
      <c r="A64" s="1092" t="s">
        <v>153</v>
      </c>
      <c r="B64" s="1093" t="s">
        <v>154</v>
      </c>
      <c r="C64" s="1473" t="s">
        <v>275</v>
      </c>
      <c r="D64" s="1094">
        <f t="shared" si="1"/>
        <v>962443.62</v>
      </c>
      <c r="E64" s="1095">
        <f t="shared" si="2"/>
        <v>389070.52</v>
      </c>
      <c r="F64" s="1096">
        <f t="shared" si="3"/>
        <v>258044.56</v>
      </c>
      <c r="G64" s="1097">
        <f t="shared" si="4"/>
        <v>247907.53</v>
      </c>
      <c r="H64" s="1096">
        <f t="shared" si="4"/>
        <v>10137.030000000001</v>
      </c>
      <c r="I64" s="1116">
        <v>962443.62</v>
      </c>
      <c r="J64" s="1116">
        <v>0</v>
      </c>
      <c r="K64" s="1116">
        <v>389070.52</v>
      </c>
      <c r="L64" s="1116">
        <v>247907.53</v>
      </c>
      <c r="M64" s="1116">
        <v>10137.030000000001</v>
      </c>
      <c r="N64" s="1116">
        <v>1609558.7</v>
      </c>
      <c r="O64" s="1117"/>
      <c r="P64" s="1117"/>
      <c r="Q64" s="1117"/>
      <c r="R64" s="1117"/>
      <c r="S64" s="1117"/>
      <c r="T64" s="1117"/>
    </row>
    <row r="65" spans="1:20" ht="15" customHeight="1">
      <c r="A65" s="1092" t="s">
        <v>155</v>
      </c>
      <c r="B65" s="1093" t="s">
        <v>156</v>
      </c>
      <c r="C65" s="1473" t="s">
        <v>272</v>
      </c>
      <c r="D65" s="1094">
        <f t="shared" si="1"/>
        <v>185344.29</v>
      </c>
      <c r="E65" s="1095">
        <f t="shared" si="2"/>
        <v>73321.53</v>
      </c>
      <c r="F65" s="1096">
        <f t="shared" si="3"/>
        <v>87266.16</v>
      </c>
      <c r="G65" s="1097">
        <f t="shared" si="4"/>
        <v>79399.44</v>
      </c>
      <c r="H65" s="1096">
        <f t="shared" si="4"/>
        <v>7866.72</v>
      </c>
      <c r="I65" s="1116">
        <v>181499.85</v>
      </c>
      <c r="J65" s="1116">
        <v>0</v>
      </c>
      <c r="K65" s="1116">
        <v>73321.53</v>
      </c>
      <c r="L65" s="1116">
        <v>46739.18</v>
      </c>
      <c r="M65" s="1116">
        <v>7868.2</v>
      </c>
      <c r="N65" s="1116">
        <v>309428.76</v>
      </c>
      <c r="O65" s="1116">
        <v>3844.44</v>
      </c>
      <c r="P65" s="1116">
        <v>0</v>
      </c>
      <c r="Q65" s="1116">
        <v>0</v>
      </c>
      <c r="R65" s="1116">
        <v>32660.26</v>
      </c>
      <c r="S65" s="1116">
        <v>-1.48</v>
      </c>
      <c r="T65" s="1116">
        <v>36503.22</v>
      </c>
    </row>
    <row r="66" spans="1:20" ht="15" customHeight="1">
      <c r="A66" s="1092" t="s">
        <v>157</v>
      </c>
      <c r="B66" s="1093" t="s">
        <v>158</v>
      </c>
      <c r="C66" s="1473" t="s">
        <v>273</v>
      </c>
      <c r="D66" s="1094">
        <f t="shared" si="1"/>
        <v>151292.87999999998</v>
      </c>
      <c r="E66" s="1095">
        <f t="shared" si="2"/>
        <v>56824.25</v>
      </c>
      <c r="F66" s="1096">
        <f t="shared" si="3"/>
        <v>126715.92</v>
      </c>
      <c r="G66" s="1097">
        <f t="shared" si="4"/>
        <v>126676.48</v>
      </c>
      <c r="H66" s="1096">
        <f t="shared" si="4"/>
        <v>39.440000000000005</v>
      </c>
      <c r="I66" s="1116">
        <v>140723.60999999999</v>
      </c>
      <c r="J66" s="1116">
        <v>0</v>
      </c>
      <c r="K66" s="1116">
        <v>56824.25</v>
      </c>
      <c r="L66" s="1116">
        <v>36234.69</v>
      </c>
      <c r="M66" s="1116">
        <v>42.67</v>
      </c>
      <c r="N66" s="1116">
        <v>233825.22</v>
      </c>
      <c r="O66" s="1116">
        <v>10569.27</v>
      </c>
      <c r="P66" s="1116">
        <v>0</v>
      </c>
      <c r="Q66" s="1116">
        <v>0</v>
      </c>
      <c r="R66" s="1116">
        <v>90441.79</v>
      </c>
      <c r="S66" s="1116">
        <v>-3.23</v>
      </c>
      <c r="T66" s="1116">
        <v>101007.83</v>
      </c>
    </row>
    <row r="67" spans="1:20" ht="15" customHeight="1">
      <c r="A67" s="1092" t="s">
        <v>163</v>
      </c>
      <c r="B67" s="1093" t="s">
        <v>164</v>
      </c>
      <c r="C67" s="1473" t="s">
        <v>271</v>
      </c>
      <c r="D67" s="1094">
        <f t="shared" si="1"/>
        <v>492916.59</v>
      </c>
      <c r="E67" s="1095">
        <f t="shared" si="2"/>
        <v>194793.47</v>
      </c>
      <c r="F67" s="1096">
        <f t="shared" si="3"/>
        <v>213547.69</v>
      </c>
      <c r="G67" s="1097">
        <f t="shared" si="4"/>
        <v>212303.79</v>
      </c>
      <c r="H67" s="1096">
        <f t="shared" si="4"/>
        <v>1243.9000000000001</v>
      </c>
      <c r="I67" s="1116">
        <v>482203.27</v>
      </c>
      <c r="J67" s="1116">
        <v>0</v>
      </c>
      <c r="K67" s="1116">
        <v>194793.47</v>
      </c>
      <c r="L67" s="1116">
        <v>124180.88</v>
      </c>
      <c r="M67" s="1116">
        <v>1043.77</v>
      </c>
      <c r="N67" s="1116">
        <v>802221.39</v>
      </c>
      <c r="O67" s="1116">
        <v>10713.32</v>
      </c>
      <c r="P67" s="1116">
        <v>0</v>
      </c>
      <c r="Q67" s="1116">
        <v>0</v>
      </c>
      <c r="R67" s="1116">
        <v>88122.91</v>
      </c>
      <c r="S67" s="1116">
        <v>200.13</v>
      </c>
      <c r="T67" s="1116">
        <v>99036.36</v>
      </c>
    </row>
    <row r="68" spans="1:20" ht="15" customHeight="1">
      <c r="A68" s="1092" t="s">
        <v>165</v>
      </c>
      <c r="B68" s="1093" t="s">
        <v>166</v>
      </c>
      <c r="C68" s="1473" t="s">
        <v>273</v>
      </c>
      <c r="D68" s="1094">
        <f t="shared" si="1"/>
        <v>190912.28</v>
      </c>
      <c r="E68" s="1095">
        <f t="shared" si="2"/>
        <v>65089.56</v>
      </c>
      <c r="F68" s="1096">
        <f t="shared" si="3"/>
        <v>264202.29999999993</v>
      </c>
      <c r="G68" s="1097">
        <f t="shared" si="4"/>
        <v>302470.32999999996</v>
      </c>
      <c r="H68" s="1096">
        <f t="shared" si="4"/>
        <v>-38268.03</v>
      </c>
      <c r="I68" s="1116">
        <v>160568.01999999999</v>
      </c>
      <c r="J68" s="1116">
        <v>0</v>
      </c>
      <c r="K68" s="1116">
        <v>65089.56</v>
      </c>
      <c r="L68" s="1116">
        <v>41391.03</v>
      </c>
      <c r="M68" s="1116">
        <v>1998</v>
      </c>
      <c r="N68" s="1116">
        <v>269046.61</v>
      </c>
      <c r="O68" s="1116">
        <v>30344.26</v>
      </c>
      <c r="P68" s="1116">
        <v>0</v>
      </c>
      <c r="Q68" s="1116">
        <v>0</v>
      </c>
      <c r="R68" s="1116">
        <v>261079.3</v>
      </c>
      <c r="S68" s="1116">
        <v>-40266.03</v>
      </c>
      <c r="T68" s="1116">
        <v>251157.53</v>
      </c>
    </row>
    <row r="69" spans="1:20" ht="15" customHeight="1">
      <c r="A69" s="1092" t="s">
        <v>169</v>
      </c>
      <c r="B69" s="1093" t="s">
        <v>170</v>
      </c>
      <c r="C69" s="1473" t="s">
        <v>273</v>
      </c>
      <c r="D69" s="1094">
        <f t="shared" si="1"/>
        <v>233009.38999999998</v>
      </c>
      <c r="E69" s="1095">
        <f t="shared" si="2"/>
        <v>94117.65</v>
      </c>
      <c r="F69" s="1096">
        <f t="shared" si="3"/>
        <v>64944.750000000007</v>
      </c>
      <c r="G69" s="1097">
        <f t="shared" si="4"/>
        <v>62964.340000000004</v>
      </c>
      <c r="H69" s="1096">
        <f t="shared" si="4"/>
        <v>1980.41</v>
      </c>
      <c r="I69" s="1116">
        <v>232652.9</v>
      </c>
      <c r="J69" s="1116">
        <v>0</v>
      </c>
      <c r="K69" s="1116">
        <v>94117.65</v>
      </c>
      <c r="L69" s="1116">
        <v>59937.8</v>
      </c>
      <c r="M69" s="1116">
        <v>1898.4</v>
      </c>
      <c r="N69" s="1116">
        <v>388606.75</v>
      </c>
      <c r="O69" s="1116">
        <v>356.49</v>
      </c>
      <c r="P69" s="1116">
        <v>0</v>
      </c>
      <c r="Q69" s="1116">
        <v>0</v>
      </c>
      <c r="R69" s="1116">
        <v>3026.54</v>
      </c>
      <c r="S69" s="1116">
        <v>82.01</v>
      </c>
      <c r="T69" s="1116">
        <v>3465.04</v>
      </c>
    </row>
    <row r="70" spans="1:20" ht="15" customHeight="1">
      <c r="A70" s="1092" t="s">
        <v>171</v>
      </c>
      <c r="B70" s="1093" t="s">
        <v>172</v>
      </c>
      <c r="C70" s="1473" t="s">
        <v>274</v>
      </c>
      <c r="D70" s="1094">
        <f t="shared" ref="D70:D124" si="5">+I70+J70+O70+P70</f>
        <v>289961.71999999997</v>
      </c>
      <c r="E70" s="1095">
        <f t="shared" ref="E70:E124" si="6">+K70+Q70</f>
        <v>114878.42</v>
      </c>
      <c r="F70" s="1096">
        <f t="shared" ref="F70:F124" si="7">+G70+H70</f>
        <v>286655.8</v>
      </c>
      <c r="G70" s="1097">
        <f t="shared" ref="G70:H124" si="8">+L70+R70</f>
        <v>120892.51</v>
      </c>
      <c r="H70" s="1096">
        <f t="shared" si="8"/>
        <v>165763.29</v>
      </c>
      <c r="I70" s="1116">
        <v>284352.17</v>
      </c>
      <c r="J70" s="1116">
        <v>0</v>
      </c>
      <c r="K70" s="1116">
        <v>114878.42</v>
      </c>
      <c r="L70" s="1116">
        <v>73229.81</v>
      </c>
      <c r="M70" s="1116">
        <v>165763.65</v>
      </c>
      <c r="N70" s="1116">
        <v>638224.05000000005</v>
      </c>
      <c r="O70" s="1116">
        <v>5609.55</v>
      </c>
      <c r="P70" s="1116">
        <v>0</v>
      </c>
      <c r="Q70" s="1116">
        <v>0</v>
      </c>
      <c r="R70" s="1116">
        <v>47662.7</v>
      </c>
      <c r="S70" s="1116">
        <v>-0.36</v>
      </c>
      <c r="T70" s="1116">
        <v>53271.89</v>
      </c>
    </row>
    <row r="71" spans="1:20" ht="15" customHeight="1">
      <c r="A71" s="1092" t="s">
        <v>173</v>
      </c>
      <c r="B71" s="1093" t="s">
        <v>174</v>
      </c>
      <c r="C71" s="1473" t="s">
        <v>274</v>
      </c>
      <c r="D71" s="1094">
        <f t="shared" si="5"/>
        <v>340211.67</v>
      </c>
      <c r="E71" s="1095">
        <f t="shared" si="6"/>
        <v>135612.66</v>
      </c>
      <c r="F71" s="1096">
        <f t="shared" si="7"/>
        <v>130622.98000000001</v>
      </c>
      <c r="G71" s="1097">
        <f t="shared" si="8"/>
        <v>126793.24</v>
      </c>
      <c r="H71" s="1096">
        <f t="shared" si="8"/>
        <v>3829.74</v>
      </c>
      <c r="I71" s="1116">
        <v>335460.56</v>
      </c>
      <c r="J71" s="1116">
        <v>0</v>
      </c>
      <c r="K71" s="1116">
        <v>135612.66</v>
      </c>
      <c r="L71" s="1116">
        <v>86406.38</v>
      </c>
      <c r="M71" s="1116">
        <v>3566.22</v>
      </c>
      <c r="N71" s="1116">
        <v>561045.81999999995</v>
      </c>
      <c r="O71" s="1116">
        <v>4751.1099999999997</v>
      </c>
      <c r="P71" s="1116">
        <v>0</v>
      </c>
      <c r="Q71" s="1116">
        <v>0</v>
      </c>
      <c r="R71" s="1116">
        <v>40386.86</v>
      </c>
      <c r="S71" s="1116">
        <v>263.52</v>
      </c>
      <c r="T71" s="1116">
        <v>45401.49</v>
      </c>
    </row>
    <row r="72" spans="1:20" ht="15" customHeight="1">
      <c r="A72" s="1092" t="s">
        <v>175</v>
      </c>
      <c r="B72" s="1093" t="s">
        <v>176</v>
      </c>
      <c r="C72" s="1473" t="s">
        <v>275</v>
      </c>
      <c r="D72" s="1094">
        <f t="shared" si="5"/>
        <v>323600.2</v>
      </c>
      <c r="E72" s="1095">
        <f t="shared" si="6"/>
        <v>130833.12</v>
      </c>
      <c r="F72" s="1096">
        <f t="shared" si="7"/>
        <v>84337.239999999991</v>
      </c>
      <c r="G72" s="1097">
        <f t="shared" si="8"/>
        <v>83354.149999999994</v>
      </c>
      <c r="H72" s="1096">
        <f t="shared" si="8"/>
        <v>983.09</v>
      </c>
      <c r="I72" s="1116">
        <v>323600.2</v>
      </c>
      <c r="J72" s="1116">
        <v>0</v>
      </c>
      <c r="K72" s="1116">
        <v>130833.12</v>
      </c>
      <c r="L72" s="1116">
        <v>83354.149999999994</v>
      </c>
      <c r="M72" s="1116">
        <v>983.09</v>
      </c>
      <c r="N72" s="1116">
        <v>538770.56000000006</v>
      </c>
      <c r="O72" s="1117"/>
      <c r="P72" s="1117"/>
      <c r="Q72" s="1117"/>
      <c r="R72" s="1117"/>
      <c r="S72" s="1117"/>
      <c r="T72" s="1117"/>
    </row>
    <row r="73" spans="1:20" ht="15" customHeight="1">
      <c r="A73" s="1092" t="s">
        <v>179</v>
      </c>
      <c r="B73" s="1093" t="s">
        <v>180</v>
      </c>
      <c r="C73" s="1473" t="s">
        <v>272</v>
      </c>
      <c r="D73" s="1094">
        <f t="shared" si="5"/>
        <v>867665.63</v>
      </c>
      <c r="E73" s="1095">
        <f t="shared" si="6"/>
        <v>349655.48</v>
      </c>
      <c r="F73" s="1096">
        <f t="shared" si="7"/>
        <v>343240.63</v>
      </c>
      <c r="G73" s="1097">
        <f t="shared" si="8"/>
        <v>245950.1</v>
      </c>
      <c r="H73" s="1096">
        <f t="shared" si="8"/>
        <v>97290.53</v>
      </c>
      <c r="I73" s="1116">
        <v>864943.26</v>
      </c>
      <c r="J73" s="1116">
        <v>0</v>
      </c>
      <c r="K73" s="1116">
        <v>349655.48</v>
      </c>
      <c r="L73" s="1116">
        <v>222793.60000000001</v>
      </c>
      <c r="M73" s="1116">
        <v>97292.4</v>
      </c>
      <c r="N73" s="1116">
        <v>1534684.74</v>
      </c>
      <c r="O73" s="1116">
        <v>2722.37</v>
      </c>
      <c r="P73" s="1116">
        <v>0</v>
      </c>
      <c r="Q73" s="1116">
        <v>0</v>
      </c>
      <c r="R73" s="1116">
        <v>23156.5</v>
      </c>
      <c r="S73" s="1116">
        <v>-1.87</v>
      </c>
      <c r="T73" s="1116">
        <v>25877</v>
      </c>
    </row>
    <row r="74" spans="1:20" ht="15" customHeight="1">
      <c r="A74" s="1092" t="s">
        <v>183</v>
      </c>
      <c r="B74" s="1093" t="s">
        <v>184</v>
      </c>
      <c r="C74" s="1473" t="s">
        <v>273</v>
      </c>
      <c r="D74" s="1094">
        <f t="shared" si="5"/>
        <v>196075.40999999997</v>
      </c>
      <c r="E74" s="1095">
        <f t="shared" si="6"/>
        <v>69768.649999999994</v>
      </c>
      <c r="F74" s="1096">
        <f t="shared" si="7"/>
        <v>274553.23</v>
      </c>
      <c r="G74" s="1097">
        <f t="shared" si="8"/>
        <v>245469.4</v>
      </c>
      <c r="H74" s="1096">
        <f t="shared" si="8"/>
        <v>29083.83</v>
      </c>
      <c r="I74" s="1116">
        <v>172543.74</v>
      </c>
      <c r="J74" s="1116">
        <v>0</v>
      </c>
      <c r="K74" s="1116">
        <v>69768.649999999994</v>
      </c>
      <c r="L74" s="1116">
        <v>44446.69</v>
      </c>
      <c r="M74" s="1116">
        <v>25482.11</v>
      </c>
      <c r="N74" s="1116">
        <v>312241.19</v>
      </c>
      <c r="O74" s="1116">
        <v>23531.67</v>
      </c>
      <c r="P74" s="1116">
        <v>0</v>
      </c>
      <c r="Q74" s="1116">
        <v>0</v>
      </c>
      <c r="R74" s="1116">
        <v>201022.71</v>
      </c>
      <c r="S74" s="1116">
        <v>3601.72</v>
      </c>
      <c r="T74" s="1116">
        <v>228156.1</v>
      </c>
    </row>
    <row r="75" spans="1:20" ht="15" customHeight="1">
      <c r="A75" s="1092" t="s">
        <v>185</v>
      </c>
      <c r="B75" s="1093" t="s">
        <v>186</v>
      </c>
      <c r="C75" s="1473" t="s">
        <v>273</v>
      </c>
      <c r="D75" s="1094">
        <f t="shared" si="5"/>
        <v>354002.35</v>
      </c>
      <c r="E75" s="1095">
        <f t="shared" si="6"/>
        <v>134714.96</v>
      </c>
      <c r="F75" s="1096">
        <f t="shared" si="7"/>
        <v>285452.12</v>
      </c>
      <c r="G75" s="1097">
        <f t="shared" si="8"/>
        <v>261132.16999999998</v>
      </c>
      <c r="H75" s="1096">
        <f t="shared" si="8"/>
        <v>24319.95</v>
      </c>
      <c r="I75" s="1116">
        <v>333480.11</v>
      </c>
      <c r="J75" s="1116">
        <v>0</v>
      </c>
      <c r="K75" s="1116">
        <v>134714.96</v>
      </c>
      <c r="L75" s="1116">
        <v>85879.55</v>
      </c>
      <c r="M75" s="1116">
        <v>22699.91</v>
      </c>
      <c r="N75" s="1116">
        <v>576774.53</v>
      </c>
      <c r="O75" s="1116">
        <v>20522.240000000002</v>
      </c>
      <c r="P75" s="1116">
        <v>0</v>
      </c>
      <c r="Q75" s="1116">
        <v>0</v>
      </c>
      <c r="R75" s="1116">
        <v>175252.62</v>
      </c>
      <c r="S75" s="1116">
        <v>1620.04</v>
      </c>
      <c r="T75" s="1116">
        <v>197394.9</v>
      </c>
    </row>
    <row r="76" spans="1:20" ht="15" customHeight="1">
      <c r="A76" s="1092" t="s">
        <v>187</v>
      </c>
      <c r="B76" s="1093" t="s">
        <v>188</v>
      </c>
      <c r="C76" s="1473" t="s">
        <v>271</v>
      </c>
      <c r="D76" s="1094">
        <f t="shared" si="5"/>
        <v>344927.08</v>
      </c>
      <c r="E76" s="1095">
        <f t="shared" si="6"/>
        <v>121760.06</v>
      </c>
      <c r="F76" s="1096">
        <f t="shared" si="7"/>
        <v>464046.80000000005</v>
      </c>
      <c r="G76" s="1097">
        <f t="shared" si="8"/>
        <v>459741.53</v>
      </c>
      <c r="H76" s="1096">
        <f t="shared" si="8"/>
        <v>4305.2700000000004</v>
      </c>
      <c r="I76" s="1116">
        <v>300614.38</v>
      </c>
      <c r="J76" s="1116">
        <v>0</v>
      </c>
      <c r="K76" s="1116">
        <v>121760.06</v>
      </c>
      <c r="L76" s="1116">
        <v>77476.09</v>
      </c>
      <c r="M76" s="1116">
        <v>1992.87</v>
      </c>
      <c r="N76" s="1116">
        <v>501843.4</v>
      </c>
      <c r="O76" s="1116">
        <v>44312.7</v>
      </c>
      <c r="P76" s="1116">
        <v>0</v>
      </c>
      <c r="Q76" s="1116">
        <v>0</v>
      </c>
      <c r="R76" s="1116">
        <v>382265.44</v>
      </c>
      <c r="S76" s="1116">
        <v>2312.4</v>
      </c>
      <c r="T76" s="1116">
        <v>428890.54</v>
      </c>
    </row>
    <row r="77" spans="1:20" ht="15" customHeight="1">
      <c r="A77" s="1092" t="s">
        <v>189</v>
      </c>
      <c r="B77" s="1093" t="s">
        <v>190</v>
      </c>
      <c r="C77" s="1473" t="s">
        <v>274</v>
      </c>
      <c r="D77" s="1094">
        <f t="shared" si="5"/>
        <v>3532054.02</v>
      </c>
      <c r="E77" s="1095">
        <f t="shared" si="6"/>
        <v>1198289.98</v>
      </c>
      <c r="F77" s="1096">
        <f t="shared" si="7"/>
        <v>5751342.0999999996</v>
      </c>
      <c r="G77" s="1097">
        <f t="shared" si="8"/>
        <v>5746655.5099999998</v>
      </c>
      <c r="H77" s="1096">
        <f t="shared" si="8"/>
        <v>4686.59</v>
      </c>
      <c r="I77" s="1116">
        <v>2953806.9</v>
      </c>
      <c r="J77" s="1116">
        <v>0</v>
      </c>
      <c r="K77" s="1116">
        <v>1198289.98</v>
      </c>
      <c r="L77" s="1116">
        <v>761626.25</v>
      </c>
      <c r="M77" s="1116">
        <v>3546.08</v>
      </c>
      <c r="N77" s="1116">
        <v>4917269.21</v>
      </c>
      <c r="O77" s="1116">
        <v>578247.12</v>
      </c>
      <c r="P77" s="1116">
        <v>0</v>
      </c>
      <c r="Q77" s="1116">
        <v>0</v>
      </c>
      <c r="R77" s="1116">
        <v>4985029.26</v>
      </c>
      <c r="S77" s="1116">
        <v>1140.51</v>
      </c>
      <c r="T77" s="1116">
        <v>5564416.8899999997</v>
      </c>
    </row>
    <row r="78" spans="1:20" ht="15" customHeight="1">
      <c r="A78" s="1092" t="s">
        <v>191</v>
      </c>
      <c r="B78" s="1093" t="s">
        <v>192</v>
      </c>
      <c r="C78" s="1473" t="s">
        <v>275</v>
      </c>
      <c r="D78" s="1094">
        <f t="shared" si="5"/>
        <v>892469.84</v>
      </c>
      <c r="E78" s="1095">
        <f t="shared" si="6"/>
        <v>357670.04</v>
      </c>
      <c r="F78" s="1096">
        <f t="shared" si="7"/>
        <v>309698.97000000003</v>
      </c>
      <c r="G78" s="1097">
        <f t="shared" si="8"/>
        <v>293062.41000000003</v>
      </c>
      <c r="H78" s="1096">
        <f t="shared" si="8"/>
        <v>16636.560000000001</v>
      </c>
      <c r="I78" s="1116">
        <v>884891.69</v>
      </c>
      <c r="J78" s="1116">
        <v>0</v>
      </c>
      <c r="K78" s="1116">
        <v>357670.04</v>
      </c>
      <c r="L78" s="1116">
        <v>227920.98</v>
      </c>
      <c r="M78" s="1116">
        <v>16637.98</v>
      </c>
      <c r="N78" s="1116">
        <v>1487120.69</v>
      </c>
      <c r="O78" s="1116">
        <v>7578.15</v>
      </c>
      <c r="P78" s="1116">
        <v>0</v>
      </c>
      <c r="Q78" s="1116">
        <v>0</v>
      </c>
      <c r="R78" s="1116">
        <v>65141.43</v>
      </c>
      <c r="S78" s="1116">
        <v>-1.42</v>
      </c>
      <c r="T78" s="1116">
        <v>72718.16</v>
      </c>
    </row>
    <row r="79" spans="1:20" ht="15" customHeight="1">
      <c r="A79" s="1092" t="s">
        <v>195</v>
      </c>
      <c r="B79" s="1093" t="s">
        <v>196</v>
      </c>
      <c r="C79" s="1473" t="s">
        <v>274</v>
      </c>
      <c r="D79" s="1094">
        <f t="shared" si="5"/>
        <v>136718.47999999998</v>
      </c>
      <c r="E79" s="1095">
        <f t="shared" si="6"/>
        <v>48064.42</v>
      </c>
      <c r="F79" s="1096">
        <f t="shared" si="7"/>
        <v>201992.75000000003</v>
      </c>
      <c r="G79" s="1097">
        <f t="shared" si="8"/>
        <v>186832.18000000002</v>
      </c>
      <c r="H79" s="1096">
        <f t="shared" si="8"/>
        <v>15160.57</v>
      </c>
      <c r="I79" s="1116">
        <v>118613.18</v>
      </c>
      <c r="J79" s="1116">
        <v>0</v>
      </c>
      <c r="K79" s="1116">
        <v>48064.42</v>
      </c>
      <c r="L79" s="1116">
        <v>30571.79</v>
      </c>
      <c r="M79" s="1116">
        <v>7719.54</v>
      </c>
      <c r="N79" s="1116">
        <v>204968.93</v>
      </c>
      <c r="O79" s="1116">
        <v>18105.3</v>
      </c>
      <c r="P79" s="1116">
        <v>0</v>
      </c>
      <c r="Q79" s="1116">
        <v>0</v>
      </c>
      <c r="R79" s="1116">
        <v>156260.39000000001</v>
      </c>
      <c r="S79" s="1116">
        <v>7441.03</v>
      </c>
      <c r="T79" s="1116">
        <v>181806.72</v>
      </c>
    </row>
    <row r="80" spans="1:20" ht="15" customHeight="1">
      <c r="A80" s="1092" t="s">
        <v>199</v>
      </c>
      <c r="B80" s="1093" t="s">
        <v>200</v>
      </c>
      <c r="C80" s="1473" t="s">
        <v>273</v>
      </c>
      <c r="D80" s="1094">
        <f t="shared" si="5"/>
        <v>140735</v>
      </c>
      <c r="E80" s="1095">
        <f t="shared" si="6"/>
        <v>53860.61</v>
      </c>
      <c r="F80" s="1096">
        <f t="shared" si="7"/>
        <v>139872.13</v>
      </c>
      <c r="G80" s="1097">
        <f t="shared" si="8"/>
        <v>95964.09</v>
      </c>
      <c r="H80" s="1096">
        <f t="shared" si="8"/>
        <v>43908.04</v>
      </c>
      <c r="I80" s="1116">
        <v>133514.42000000001</v>
      </c>
      <c r="J80" s="1116">
        <v>0</v>
      </c>
      <c r="K80" s="1116">
        <v>53860.61</v>
      </c>
      <c r="L80" s="1116">
        <v>34368.239999999998</v>
      </c>
      <c r="M80" s="1116">
        <v>43130.21</v>
      </c>
      <c r="N80" s="1116">
        <v>264873.48</v>
      </c>
      <c r="O80" s="1116">
        <v>7220.58</v>
      </c>
      <c r="P80" s="1116">
        <v>0</v>
      </c>
      <c r="Q80" s="1116">
        <v>0</v>
      </c>
      <c r="R80" s="1116">
        <v>61595.85</v>
      </c>
      <c r="S80" s="1116">
        <v>777.83</v>
      </c>
      <c r="T80" s="1116">
        <v>69594.259999999995</v>
      </c>
    </row>
    <row r="81" spans="1:20" ht="15" customHeight="1">
      <c r="A81" s="1092" t="s">
        <v>203</v>
      </c>
      <c r="B81" s="1093" t="s">
        <v>204</v>
      </c>
      <c r="C81" s="1473" t="s">
        <v>272</v>
      </c>
      <c r="D81" s="1094">
        <f t="shared" si="5"/>
        <v>1243748.74</v>
      </c>
      <c r="E81" s="1095">
        <f t="shared" si="6"/>
        <v>459483.17</v>
      </c>
      <c r="F81" s="1096">
        <f t="shared" si="7"/>
        <v>1328815.4100000001</v>
      </c>
      <c r="G81" s="1097">
        <f t="shared" si="8"/>
        <v>1209241.6400000001</v>
      </c>
      <c r="H81" s="1096">
        <f t="shared" si="8"/>
        <v>119573.77</v>
      </c>
      <c r="I81" s="1116">
        <v>1136882.32</v>
      </c>
      <c r="J81" s="1116">
        <v>0</v>
      </c>
      <c r="K81" s="1116">
        <v>459483.17</v>
      </c>
      <c r="L81" s="1116">
        <v>292823.03000000003</v>
      </c>
      <c r="M81" s="1116">
        <v>108222.66</v>
      </c>
      <c r="N81" s="1116">
        <v>1997411.18</v>
      </c>
      <c r="O81" s="1116">
        <v>106866.42</v>
      </c>
      <c r="P81" s="1116">
        <v>0</v>
      </c>
      <c r="Q81" s="1116">
        <v>0</v>
      </c>
      <c r="R81" s="1116">
        <v>916418.61</v>
      </c>
      <c r="S81" s="1116">
        <v>11351.11</v>
      </c>
      <c r="T81" s="1116">
        <v>1034636.14</v>
      </c>
    </row>
    <row r="82" spans="1:20" ht="15" customHeight="1">
      <c r="A82" s="1092" t="s">
        <v>205</v>
      </c>
      <c r="B82" s="1093" t="s">
        <v>206</v>
      </c>
      <c r="C82" s="1473" t="s">
        <v>272</v>
      </c>
      <c r="D82" s="1094">
        <f t="shared" si="5"/>
        <v>393610.48</v>
      </c>
      <c r="E82" s="1095">
        <f t="shared" si="6"/>
        <v>159096.19</v>
      </c>
      <c r="F82" s="1096">
        <f t="shared" si="7"/>
        <v>127722.48</v>
      </c>
      <c r="G82" s="1097">
        <f t="shared" si="8"/>
        <v>101381.2</v>
      </c>
      <c r="H82" s="1096">
        <f t="shared" si="8"/>
        <v>26341.279999999999</v>
      </c>
      <c r="I82" s="1116">
        <v>393610.48</v>
      </c>
      <c r="J82" s="1116">
        <v>0</v>
      </c>
      <c r="K82" s="1116">
        <v>159096.19</v>
      </c>
      <c r="L82" s="1116">
        <v>101381.2</v>
      </c>
      <c r="M82" s="1116">
        <v>26341.279999999999</v>
      </c>
      <c r="N82" s="1116">
        <v>680429.15</v>
      </c>
      <c r="O82" s="1117"/>
      <c r="P82" s="1117"/>
      <c r="Q82" s="1117"/>
      <c r="R82" s="1117"/>
      <c r="S82" s="1117"/>
      <c r="T82" s="1117"/>
    </row>
    <row r="83" spans="1:20" ht="15" customHeight="1">
      <c r="A83" s="1092" t="s">
        <v>207</v>
      </c>
      <c r="B83" s="1093" t="s">
        <v>208</v>
      </c>
      <c r="C83" s="1473" t="s">
        <v>274</v>
      </c>
      <c r="D83" s="1094">
        <f t="shared" si="5"/>
        <v>1439402.3599999999</v>
      </c>
      <c r="E83" s="1095">
        <f t="shared" si="6"/>
        <v>541395.44999999995</v>
      </c>
      <c r="F83" s="1096">
        <f t="shared" si="7"/>
        <v>1214865.99</v>
      </c>
      <c r="G83" s="1097">
        <f t="shared" si="8"/>
        <v>1209193.43</v>
      </c>
      <c r="H83" s="1096">
        <f t="shared" si="8"/>
        <v>5672.56</v>
      </c>
      <c r="I83" s="1116">
        <v>1338678.7</v>
      </c>
      <c r="J83" s="1116">
        <v>0</v>
      </c>
      <c r="K83" s="1116">
        <v>541395.44999999995</v>
      </c>
      <c r="L83" s="1116">
        <v>344862.48</v>
      </c>
      <c r="M83" s="1116">
        <v>4134.51</v>
      </c>
      <c r="N83" s="1116">
        <v>2229071.14</v>
      </c>
      <c r="O83" s="1116">
        <v>100723.66</v>
      </c>
      <c r="P83" s="1116">
        <v>0</v>
      </c>
      <c r="Q83" s="1116">
        <v>0</v>
      </c>
      <c r="R83" s="1116">
        <v>864330.95</v>
      </c>
      <c r="S83" s="1116">
        <v>1538.05</v>
      </c>
      <c r="T83" s="1116">
        <v>966592.66</v>
      </c>
    </row>
    <row r="84" spans="1:20" ht="15" customHeight="1">
      <c r="A84" s="1092" t="s">
        <v>209</v>
      </c>
      <c r="B84" s="1093" t="s">
        <v>210</v>
      </c>
      <c r="C84" s="1473" t="s">
        <v>275</v>
      </c>
      <c r="D84" s="1094">
        <f t="shared" si="5"/>
        <v>710153.3</v>
      </c>
      <c r="E84" s="1095">
        <f t="shared" si="6"/>
        <v>287173.53000000003</v>
      </c>
      <c r="F84" s="1096">
        <f t="shared" si="7"/>
        <v>198135.99</v>
      </c>
      <c r="G84" s="1097">
        <f t="shared" si="8"/>
        <v>182936.94</v>
      </c>
      <c r="H84" s="1096">
        <f t="shared" si="8"/>
        <v>15199.05</v>
      </c>
      <c r="I84" s="1116">
        <v>710153.3</v>
      </c>
      <c r="J84" s="1116">
        <v>0</v>
      </c>
      <c r="K84" s="1116">
        <v>287173.53000000003</v>
      </c>
      <c r="L84" s="1116">
        <v>182936.94</v>
      </c>
      <c r="M84" s="1116">
        <v>15199.05</v>
      </c>
      <c r="N84" s="1116">
        <v>1195462.82</v>
      </c>
      <c r="O84" s="1117"/>
      <c r="P84" s="1117"/>
      <c r="Q84" s="1117"/>
      <c r="R84" s="1117"/>
      <c r="S84" s="1117"/>
      <c r="T84" s="1117"/>
    </row>
    <row r="85" spans="1:20" ht="15" customHeight="1">
      <c r="A85" s="1092" t="s">
        <v>211</v>
      </c>
      <c r="B85" s="1093" t="s">
        <v>212</v>
      </c>
      <c r="C85" s="1473" t="s">
        <v>275</v>
      </c>
      <c r="D85" s="1094">
        <f t="shared" si="5"/>
        <v>522761.72</v>
      </c>
      <c r="E85" s="1095">
        <f t="shared" si="6"/>
        <v>211189.28</v>
      </c>
      <c r="F85" s="1096">
        <f t="shared" si="7"/>
        <v>162770.84999999998</v>
      </c>
      <c r="G85" s="1097">
        <f t="shared" si="8"/>
        <v>139270.35999999999</v>
      </c>
      <c r="H85" s="1096">
        <f t="shared" si="8"/>
        <v>23500.489999999998</v>
      </c>
      <c r="I85" s="1116">
        <v>522203.06</v>
      </c>
      <c r="J85" s="1116">
        <v>0</v>
      </c>
      <c r="K85" s="1116">
        <v>211189.28</v>
      </c>
      <c r="L85" s="1116">
        <v>134524.03</v>
      </c>
      <c r="M85" s="1116">
        <v>23500.6</v>
      </c>
      <c r="N85" s="1116">
        <v>891416.97</v>
      </c>
      <c r="O85" s="1116">
        <v>558.66</v>
      </c>
      <c r="P85" s="1116">
        <v>0</v>
      </c>
      <c r="Q85" s="1116">
        <v>0</v>
      </c>
      <c r="R85" s="1116">
        <v>4746.33</v>
      </c>
      <c r="S85" s="1116">
        <v>-0.11</v>
      </c>
      <c r="T85" s="1116">
        <v>5304.88</v>
      </c>
    </row>
    <row r="86" spans="1:20" ht="15" customHeight="1">
      <c r="A86" s="1092" t="s">
        <v>213</v>
      </c>
      <c r="B86" s="1093" t="s">
        <v>214</v>
      </c>
      <c r="C86" s="1473" t="s">
        <v>274</v>
      </c>
      <c r="D86" s="1094">
        <f t="shared" si="5"/>
        <v>426478.94</v>
      </c>
      <c r="E86" s="1095">
        <f t="shared" si="6"/>
        <v>157605.68</v>
      </c>
      <c r="F86" s="1096">
        <f t="shared" si="7"/>
        <v>839593.89</v>
      </c>
      <c r="G86" s="1097">
        <f t="shared" si="8"/>
        <v>410143.55</v>
      </c>
      <c r="H86" s="1096">
        <f t="shared" si="8"/>
        <v>429450.34</v>
      </c>
      <c r="I86" s="1116">
        <v>390242.67</v>
      </c>
      <c r="J86" s="1116">
        <v>0</v>
      </c>
      <c r="K86" s="1116">
        <v>157605.68</v>
      </c>
      <c r="L86" s="1116">
        <v>100490.13</v>
      </c>
      <c r="M86" s="1116">
        <v>428323.53</v>
      </c>
      <c r="N86" s="1116">
        <v>1076662.01</v>
      </c>
      <c r="O86" s="1116">
        <v>36236.269999999997</v>
      </c>
      <c r="P86" s="1116">
        <v>0</v>
      </c>
      <c r="Q86" s="1116">
        <v>0</v>
      </c>
      <c r="R86" s="1116">
        <v>309653.42</v>
      </c>
      <c r="S86" s="1116">
        <v>1126.81</v>
      </c>
      <c r="T86" s="1116">
        <v>347016.5</v>
      </c>
    </row>
    <row r="87" spans="1:20" ht="15" customHeight="1">
      <c r="A87" s="1092" t="s">
        <v>215</v>
      </c>
      <c r="B87" s="1093" t="s">
        <v>216</v>
      </c>
      <c r="C87" s="1473" t="s">
        <v>275</v>
      </c>
      <c r="D87" s="1094">
        <f t="shared" si="5"/>
        <v>838901.73</v>
      </c>
      <c r="E87" s="1095">
        <f t="shared" si="6"/>
        <v>339146.17</v>
      </c>
      <c r="F87" s="1096">
        <f t="shared" si="7"/>
        <v>212763.66</v>
      </c>
      <c r="G87" s="1097">
        <f t="shared" si="8"/>
        <v>216089.15</v>
      </c>
      <c r="H87" s="1096">
        <f t="shared" si="8"/>
        <v>-3325.49</v>
      </c>
      <c r="I87" s="1116">
        <v>838901.73</v>
      </c>
      <c r="J87" s="1116">
        <v>0</v>
      </c>
      <c r="K87" s="1116">
        <v>339146.17</v>
      </c>
      <c r="L87" s="1116">
        <v>216089.15</v>
      </c>
      <c r="M87" s="1116">
        <v>-3325.49</v>
      </c>
      <c r="N87" s="1116">
        <v>1390811.56</v>
      </c>
      <c r="O87" s="1117"/>
      <c r="P87" s="1117"/>
      <c r="Q87" s="1117"/>
      <c r="R87" s="1117"/>
      <c r="S87" s="1117"/>
      <c r="T87" s="1117"/>
    </row>
    <row r="88" spans="1:20" ht="15" customHeight="1">
      <c r="A88" s="1092" t="s">
        <v>217</v>
      </c>
      <c r="B88" s="1093" t="s">
        <v>218</v>
      </c>
      <c r="C88" s="1473" t="s">
        <v>271</v>
      </c>
      <c r="D88" s="1094">
        <f t="shared" si="5"/>
        <v>439985.51999999996</v>
      </c>
      <c r="E88" s="1095">
        <f t="shared" si="6"/>
        <v>177874.09</v>
      </c>
      <c r="F88" s="1096">
        <f t="shared" si="7"/>
        <v>118609.86</v>
      </c>
      <c r="G88" s="1097">
        <f t="shared" si="8"/>
        <v>113327.58</v>
      </c>
      <c r="H88" s="1096">
        <f t="shared" si="8"/>
        <v>5282.2800000000007</v>
      </c>
      <c r="I88" s="1116">
        <v>439982.11</v>
      </c>
      <c r="J88" s="1116">
        <v>0</v>
      </c>
      <c r="K88" s="1116">
        <v>177874.09</v>
      </c>
      <c r="L88" s="1116">
        <v>113331.01</v>
      </c>
      <c r="M88" s="1116">
        <v>5282.26</v>
      </c>
      <c r="N88" s="1116">
        <v>736469.47</v>
      </c>
      <c r="O88" s="1116">
        <v>3.41</v>
      </c>
      <c r="P88" s="1116">
        <v>0</v>
      </c>
      <c r="Q88" s="1116">
        <v>0</v>
      </c>
      <c r="R88" s="1116">
        <v>-3.43</v>
      </c>
      <c r="S88" s="1116">
        <v>0.02</v>
      </c>
      <c r="T88" s="1116">
        <v>0</v>
      </c>
    </row>
    <row r="89" spans="1:20" ht="15" customHeight="1">
      <c r="A89" s="1092" t="s">
        <v>219</v>
      </c>
      <c r="B89" s="1093" t="s">
        <v>220</v>
      </c>
      <c r="C89" s="1473" t="s">
        <v>274</v>
      </c>
      <c r="D89" s="1094">
        <f t="shared" si="5"/>
        <v>927085.17</v>
      </c>
      <c r="E89" s="1095">
        <f t="shared" si="6"/>
        <v>310067.03999999998</v>
      </c>
      <c r="F89" s="1096">
        <f t="shared" si="7"/>
        <v>1617359.68</v>
      </c>
      <c r="G89" s="1097">
        <f t="shared" si="8"/>
        <v>1587689.98</v>
      </c>
      <c r="H89" s="1096">
        <f t="shared" si="8"/>
        <v>29669.699999999997</v>
      </c>
      <c r="I89" s="1116">
        <v>764918.4</v>
      </c>
      <c r="J89" s="1116">
        <v>0</v>
      </c>
      <c r="K89" s="1116">
        <v>310067.03999999998</v>
      </c>
      <c r="L89" s="1116">
        <v>197184.83</v>
      </c>
      <c r="M89" s="1116">
        <v>12656.51</v>
      </c>
      <c r="N89" s="1116">
        <v>1284826.78</v>
      </c>
      <c r="O89" s="1116">
        <v>162166.76999999999</v>
      </c>
      <c r="P89" s="1116">
        <v>0</v>
      </c>
      <c r="Q89" s="1116">
        <v>0</v>
      </c>
      <c r="R89" s="1116">
        <v>1390505.15</v>
      </c>
      <c r="S89" s="1116">
        <v>17013.189999999999</v>
      </c>
      <c r="T89" s="1116">
        <v>1569685.11</v>
      </c>
    </row>
    <row r="90" spans="1:20" ht="15" customHeight="1">
      <c r="A90" s="1092" t="s">
        <v>221</v>
      </c>
      <c r="B90" s="1093" t="s">
        <v>222</v>
      </c>
      <c r="C90" s="1473" t="s">
        <v>274</v>
      </c>
      <c r="D90" s="1094">
        <f t="shared" si="5"/>
        <v>947642.62</v>
      </c>
      <c r="E90" s="1095">
        <f t="shared" si="6"/>
        <v>354491.35</v>
      </c>
      <c r="F90" s="1096">
        <f t="shared" si="7"/>
        <v>833121.38</v>
      </c>
      <c r="G90" s="1097">
        <f t="shared" si="8"/>
        <v>828413.74</v>
      </c>
      <c r="H90" s="1096">
        <f t="shared" si="8"/>
        <v>4707.6400000000003</v>
      </c>
      <c r="I90" s="1116">
        <v>877208.21</v>
      </c>
      <c r="J90" s="1116">
        <v>0</v>
      </c>
      <c r="K90" s="1116">
        <v>354491.35</v>
      </c>
      <c r="L90" s="1116">
        <v>225931.03</v>
      </c>
      <c r="M90" s="1116">
        <v>3864.29</v>
      </c>
      <c r="N90" s="1116">
        <v>1461494.88</v>
      </c>
      <c r="O90" s="1116">
        <v>70434.41</v>
      </c>
      <c r="P90" s="1116">
        <v>0</v>
      </c>
      <c r="Q90" s="1116">
        <v>0</v>
      </c>
      <c r="R90" s="1116">
        <v>602482.71</v>
      </c>
      <c r="S90" s="1116">
        <v>843.35</v>
      </c>
      <c r="T90" s="1116">
        <v>673760.47</v>
      </c>
    </row>
    <row r="91" spans="1:20" ht="15" customHeight="1">
      <c r="A91" s="1092" t="s">
        <v>225</v>
      </c>
      <c r="B91" s="1093" t="s">
        <v>226</v>
      </c>
      <c r="C91" s="1473" t="s">
        <v>271</v>
      </c>
      <c r="D91" s="1094">
        <f t="shared" si="5"/>
        <v>304528.98</v>
      </c>
      <c r="E91" s="1095">
        <f t="shared" si="6"/>
        <v>116415.86</v>
      </c>
      <c r="F91" s="1096">
        <f t="shared" si="7"/>
        <v>351728.05999999994</v>
      </c>
      <c r="G91" s="1097">
        <f t="shared" si="8"/>
        <v>210168.91999999998</v>
      </c>
      <c r="H91" s="1096">
        <f t="shared" si="8"/>
        <v>141559.13999999998</v>
      </c>
      <c r="I91" s="1116">
        <v>288535</v>
      </c>
      <c r="J91" s="1116">
        <v>0</v>
      </c>
      <c r="K91" s="1116">
        <v>116415.86</v>
      </c>
      <c r="L91" s="1116">
        <v>74279.839999999997</v>
      </c>
      <c r="M91" s="1116">
        <v>140248.93</v>
      </c>
      <c r="N91" s="1116">
        <v>619479.63</v>
      </c>
      <c r="O91" s="1116">
        <v>15993.98</v>
      </c>
      <c r="P91" s="1116">
        <v>0</v>
      </c>
      <c r="Q91" s="1116">
        <v>0</v>
      </c>
      <c r="R91" s="1116">
        <v>135889.07999999999</v>
      </c>
      <c r="S91" s="1116">
        <v>1310.21</v>
      </c>
      <c r="T91" s="1116">
        <v>153193.26999999999</v>
      </c>
    </row>
    <row r="92" spans="1:20" ht="15" customHeight="1">
      <c r="A92" s="1092" t="s">
        <v>227</v>
      </c>
      <c r="B92" s="1093" t="s">
        <v>228</v>
      </c>
      <c r="C92" s="1473" t="s">
        <v>271</v>
      </c>
      <c r="D92" s="1094">
        <f t="shared" si="5"/>
        <v>362789.63</v>
      </c>
      <c r="E92" s="1095">
        <f t="shared" si="6"/>
        <v>146402.1</v>
      </c>
      <c r="F92" s="1096">
        <f t="shared" si="7"/>
        <v>134315.32</v>
      </c>
      <c r="G92" s="1097">
        <f t="shared" si="8"/>
        <v>98813.049999999988</v>
      </c>
      <c r="H92" s="1096">
        <f t="shared" si="8"/>
        <v>35502.270000000004</v>
      </c>
      <c r="I92" s="1116">
        <v>362138.43</v>
      </c>
      <c r="J92" s="1116">
        <v>0</v>
      </c>
      <c r="K92" s="1116">
        <v>146402.1</v>
      </c>
      <c r="L92" s="1116">
        <v>93280.15</v>
      </c>
      <c r="M92" s="1116">
        <v>35502.370000000003</v>
      </c>
      <c r="N92" s="1116">
        <v>637323.05000000005</v>
      </c>
      <c r="O92" s="1116">
        <v>651.20000000000005</v>
      </c>
      <c r="P92" s="1116">
        <v>0</v>
      </c>
      <c r="Q92" s="1116">
        <v>0</v>
      </c>
      <c r="R92" s="1116">
        <v>5532.9</v>
      </c>
      <c r="S92" s="1116">
        <v>-0.1</v>
      </c>
      <c r="T92" s="1116">
        <v>6184</v>
      </c>
    </row>
    <row r="93" spans="1:20" ht="15" customHeight="1">
      <c r="A93" s="1092" t="s">
        <v>229</v>
      </c>
      <c r="B93" s="1093" t="s">
        <v>230</v>
      </c>
      <c r="C93" s="1473" t="s">
        <v>275</v>
      </c>
      <c r="D93" s="1094">
        <f t="shared" si="5"/>
        <v>1130940.44</v>
      </c>
      <c r="E93" s="1095">
        <f t="shared" si="6"/>
        <v>455939.94</v>
      </c>
      <c r="F93" s="1096">
        <f t="shared" si="7"/>
        <v>357225.38</v>
      </c>
      <c r="G93" s="1097">
        <f t="shared" si="8"/>
        <v>315445.09000000003</v>
      </c>
      <c r="H93" s="1096">
        <f t="shared" si="8"/>
        <v>41780.29</v>
      </c>
      <c r="I93" s="1116">
        <v>1127983.29</v>
      </c>
      <c r="J93" s="1116">
        <v>0</v>
      </c>
      <c r="K93" s="1116">
        <v>455939.94</v>
      </c>
      <c r="L93" s="1116">
        <v>290537.96000000002</v>
      </c>
      <c r="M93" s="1116">
        <v>41781.58</v>
      </c>
      <c r="N93" s="1116">
        <v>1916242.77</v>
      </c>
      <c r="O93" s="1116">
        <v>2957.15</v>
      </c>
      <c r="P93" s="1116">
        <v>0</v>
      </c>
      <c r="Q93" s="1116">
        <v>0</v>
      </c>
      <c r="R93" s="1116">
        <v>24907.13</v>
      </c>
      <c r="S93" s="1116">
        <v>-1.29</v>
      </c>
      <c r="T93" s="1116">
        <v>27862.99</v>
      </c>
    </row>
    <row r="94" spans="1:20" ht="15" customHeight="1">
      <c r="A94" s="1092" t="s">
        <v>233</v>
      </c>
      <c r="B94" s="1093" t="s">
        <v>234</v>
      </c>
      <c r="C94" s="1473" t="s">
        <v>274</v>
      </c>
      <c r="D94" s="1094">
        <f t="shared" si="5"/>
        <v>557078.15999999992</v>
      </c>
      <c r="E94" s="1095">
        <f t="shared" si="6"/>
        <v>213644.79</v>
      </c>
      <c r="F94" s="1096">
        <f t="shared" si="7"/>
        <v>394709.24999999994</v>
      </c>
      <c r="G94" s="1097">
        <f t="shared" si="8"/>
        <v>378208.32999999996</v>
      </c>
      <c r="H94" s="1096">
        <f t="shared" si="8"/>
        <v>16500.919999999998</v>
      </c>
      <c r="I94" s="1116">
        <v>528744.47</v>
      </c>
      <c r="J94" s="1116">
        <v>0</v>
      </c>
      <c r="K94" s="1116">
        <v>213644.79</v>
      </c>
      <c r="L94" s="1116">
        <v>136174.97</v>
      </c>
      <c r="M94" s="1116">
        <v>15971.83</v>
      </c>
      <c r="N94" s="1116">
        <v>894536.06</v>
      </c>
      <c r="O94" s="1116">
        <v>28333.69</v>
      </c>
      <c r="P94" s="1116">
        <v>0</v>
      </c>
      <c r="Q94" s="1116">
        <v>0</v>
      </c>
      <c r="R94" s="1116">
        <v>242033.36</v>
      </c>
      <c r="S94" s="1116">
        <v>529.09</v>
      </c>
      <c r="T94" s="1116">
        <v>270896.14</v>
      </c>
    </row>
    <row r="95" spans="1:20" ht="15" customHeight="1">
      <c r="A95" s="1092" t="s">
        <v>235</v>
      </c>
      <c r="B95" s="1093" t="s">
        <v>236</v>
      </c>
      <c r="C95" s="1473" t="s">
        <v>275</v>
      </c>
      <c r="D95" s="1094">
        <f t="shared" si="5"/>
        <v>812142.2</v>
      </c>
      <c r="E95" s="1095">
        <f t="shared" si="6"/>
        <v>328265.86</v>
      </c>
      <c r="F95" s="1096">
        <f t="shared" si="7"/>
        <v>241628.79999999999</v>
      </c>
      <c r="G95" s="1097">
        <f t="shared" si="8"/>
        <v>209182.63</v>
      </c>
      <c r="H95" s="1096">
        <f t="shared" si="8"/>
        <v>32446.17</v>
      </c>
      <c r="I95" s="1116">
        <v>812142.2</v>
      </c>
      <c r="J95" s="1116">
        <v>0</v>
      </c>
      <c r="K95" s="1116">
        <v>328265.86</v>
      </c>
      <c r="L95" s="1116">
        <v>209182.63</v>
      </c>
      <c r="M95" s="1116">
        <v>32446.17</v>
      </c>
      <c r="N95" s="1116">
        <v>1382036.86</v>
      </c>
      <c r="O95" s="1117"/>
      <c r="P95" s="1117"/>
      <c r="Q95" s="1117"/>
      <c r="R95" s="1117"/>
      <c r="S95" s="1117"/>
      <c r="T95" s="1117"/>
    </row>
    <row r="96" spans="1:20" ht="15" customHeight="1">
      <c r="A96" s="1092" t="s">
        <v>237</v>
      </c>
      <c r="B96" s="1093" t="s">
        <v>238</v>
      </c>
      <c r="C96" s="1473" t="s">
        <v>273</v>
      </c>
      <c r="D96" s="1094">
        <f t="shared" si="5"/>
        <v>336524.52</v>
      </c>
      <c r="E96" s="1095">
        <f t="shared" si="6"/>
        <v>129628.48</v>
      </c>
      <c r="F96" s="1096">
        <f t="shared" si="7"/>
        <v>294065</v>
      </c>
      <c r="G96" s="1097">
        <f t="shared" si="8"/>
        <v>217483.42</v>
      </c>
      <c r="H96" s="1096">
        <f t="shared" si="8"/>
        <v>76581.58</v>
      </c>
      <c r="I96" s="1116">
        <v>320775.74</v>
      </c>
      <c r="J96" s="1116">
        <v>0</v>
      </c>
      <c r="K96" s="1116">
        <v>129628.48</v>
      </c>
      <c r="L96" s="1116">
        <v>82615.03</v>
      </c>
      <c r="M96" s="1116">
        <v>76582.87</v>
      </c>
      <c r="N96" s="1116">
        <v>609602.12</v>
      </c>
      <c r="O96" s="1116">
        <v>15748.78</v>
      </c>
      <c r="P96" s="1116">
        <v>0</v>
      </c>
      <c r="Q96" s="1116">
        <v>0</v>
      </c>
      <c r="R96" s="1116">
        <v>134868.39000000001</v>
      </c>
      <c r="S96" s="1116">
        <v>-1.29</v>
      </c>
      <c r="T96" s="1116">
        <v>150615.88</v>
      </c>
    </row>
    <row r="97" spans="1:20" ht="15" customHeight="1">
      <c r="A97" s="1092" t="s">
        <v>243</v>
      </c>
      <c r="B97" s="1093" t="s">
        <v>244</v>
      </c>
      <c r="C97" s="1473" t="s">
        <v>275</v>
      </c>
      <c r="D97" s="1094">
        <f t="shared" si="5"/>
        <v>1364216.3499999999</v>
      </c>
      <c r="E97" s="1095">
        <f t="shared" si="6"/>
        <v>545934.6</v>
      </c>
      <c r="F97" s="1096">
        <f t="shared" si="7"/>
        <v>463256.32000000001</v>
      </c>
      <c r="G97" s="1097">
        <f t="shared" si="8"/>
        <v>460375.57</v>
      </c>
      <c r="H97" s="1096">
        <f t="shared" si="8"/>
        <v>2880.75</v>
      </c>
      <c r="I97" s="1116">
        <v>1350911.41</v>
      </c>
      <c r="J97" s="1116">
        <v>0</v>
      </c>
      <c r="K97" s="1116">
        <v>545934.6</v>
      </c>
      <c r="L97" s="1116">
        <v>347938.18</v>
      </c>
      <c r="M97" s="1116">
        <v>2881.41</v>
      </c>
      <c r="N97" s="1116">
        <v>2247665.6</v>
      </c>
      <c r="O97" s="1116">
        <v>13304.94</v>
      </c>
      <c r="P97" s="1116">
        <v>0</v>
      </c>
      <c r="Q97" s="1116">
        <v>0</v>
      </c>
      <c r="R97" s="1116">
        <v>112437.39</v>
      </c>
      <c r="S97" s="1116">
        <v>-0.66</v>
      </c>
      <c r="T97" s="1116">
        <v>125741.67</v>
      </c>
    </row>
    <row r="98" spans="1:20" ht="15" customHeight="1">
      <c r="A98" s="1092" t="s">
        <v>245</v>
      </c>
      <c r="B98" s="1093" t="s">
        <v>246</v>
      </c>
      <c r="C98" s="1473" t="s">
        <v>275</v>
      </c>
      <c r="D98" s="1094">
        <f t="shared" si="5"/>
        <v>579479.52</v>
      </c>
      <c r="E98" s="1095">
        <f t="shared" si="6"/>
        <v>232515.92</v>
      </c>
      <c r="F98" s="1096">
        <f t="shared" si="7"/>
        <v>205093.12</v>
      </c>
      <c r="G98" s="1097">
        <f t="shared" si="8"/>
        <v>185679.43</v>
      </c>
      <c r="H98" s="1096">
        <f t="shared" si="8"/>
        <v>19413.689999999999</v>
      </c>
      <c r="I98" s="1116">
        <v>575065.35</v>
      </c>
      <c r="J98" s="1116">
        <v>0</v>
      </c>
      <c r="K98" s="1116">
        <v>232515.92</v>
      </c>
      <c r="L98" s="1116">
        <v>148132.71</v>
      </c>
      <c r="M98" s="1116">
        <v>19413.93</v>
      </c>
      <c r="N98" s="1116">
        <v>975127.91</v>
      </c>
      <c r="O98" s="1116">
        <v>4414.17</v>
      </c>
      <c r="P98" s="1116">
        <v>0</v>
      </c>
      <c r="Q98" s="1116">
        <v>0</v>
      </c>
      <c r="R98" s="1116">
        <v>37546.720000000001</v>
      </c>
      <c r="S98" s="1116">
        <v>-0.24</v>
      </c>
      <c r="T98" s="1116">
        <v>41960.65</v>
      </c>
    </row>
    <row r="99" spans="1:20" ht="15" customHeight="1">
      <c r="A99" s="1092" t="s">
        <v>247</v>
      </c>
      <c r="B99" s="1093" t="s">
        <v>332</v>
      </c>
      <c r="C99" s="1473" t="s">
        <v>271</v>
      </c>
      <c r="D99" s="1094">
        <f t="shared" si="5"/>
        <v>838837.51</v>
      </c>
      <c r="E99" s="1095">
        <f t="shared" si="6"/>
        <v>293416.90999999997</v>
      </c>
      <c r="F99" s="1096">
        <f t="shared" si="7"/>
        <v>1214150.17</v>
      </c>
      <c r="G99" s="1097">
        <f t="shared" si="8"/>
        <v>1178902.5</v>
      </c>
      <c r="H99" s="1096">
        <f t="shared" si="8"/>
        <v>35247.67</v>
      </c>
      <c r="I99" s="1116">
        <v>724008.75</v>
      </c>
      <c r="J99" s="1116">
        <v>0</v>
      </c>
      <c r="K99" s="1116">
        <v>293416.90999999997</v>
      </c>
      <c r="L99" s="1116">
        <v>186626.95</v>
      </c>
      <c r="M99" s="1116">
        <v>21229.48</v>
      </c>
      <c r="N99" s="1116">
        <v>1225282.0900000001</v>
      </c>
      <c r="O99" s="1116">
        <v>114828.76</v>
      </c>
      <c r="P99" s="1116">
        <v>0</v>
      </c>
      <c r="Q99" s="1116">
        <v>0</v>
      </c>
      <c r="R99" s="1116">
        <v>992275.55</v>
      </c>
      <c r="S99" s="1116">
        <v>14018.19</v>
      </c>
      <c r="T99" s="1116">
        <v>1121122.5</v>
      </c>
    </row>
    <row r="100" spans="1:20" ht="15" customHeight="1">
      <c r="A100" s="1092" t="s">
        <v>14</v>
      </c>
      <c r="B100" s="1093" t="s">
        <v>15</v>
      </c>
      <c r="C100" s="1473" t="s">
        <v>274</v>
      </c>
      <c r="D100" s="1094">
        <f t="shared" si="5"/>
        <v>3256355.7699999996</v>
      </c>
      <c r="E100" s="1095">
        <f t="shared" si="6"/>
        <v>1041117.11</v>
      </c>
      <c r="F100" s="1096">
        <f t="shared" si="7"/>
        <v>6808558.7700000005</v>
      </c>
      <c r="G100" s="1097">
        <f t="shared" si="8"/>
        <v>6556702.1200000001</v>
      </c>
      <c r="H100" s="1096">
        <f t="shared" si="8"/>
        <v>251856.65000000002</v>
      </c>
      <c r="I100" s="1116">
        <v>2575747.3199999998</v>
      </c>
      <c r="J100" s="1116">
        <v>0</v>
      </c>
      <c r="K100" s="1116">
        <v>1041117.11</v>
      </c>
      <c r="L100" s="1116">
        <v>663446.11</v>
      </c>
      <c r="M100" s="1116">
        <v>96146.08</v>
      </c>
      <c r="N100" s="1116">
        <v>4376456.62</v>
      </c>
      <c r="O100" s="1116">
        <v>680608.45</v>
      </c>
      <c r="P100" s="1116">
        <v>0</v>
      </c>
      <c r="Q100" s="1116">
        <v>0</v>
      </c>
      <c r="R100" s="1116">
        <v>5893256.0099999998</v>
      </c>
      <c r="S100" s="1116">
        <v>155710.57</v>
      </c>
      <c r="T100" s="1116">
        <v>6729575.0300000003</v>
      </c>
    </row>
    <row r="101" spans="1:20" ht="15" customHeight="1">
      <c r="A101" s="1092" t="s">
        <v>35</v>
      </c>
      <c r="B101" s="1093" t="s">
        <v>36</v>
      </c>
      <c r="C101" s="1473" t="s">
        <v>275</v>
      </c>
      <c r="D101" s="1094">
        <f t="shared" si="5"/>
        <v>635948.5</v>
      </c>
      <c r="E101" s="1095">
        <f t="shared" si="6"/>
        <v>256527.34</v>
      </c>
      <c r="F101" s="1096">
        <f t="shared" si="7"/>
        <v>186737.27</v>
      </c>
      <c r="G101" s="1097">
        <f t="shared" si="8"/>
        <v>176861.31</v>
      </c>
      <c r="H101" s="1096">
        <f t="shared" si="8"/>
        <v>9875.9600000000009</v>
      </c>
      <c r="I101" s="1116">
        <v>634392.22</v>
      </c>
      <c r="J101" s="1116">
        <v>0</v>
      </c>
      <c r="K101" s="1116">
        <v>256527.34</v>
      </c>
      <c r="L101" s="1116">
        <v>163417.44</v>
      </c>
      <c r="M101" s="1116">
        <v>9876.11</v>
      </c>
      <c r="N101" s="1116">
        <v>1064213.1100000001</v>
      </c>
      <c r="O101" s="1116">
        <v>1556.28</v>
      </c>
      <c r="P101" s="1116">
        <v>0</v>
      </c>
      <c r="Q101" s="1116">
        <v>0</v>
      </c>
      <c r="R101" s="1116">
        <v>13443.87</v>
      </c>
      <c r="S101" s="1116">
        <v>-0.15</v>
      </c>
      <c r="T101" s="1116">
        <v>15000</v>
      </c>
    </row>
    <row r="102" spans="1:20" ht="15" customHeight="1">
      <c r="A102" s="1092" t="s">
        <v>53</v>
      </c>
      <c r="B102" s="1093" t="s">
        <v>54</v>
      </c>
      <c r="C102" s="1473" t="s">
        <v>272</v>
      </c>
      <c r="D102" s="1094">
        <f t="shared" si="5"/>
        <v>1731449.86</v>
      </c>
      <c r="E102" s="1095">
        <f t="shared" si="6"/>
        <v>639654.26</v>
      </c>
      <c r="F102" s="1096">
        <f t="shared" si="7"/>
        <v>1651770</v>
      </c>
      <c r="G102" s="1097">
        <f t="shared" si="8"/>
        <v>1639584.03</v>
      </c>
      <c r="H102" s="1096">
        <f t="shared" si="8"/>
        <v>12185.97</v>
      </c>
      <c r="I102" s="1116">
        <v>1584935.81</v>
      </c>
      <c r="J102" s="1116">
        <v>0</v>
      </c>
      <c r="K102" s="1116">
        <v>639654.26</v>
      </c>
      <c r="L102" s="1116">
        <v>408056.25</v>
      </c>
      <c r="M102" s="1116">
        <v>11819.01</v>
      </c>
      <c r="N102" s="1116">
        <v>2644465.33</v>
      </c>
      <c r="O102" s="1116">
        <v>146514.04999999999</v>
      </c>
      <c r="P102" s="1116">
        <v>0</v>
      </c>
      <c r="Q102" s="1116">
        <v>0</v>
      </c>
      <c r="R102" s="1116">
        <v>1231527.78</v>
      </c>
      <c r="S102" s="1116">
        <v>366.96</v>
      </c>
      <c r="T102" s="1116">
        <v>1378408.79</v>
      </c>
    </row>
    <row r="103" spans="1:20" ht="15" customHeight="1">
      <c r="A103" s="1092" t="s">
        <v>55</v>
      </c>
      <c r="B103" s="1093" t="s">
        <v>56</v>
      </c>
      <c r="C103" s="1473" t="s">
        <v>271</v>
      </c>
      <c r="D103" s="1094">
        <f t="shared" si="5"/>
        <v>2944169.83</v>
      </c>
      <c r="E103" s="1095">
        <f t="shared" si="6"/>
        <v>1099038.01</v>
      </c>
      <c r="F103" s="1096">
        <f t="shared" si="7"/>
        <v>2911316.6399999997</v>
      </c>
      <c r="G103" s="1097">
        <f t="shared" si="8"/>
        <v>2618163.8199999998</v>
      </c>
      <c r="H103" s="1096">
        <f t="shared" si="8"/>
        <v>293152.82</v>
      </c>
      <c r="I103" s="1116">
        <v>2719732.47</v>
      </c>
      <c r="J103" s="1116">
        <v>0</v>
      </c>
      <c r="K103" s="1116">
        <v>1099038.01</v>
      </c>
      <c r="L103" s="1116">
        <v>700481.57</v>
      </c>
      <c r="M103" s="1116">
        <v>50044.92</v>
      </c>
      <c r="N103" s="1116">
        <v>4569296.97</v>
      </c>
      <c r="O103" s="1116">
        <v>224437.36</v>
      </c>
      <c r="P103" s="1116">
        <v>0</v>
      </c>
      <c r="Q103" s="1116">
        <v>0</v>
      </c>
      <c r="R103" s="1116">
        <v>1917682.25</v>
      </c>
      <c r="S103" s="1116">
        <v>243107.9</v>
      </c>
      <c r="T103" s="1116">
        <v>2385227.5099999998</v>
      </c>
    </row>
    <row r="104" spans="1:20" ht="15" customHeight="1">
      <c r="A104" s="1092" t="s">
        <v>67</v>
      </c>
      <c r="B104" s="1093" t="s">
        <v>68</v>
      </c>
      <c r="C104" s="1473" t="s">
        <v>272</v>
      </c>
      <c r="D104" s="1094">
        <f t="shared" si="5"/>
        <v>1351760.36</v>
      </c>
      <c r="E104" s="1095">
        <f t="shared" si="6"/>
        <v>546479.44999999995</v>
      </c>
      <c r="F104" s="1096">
        <f t="shared" si="7"/>
        <v>350311.89999999997</v>
      </c>
      <c r="G104" s="1097">
        <f t="shared" si="8"/>
        <v>348195.68</v>
      </c>
      <c r="H104" s="1096">
        <f t="shared" si="8"/>
        <v>2116.2199999999998</v>
      </c>
      <c r="I104" s="1116">
        <v>1351760.36</v>
      </c>
      <c r="J104" s="1116">
        <v>0</v>
      </c>
      <c r="K104" s="1116">
        <v>546479.44999999995</v>
      </c>
      <c r="L104" s="1116">
        <v>348195.68</v>
      </c>
      <c r="M104" s="1116">
        <v>2116.2199999999998</v>
      </c>
      <c r="N104" s="1116">
        <v>2248551.71</v>
      </c>
      <c r="O104" s="1117"/>
      <c r="P104" s="1117"/>
      <c r="Q104" s="1117"/>
      <c r="R104" s="1117"/>
      <c r="S104" s="1117"/>
      <c r="T104" s="1117"/>
    </row>
    <row r="105" spans="1:20" ht="15" customHeight="1">
      <c r="A105" s="1092" t="s">
        <v>83</v>
      </c>
      <c r="B105" s="1093" t="s">
        <v>333</v>
      </c>
      <c r="C105" s="1473" t="s">
        <v>271</v>
      </c>
      <c r="D105" s="1094">
        <f t="shared" si="5"/>
        <v>245911.78</v>
      </c>
      <c r="E105" s="1095">
        <f t="shared" si="6"/>
        <v>94649.33</v>
      </c>
      <c r="F105" s="1096">
        <f t="shared" si="7"/>
        <v>163236.5</v>
      </c>
      <c r="G105" s="1097">
        <f t="shared" si="8"/>
        <v>159294.98000000001</v>
      </c>
      <c r="H105" s="1096">
        <f t="shared" si="8"/>
        <v>3941.52</v>
      </c>
      <c r="I105" s="1116">
        <v>234263.24</v>
      </c>
      <c r="J105" s="1116">
        <v>0</v>
      </c>
      <c r="K105" s="1116">
        <v>94649.33</v>
      </c>
      <c r="L105" s="1116">
        <v>60330.26</v>
      </c>
      <c r="M105" s="1116">
        <v>3795.6</v>
      </c>
      <c r="N105" s="1116">
        <v>393038.43</v>
      </c>
      <c r="O105" s="1116">
        <v>11648.54</v>
      </c>
      <c r="P105" s="1116">
        <v>0</v>
      </c>
      <c r="Q105" s="1116">
        <v>0</v>
      </c>
      <c r="R105" s="1116">
        <v>98964.72</v>
      </c>
      <c r="S105" s="1116">
        <v>145.91999999999999</v>
      </c>
      <c r="T105" s="1116">
        <v>110759.18</v>
      </c>
    </row>
    <row r="106" spans="1:20" ht="15" customHeight="1">
      <c r="A106" s="1092" t="s">
        <v>89</v>
      </c>
      <c r="B106" s="1093" t="s">
        <v>90</v>
      </c>
      <c r="C106" s="1473" t="s">
        <v>274</v>
      </c>
      <c r="D106" s="1094">
        <f t="shared" si="5"/>
        <v>579535.88</v>
      </c>
      <c r="E106" s="1095">
        <f t="shared" si="6"/>
        <v>215677.21</v>
      </c>
      <c r="F106" s="1096">
        <f t="shared" si="7"/>
        <v>528415.56999999995</v>
      </c>
      <c r="G106" s="1097">
        <f t="shared" si="8"/>
        <v>527790.16999999993</v>
      </c>
      <c r="H106" s="1096">
        <f t="shared" si="8"/>
        <v>625.40000000000009</v>
      </c>
      <c r="I106" s="1116">
        <v>533972.31000000006</v>
      </c>
      <c r="J106" s="1116">
        <v>0</v>
      </c>
      <c r="K106" s="1116">
        <v>215677.21</v>
      </c>
      <c r="L106" s="1116">
        <v>137507.38</v>
      </c>
      <c r="M106" s="1116">
        <v>3574.77</v>
      </c>
      <c r="N106" s="1116">
        <v>890731.67</v>
      </c>
      <c r="O106" s="1116">
        <v>45563.57</v>
      </c>
      <c r="P106" s="1116">
        <v>0</v>
      </c>
      <c r="Q106" s="1116">
        <v>0</v>
      </c>
      <c r="R106" s="1116">
        <v>390282.79</v>
      </c>
      <c r="S106" s="1116">
        <v>-2949.37</v>
      </c>
      <c r="T106" s="1116">
        <v>432896.99</v>
      </c>
    </row>
    <row r="107" spans="1:20" ht="15" customHeight="1">
      <c r="A107" s="1092" t="s">
        <v>91</v>
      </c>
      <c r="B107" s="1093" t="s">
        <v>92</v>
      </c>
      <c r="C107" s="1473" t="s">
        <v>275</v>
      </c>
      <c r="D107" s="1094">
        <f t="shared" si="5"/>
        <v>199826.55</v>
      </c>
      <c r="E107" s="1095">
        <f t="shared" si="6"/>
        <v>80737.86</v>
      </c>
      <c r="F107" s="1096">
        <f t="shared" si="7"/>
        <v>58630.020000000004</v>
      </c>
      <c r="G107" s="1097">
        <f t="shared" si="8"/>
        <v>51461.72</v>
      </c>
      <c r="H107" s="1096">
        <f t="shared" si="8"/>
        <v>7168.3</v>
      </c>
      <c r="I107" s="1116">
        <v>199826.55</v>
      </c>
      <c r="J107" s="1116">
        <v>0</v>
      </c>
      <c r="K107" s="1116">
        <v>80737.86</v>
      </c>
      <c r="L107" s="1116">
        <v>51461.72</v>
      </c>
      <c r="M107" s="1116">
        <v>7168.3</v>
      </c>
      <c r="N107" s="1116">
        <v>339194.43</v>
      </c>
      <c r="O107" s="1117"/>
      <c r="P107" s="1117"/>
      <c r="Q107" s="1117"/>
      <c r="R107" s="1117"/>
      <c r="S107" s="1117"/>
      <c r="T107" s="1117"/>
    </row>
    <row r="108" spans="1:20" ht="15" customHeight="1">
      <c r="A108" s="1092" t="s">
        <v>107</v>
      </c>
      <c r="B108" s="1093" t="s">
        <v>108</v>
      </c>
      <c r="C108" s="1473" t="s">
        <v>271</v>
      </c>
      <c r="D108" s="1094">
        <f t="shared" si="5"/>
        <v>2809858.89</v>
      </c>
      <c r="E108" s="1095">
        <f t="shared" si="6"/>
        <v>1131946.8700000001</v>
      </c>
      <c r="F108" s="1096">
        <f t="shared" si="7"/>
        <v>819668.24</v>
      </c>
      <c r="G108" s="1097">
        <f t="shared" si="8"/>
        <v>797422.99</v>
      </c>
      <c r="H108" s="1096">
        <f t="shared" si="8"/>
        <v>22245.25</v>
      </c>
      <c r="I108" s="1116">
        <v>2800877.73</v>
      </c>
      <c r="J108" s="1116">
        <v>0</v>
      </c>
      <c r="K108" s="1116">
        <v>1131946.8700000001</v>
      </c>
      <c r="L108" s="1116">
        <v>721401.78</v>
      </c>
      <c r="M108" s="1116">
        <v>22247.62</v>
      </c>
      <c r="N108" s="1116">
        <v>4676474</v>
      </c>
      <c r="O108" s="1116">
        <v>8981.16</v>
      </c>
      <c r="P108" s="1116">
        <v>0</v>
      </c>
      <c r="Q108" s="1116">
        <v>0</v>
      </c>
      <c r="R108" s="1116">
        <v>76021.210000000006</v>
      </c>
      <c r="S108" s="1116">
        <v>-2.37</v>
      </c>
      <c r="T108" s="1116">
        <v>85000</v>
      </c>
    </row>
    <row r="109" spans="1:20" ht="15" customHeight="1">
      <c r="A109" s="1092" t="s">
        <v>117</v>
      </c>
      <c r="B109" s="1093" t="s">
        <v>118</v>
      </c>
      <c r="C109" s="1473" t="s">
        <v>273</v>
      </c>
      <c r="D109" s="1094">
        <f t="shared" si="5"/>
        <v>633134.78</v>
      </c>
      <c r="E109" s="1095">
        <f t="shared" si="6"/>
        <v>255896.05</v>
      </c>
      <c r="F109" s="1096">
        <f t="shared" si="7"/>
        <v>163054.29999999999</v>
      </c>
      <c r="G109" s="1097">
        <f t="shared" si="8"/>
        <v>163072.51999999999</v>
      </c>
      <c r="H109" s="1096">
        <f t="shared" si="8"/>
        <v>-18.220000000000002</v>
      </c>
      <c r="I109" s="1116">
        <v>633134.5</v>
      </c>
      <c r="J109" s="1116">
        <v>0</v>
      </c>
      <c r="K109" s="1116">
        <v>255896.05</v>
      </c>
      <c r="L109" s="1116">
        <v>163072.25</v>
      </c>
      <c r="M109" s="1116">
        <v>-17.670000000000002</v>
      </c>
      <c r="N109" s="1116">
        <v>1052085.1299999999</v>
      </c>
      <c r="O109" s="1116">
        <v>0.28000000000000003</v>
      </c>
      <c r="P109" s="1116">
        <v>0</v>
      </c>
      <c r="Q109" s="1116">
        <v>0</v>
      </c>
      <c r="R109" s="1116">
        <v>0.27</v>
      </c>
      <c r="S109" s="1116">
        <v>-0.55000000000000004</v>
      </c>
      <c r="T109" s="1116">
        <v>0</v>
      </c>
    </row>
    <row r="110" spans="1:20" ht="15" customHeight="1">
      <c r="A110" s="1092" t="s">
        <v>139</v>
      </c>
      <c r="B110" s="1093" t="s">
        <v>140</v>
      </c>
      <c r="C110" s="1473" t="s">
        <v>272</v>
      </c>
      <c r="D110" s="1094">
        <f t="shared" si="5"/>
        <v>2041572.03</v>
      </c>
      <c r="E110" s="1095">
        <f t="shared" si="6"/>
        <v>814683.59</v>
      </c>
      <c r="F110" s="1096">
        <f t="shared" si="7"/>
        <v>749412.02000000014</v>
      </c>
      <c r="G110" s="1097">
        <f t="shared" si="8"/>
        <v>745633.59000000008</v>
      </c>
      <c r="H110" s="1096">
        <f t="shared" si="8"/>
        <v>3778.43</v>
      </c>
      <c r="I110" s="1116">
        <v>2014542.77</v>
      </c>
      <c r="J110" s="1116">
        <v>0</v>
      </c>
      <c r="K110" s="1116">
        <v>814683.59</v>
      </c>
      <c r="L110" s="1116">
        <v>518968.33</v>
      </c>
      <c r="M110" s="1116">
        <v>3781.22</v>
      </c>
      <c r="N110" s="1116">
        <v>3351975.91</v>
      </c>
      <c r="O110" s="1116">
        <v>27029.26</v>
      </c>
      <c r="P110" s="1116">
        <v>0</v>
      </c>
      <c r="Q110" s="1116">
        <v>0</v>
      </c>
      <c r="R110" s="1116">
        <v>226665.26</v>
      </c>
      <c r="S110" s="1116">
        <v>-2.79</v>
      </c>
      <c r="T110" s="1116">
        <v>253691.73</v>
      </c>
    </row>
    <row r="111" spans="1:20" ht="15" customHeight="1">
      <c r="A111" s="1092" t="s">
        <v>143</v>
      </c>
      <c r="B111" s="1093" t="s">
        <v>144</v>
      </c>
      <c r="C111" s="1473" t="s">
        <v>274</v>
      </c>
      <c r="D111" s="1094">
        <f t="shared" si="5"/>
        <v>455214.9</v>
      </c>
      <c r="E111" s="1095">
        <f t="shared" si="6"/>
        <v>160546.23999999999</v>
      </c>
      <c r="F111" s="1096">
        <f t="shared" si="7"/>
        <v>602434.43999999994</v>
      </c>
      <c r="G111" s="1097">
        <f t="shared" si="8"/>
        <v>602447.49</v>
      </c>
      <c r="H111" s="1096">
        <f t="shared" si="8"/>
        <v>-13.05</v>
      </c>
      <c r="I111" s="1116">
        <v>397082.09</v>
      </c>
      <c r="J111" s="1116">
        <v>0</v>
      </c>
      <c r="K111" s="1116">
        <v>160546.23999999999</v>
      </c>
      <c r="L111" s="1116">
        <v>102285.73</v>
      </c>
      <c r="M111" s="1116">
        <v>-6.59</v>
      </c>
      <c r="N111" s="1116">
        <v>659907.47</v>
      </c>
      <c r="O111" s="1116">
        <v>58132.81</v>
      </c>
      <c r="P111" s="1116">
        <v>0</v>
      </c>
      <c r="Q111" s="1116">
        <v>0</v>
      </c>
      <c r="R111" s="1116">
        <v>500161.76</v>
      </c>
      <c r="S111" s="1116">
        <v>-6.46</v>
      </c>
      <c r="T111" s="1116">
        <v>558288.11</v>
      </c>
    </row>
    <row r="112" spans="1:20" ht="15" customHeight="1">
      <c r="A112" s="1092" t="s">
        <v>145</v>
      </c>
      <c r="B112" s="1093" t="s">
        <v>146</v>
      </c>
      <c r="C112" s="1473" t="s">
        <v>274</v>
      </c>
      <c r="D112" s="1094">
        <f t="shared" si="5"/>
        <v>197118.2</v>
      </c>
      <c r="E112" s="1095">
        <f t="shared" si="6"/>
        <v>69081.5</v>
      </c>
      <c r="F112" s="1096">
        <f t="shared" si="7"/>
        <v>272645.26</v>
      </c>
      <c r="G112" s="1097">
        <f t="shared" si="8"/>
        <v>272652.56</v>
      </c>
      <c r="H112" s="1096">
        <f t="shared" si="8"/>
        <v>-7.3</v>
      </c>
      <c r="I112" s="1116">
        <v>170443.76</v>
      </c>
      <c r="J112" s="1116">
        <v>0</v>
      </c>
      <c r="K112" s="1116">
        <v>69081.5</v>
      </c>
      <c r="L112" s="1116">
        <v>43935.53</v>
      </c>
      <c r="M112" s="1116">
        <v>-4.79</v>
      </c>
      <c r="N112" s="1116">
        <v>283456</v>
      </c>
      <c r="O112" s="1116">
        <v>26674.44</v>
      </c>
      <c r="P112" s="1116">
        <v>0</v>
      </c>
      <c r="Q112" s="1116">
        <v>0</v>
      </c>
      <c r="R112" s="1116">
        <v>228717.03</v>
      </c>
      <c r="S112" s="1116">
        <v>-2.5099999999999998</v>
      </c>
      <c r="T112" s="1116">
        <v>255388.96</v>
      </c>
    </row>
    <row r="113" spans="1:20" ht="15" customHeight="1">
      <c r="A113" s="1092" t="s">
        <v>159</v>
      </c>
      <c r="B113" s="1093" t="s">
        <v>160</v>
      </c>
      <c r="C113" s="1473" t="s">
        <v>271</v>
      </c>
      <c r="D113" s="1094">
        <f t="shared" si="5"/>
        <v>5707120.4900000002</v>
      </c>
      <c r="E113" s="1095">
        <f t="shared" si="6"/>
        <v>2103254.2599999998</v>
      </c>
      <c r="F113" s="1096">
        <f t="shared" si="7"/>
        <v>5483191.7699999996</v>
      </c>
      <c r="G113" s="1097">
        <f t="shared" si="8"/>
        <v>5483212</v>
      </c>
      <c r="H113" s="1096">
        <f t="shared" si="8"/>
        <v>-20.23</v>
      </c>
      <c r="I113" s="1116">
        <v>5212582.4000000004</v>
      </c>
      <c r="J113" s="1116">
        <v>0</v>
      </c>
      <c r="K113" s="1116">
        <v>2103254.2599999998</v>
      </c>
      <c r="L113" s="1116">
        <v>1341955.6200000001</v>
      </c>
      <c r="M113" s="1116">
        <v>-15.28</v>
      </c>
      <c r="N113" s="1116">
        <v>8657777</v>
      </c>
      <c r="O113" s="1116">
        <v>494538.09</v>
      </c>
      <c r="P113" s="1116">
        <v>0</v>
      </c>
      <c r="Q113" s="1116">
        <v>0</v>
      </c>
      <c r="R113" s="1116">
        <v>4141256.38</v>
      </c>
      <c r="S113" s="1116">
        <v>-4.95</v>
      </c>
      <c r="T113" s="1116">
        <v>4635789.5199999996</v>
      </c>
    </row>
    <row r="114" spans="1:20" ht="15" customHeight="1">
      <c r="A114" s="1092" t="s">
        <v>161</v>
      </c>
      <c r="B114" s="1093" t="s">
        <v>162</v>
      </c>
      <c r="C114" s="1473" t="s">
        <v>271</v>
      </c>
      <c r="D114" s="1094">
        <f t="shared" si="5"/>
        <v>7119812.7699999996</v>
      </c>
      <c r="E114" s="1095">
        <f t="shared" si="6"/>
        <v>2832696.87</v>
      </c>
      <c r="F114" s="1096">
        <f t="shared" si="7"/>
        <v>2837798.46</v>
      </c>
      <c r="G114" s="1097">
        <f t="shared" si="8"/>
        <v>2741379.02</v>
      </c>
      <c r="H114" s="1096">
        <f t="shared" si="8"/>
        <v>96419.44</v>
      </c>
      <c r="I114" s="1116">
        <v>7009655.75</v>
      </c>
      <c r="J114" s="1116">
        <v>0</v>
      </c>
      <c r="K114" s="1116">
        <v>2832696.87</v>
      </c>
      <c r="L114" s="1116">
        <v>1805399.27</v>
      </c>
      <c r="M114" s="1116">
        <v>67648.89</v>
      </c>
      <c r="N114" s="1116">
        <v>11715400.779999999</v>
      </c>
      <c r="O114" s="1116">
        <v>110157.02</v>
      </c>
      <c r="P114" s="1116">
        <v>0</v>
      </c>
      <c r="Q114" s="1116">
        <v>0</v>
      </c>
      <c r="R114" s="1116">
        <v>935979.75</v>
      </c>
      <c r="S114" s="1116">
        <v>28770.55</v>
      </c>
      <c r="T114" s="1116">
        <v>1074907.32</v>
      </c>
    </row>
    <row r="115" spans="1:20" ht="15" customHeight="1">
      <c r="A115" s="1092" t="s">
        <v>167</v>
      </c>
      <c r="B115" s="1093" t="s">
        <v>168</v>
      </c>
      <c r="C115" s="1473" t="s">
        <v>275</v>
      </c>
      <c r="D115" s="1094">
        <f t="shared" si="5"/>
        <v>172078</v>
      </c>
      <c r="E115" s="1095">
        <f t="shared" si="6"/>
        <v>65367.98</v>
      </c>
      <c r="F115" s="1096">
        <f t="shared" si="7"/>
        <v>139264.81</v>
      </c>
      <c r="G115" s="1097">
        <f t="shared" si="8"/>
        <v>128586.45999999999</v>
      </c>
      <c r="H115" s="1096">
        <f t="shared" si="8"/>
        <v>10678.349999999999</v>
      </c>
      <c r="I115" s="1116">
        <v>161925.84</v>
      </c>
      <c r="J115" s="1116">
        <v>0</v>
      </c>
      <c r="K115" s="1116">
        <v>65367.98</v>
      </c>
      <c r="L115" s="1116">
        <v>41690.339999999997</v>
      </c>
      <c r="M115" s="1116">
        <v>298.14</v>
      </c>
      <c r="N115" s="1116">
        <v>269282.3</v>
      </c>
      <c r="O115" s="1116">
        <v>10152.16</v>
      </c>
      <c r="P115" s="1116">
        <v>0</v>
      </c>
      <c r="Q115" s="1116">
        <v>0</v>
      </c>
      <c r="R115" s="1116">
        <v>86896.12</v>
      </c>
      <c r="S115" s="1116">
        <v>10380.209999999999</v>
      </c>
      <c r="T115" s="1116">
        <v>107428.49</v>
      </c>
    </row>
    <row r="116" spans="1:20" ht="15" customHeight="1">
      <c r="A116" s="1092" t="s">
        <v>177</v>
      </c>
      <c r="B116" s="1093" t="s">
        <v>178</v>
      </c>
      <c r="C116" s="1473" t="s">
        <v>273</v>
      </c>
      <c r="D116" s="1094">
        <f t="shared" si="5"/>
        <v>1541189.21</v>
      </c>
      <c r="E116" s="1095">
        <f t="shared" si="6"/>
        <v>622242.93999999994</v>
      </c>
      <c r="F116" s="1096">
        <f t="shared" si="7"/>
        <v>406463.27999999997</v>
      </c>
      <c r="G116" s="1097">
        <f t="shared" si="8"/>
        <v>396840.81</v>
      </c>
      <c r="H116" s="1096">
        <f t="shared" si="8"/>
        <v>9622.4699999999993</v>
      </c>
      <c r="I116" s="1116">
        <v>1541189.21</v>
      </c>
      <c r="J116" s="1116">
        <v>0</v>
      </c>
      <c r="K116" s="1116">
        <v>622242.93999999994</v>
      </c>
      <c r="L116" s="1116">
        <v>396840.81</v>
      </c>
      <c r="M116" s="1116">
        <v>9622.4699999999993</v>
      </c>
      <c r="N116" s="1116">
        <v>2569895.4300000002</v>
      </c>
      <c r="O116" s="1117"/>
      <c r="P116" s="1117"/>
      <c r="Q116" s="1117"/>
      <c r="R116" s="1117"/>
      <c r="S116" s="1117"/>
      <c r="T116" s="1117"/>
    </row>
    <row r="117" spans="1:20" ht="15" customHeight="1">
      <c r="A117" s="1092" t="s">
        <v>181</v>
      </c>
      <c r="B117" s="1093" t="s">
        <v>182</v>
      </c>
      <c r="C117" s="1473" t="s">
        <v>271</v>
      </c>
      <c r="D117" s="1094">
        <f t="shared" si="5"/>
        <v>3623810.87</v>
      </c>
      <c r="E117" s="1095">
        <f t="shared" si="6"/>
        <v>1397244.28</v>
      </c>
      <c r="F117" s="1096">
        <f t="shared" si="7"/>
        <v>2456686.5499999998</v>
      </c>
      <c r="G117" s="1097">
        <f t="shared" si="8"/>
        <v>2275386.75</v>
      </c>
      <c r="H117" s="1096">
        <f t="shared" si="8"/>
        <v>181299.8</v>
      </c>
      <c r="I117" s="1116">
        <v>3460783.31</v>
      </c>
      <c r="J117" s="1116">
        <v>0</v>
      </c>
      <c r="K117" s="1116">
        <v>1397244.28</v>
      </c>
      <c r="L117" s="1116">
        <v>891115.21</v>
      </c>
      <c r="M117" s="1116">
        <v>98787.22</v>
      </c>
      <c r="N117" s="1116">
        <v>5847930.0199999996</v>
      </c>
      <c r="O117" s="1116">
        <v>163027.56</v>
      </c>
      <c r="P117" s="1116">
        <v>0</v>
      </c>
      <c r="Q117" s="1116">
        <v>0</v>
      </c>
      <c r="R117" s="1116">
        <v>1384271.54</v>
      </c>
      <c r="S117" s="1116">
        <v>82512.58</v>
      </c>
      <c r="T117" s="1116">
        <v>1629811.68</v>
      </c>
    </row>
    <row r="118" spans="1:20" ht="15" customHeight="1">
      <c r="A118" s="1092" t="s">
        <v>193</v>
      </c>
      <c r="B118" s="1093" t="s">
        <v>194</v>
      </c>
      <c r="C118" s="1473" t="s">
        <v>275</v>
      </c>
      <c r="D118" s="1094">
        <f t="shared" si="5"/>
        <v>215944.78</v>
      </c>
      <c r="E118" s="1095">
        <f t="shared" si="6"/>
        <v>87279.74</v>
      </c>
      <c r="F118" s="1096">
        <f t="shared" si="7"/>
        <v>64753.19</v>
      </c>
      <c r="G118" s="1097">
        <f t="shared" si="8"/>
        <v>55617.42</v>
      </c>
      <c r="H118" s="1096">
        <f t="shared" si="8"/>
        <v>9135.77</v>
      </c>
      <c r="I118" s="1116">
        <v>215944.78</v>
      </c>
      <c r="J118" s="1116">
        <v>0</v>
      </c>
      <c r="K118" s="1116">
        <v>87279.74</v>
      </c>
      <c r="L118" s="1116">
        <v>55617.42</v>
      </c>
      <c r="M118" s="1116">
        <v>9135.77</v>
      </c>
      <c r="N118" s="1116">
        <v>367977.71</v>
      </c>
      <c r="O118" s="1117"/>
      <c r="P118" s="1117"/>
      <c r="Q118" s="1117"/>
      <c r="R118" s="1117"/>
      <c r="S118" s="1117"/>
      <c r="T118" s="1117"/>
    </row>
    <row r="119" spans="1:20" ht="15" customHeight="1">
      <c r="A119" s="1092" t="s">
        <v>197</v>
      </c>
      <c r="B119" s="1093" t="s">
        <v>334</v>
      </c>
      <c r="C119" s="1473" t="s">
        <v>273</v>
      </c>
      <c r="D119" s="1094">
        <f t="shared" si="5"/>
        <v>10224601.16</v>
      </c>
      <c r="E119" s="1095">
        <f t="shared" si="6"/>
        <v>4042603.8</v>
      </c>
      <c r="F119" s="1096">
        <f t="shared" si="7"/>
        <v>4453696.6399999997</v>
      </c>
      <c r="G119" s="1097">
        <f t="shared" si="8"/>
        <v>4453717.8899999997</v>
      </c>
      <c r="H119" s="1096">
        <f t="shared" si="8"/>
        <v>-21.25</v>
      </c>
      <c r="I119" s="1116">
        <v>10003674.84</v>
      </c>
      <c r="J119" s="1116">
        <v>0</v>
      </c>
      <c r="K119" s="1116">
        <v>4042603.8</v>
      </c>
      <c r="L119" s="1116">
        <v>2576532.48</v>
      </c>
      <c r="M119" s="1116">
        <v>-19.079999999999998</v>
      </c>
      <c r="N119" s="1116">
        <v>16622792.039999999</v>
      </c>
      <c r="O119" s="1116">
        <v>220926.32</v>
      </c>
      <c r="P119" s="1116">
        <v>0</v>
      </c>
      <c r="Q119" s="1116">
        <v>0</v>
      </c>
      <c r="R119" s="1116">
        <v>1877185.41</v>
      </c>
      <c r="S119" s="1116">
        <v>-2.17</v>
      </c>
      <c r="T119" s="1116">
        <v>2098109.56</v>
      </c>
    </row>
    <row r="120" spans="1:20" ht="15" customHeight="1">
      <c r="A120" s="1092" t="s">
        <v>201</v>
      </c>
      <c r="B120" s="1093" t="s">
        <v>335</v>
      </c>
      <c r="C120" s="1473" t="s">
        <v>272</v>
      </c>
      <c r="D120" s="1094">
        <f t="shared" si="5"/>
        <v>3668182.46</v>
      </c>
      <c r="E120" s="1095">
        <f t="shared" si="6"/>
        <v>1439531.89</v>
      </c>
      <c r="F120" s="1096">
        <f t="shared" si="7"/>
        <v>1944321.21</v>
      </c>
      <c r="G120" s="1097">
        <f t="shared" si="8"/>
        <v>1802458.96</v>
      </c>
      <c r="H120" s="1096">
        <f t="shared" si="8"/>
        <v>141862.25</v>
      </c>
      <c r="I120" s="1116">
        <v>3564012.14</v>
      </c>
      <c r="J120" s="1116">
        <v>0</v>
      </c>
      <c r="K120" s="1116">
        <v>1439531.89</v>
      </c>
      <c r="L120" s="1116">
        <v>917807.84</v>
      </c>
      <c r="M120" s="1116">
        <v>5054.4799999999996</v>
      </c>
      <c r="N120" s="1116">
        <v>5926406.3499999996</v>
      </c>
      <c r="O120" s="1116">
        <v>104170.32</v>
      </c>
      <c r="P120" s="1116">
        <v>0</v>
      </c>
      <c r="Q120" s="1116">
        <v>0</v>
      </c>
      <c r="R120" s="1116">
        <v>884651.12</v>
      </c>
      <c r="S120" s="1116">
        <v>136807.76999999999</v>
      </c>
      <c r="T120" s="1116">
        <v>1125629.21</v>
      </c>
    </row>
    <row r="121" spans="1:20" ht="15" customHeight="1">
      <c r="A121" s="1092" t="s">
        <v>223</v>
      </c>
      <c r="B121" s="1093" t="s">
        <v>224</v>
      </c>
      <c r="C121" s="1473" t="s">
        <v>271</v>
      </c>
      <c r="D121" s="1094">
        <f t="shared" si="5"/>
        <v>1772542.09</v>
      </c>
      <c r="E121" s="1095">
        <f t="shared" si="6"/>
        <v>662776.07999999996</v>
      </c>
      <c r="F121" s="1096">
        <f t="shared" si="7"/>
        <v>1574143.9899999998</v>
      </c>
      <c r="G121" s="1097">
        <f t="shared" si="8"/>
        <v>1557747.3399999999</v>
      </c>
      <c r="H121" s="1096">
        <f t="shared" si="8"/>
        <v>16396.650000000001</v>
      </c>
      <c r="I121" s="1116">
        <v>1640444.49</v>
      </c>
      <c r="J121" s="1116">
        <v>0</v>
      </c>
      <c r="K121" s="1116">
        <v>662776.07999999996</v>
      </c>
      <c r="L121" s="1116">
        <v>422481.44</v>
      </c>
      <c r="M121" s="1116">
        <v>8269.4699999999993</v>
      </c>
      <c r="N121" s="1116">
        <v>2733971.48</v>
      </c>
      <c r="O121" s="1116">
        <v>132097.60000000001</v>
      </c>
      <c r="P121" s="1116">
        <v>0</v>
      </c>
      <c r="Q121" s="1116">
        <v>0</v>
      </c>
      <c r="R121" s="1116">
        <v>1135265.8999999999</v>
      </c>
      <c r="S121" s="1116">
        <v>8127.18</v>
      </c>
      <c r="T121" s="1116">
        <v>1275490.68</v>
      </c>
    </row>
    <row r="122" spans="1:20" ht="15" customHeight="1">
      <c r="A122" s="1092" t="s">
        <v>231</v>
      </c>
      <c r="B122" s="1093" t="s">
        <v>232</v>
      </c>
      <c r="C122" s="1473" t="s">
        <v>271</v>
      </c>
      <c r="D122" s="1094">
        <f t="shared" si="5"/>
        <v>5129469.1500000004</v>
      </c>
      <c r="E122" s="1095">
        <f t="shared" si="6"/>
        <v>1833118.14</v>
      </c>
      <c r="F122" s="1096">
        <f t="shared" si="7"/>
        <v>6331608.0300000003</v>
      </c>
      <c r="G122" s="1097">
        <f t="shared" si="8"/>
        <v>6330387.4199999999</v>
      </c>
      <c r="H122" s="1096">
        <f t="shared" si="8"/>
        <v>1220.6100000000001</v>
      </c>
      <c r="I122" s="1116">
        <v>4529098.95</v>
      </c>
      <c r="J122" s="1116">
        <v>0</v>
      </c>
      <c r="K122" s="1116">
        <v>1833118.14</v>
      </c>
      <c r="L122" s="1116">
        <v>1167032.58</v>
      </c>
      <c r="M122" s="1116">
        <v>639.23</v>
      </c>
      <c r="N122" s="1116">
        <v>7529888.9000000004</v>
      </c>
      <c r="O122" s="1116">
        <v>600370.19999999995</v>
      </c>
      <c r="P122" s="1116">
        <v>0</v>
      </c>
      <c r="Q122" s="1116">
        <v>0</v>
      </c>
      <c r="R122" s="1116">
        <v>5163354.84</v>
      </c>
      <c r="S122" s="1116">
        <v>581.38</v>
      </c>
      <c r="T122" s="1116">
        <v>5764306.4199999999</v>
      </c>
    </row>
    <row r="123" spans="1:20" ht="15" customHeight="1">
      <c r="A123" s="1092" t="s">
        <v>239</v>
      </c>
      <c r="B123" s="1093" t="s">
        <v>240</v>
      </c>
      <c r="C123" s="1473" t="s">
        <v>271</v>
      </c>
      <c r="D123" s="1094">
        <f t="shared" si="5"/>
        <v>176692.56</v>
      </c>
      <c r="E123" s="1095">
        <f t="shared" si="6"/>
        <v>64829.14</v>
      </c>
      <c r="F123" s="1096">
        <f t="shared" si="7"/>
        <v>189212.04</v>
      </c>
      <c r="G123" s="1097">
        <f t="shared" si="8"/>
        <v>177935.6</v>
      </c>
      <c r="H123" s="1096">
        <f t="shared" si="8"/>
        <v>11276.44</v>
      </c>
      <c r="I123" s="1116">
        <v>160588.62</v>
      </c>
      <c r="J123" s="1116">
        <v>0</v>
      </c>
      <c r="K123" s="1116">
        <v>64829.14</v>
      </c>
      <c r="L123" s="1116">
        <v>41347.79</v>
      </c>
      <c r="M123" s="1116">
        <v>24.67</v>
      </c>
      <c r="N123" s="1116">
        <v>266790.21999999997</v>
      </c>
      <c r="O123" s="1116">
        <v>16103.94</v>
      </c>
      <c r="P123" s="1116">
        <v>0</v>
      </c>
      <c r="Q123" s="1116">
        <v>0</v>
      </c>
      <c r="R123" s="1116">
        <v>136587.81</v>
      </c>
      <c r="S123" s="1116">
        <v>11251.77</v>
      </c>
      <c r="T123" s="1116">
        <v>163943.51999999999</v>
      </c>
    </row>
    <row r="124" spans="1:20" ht="15" customHeight="1">
      <c r="A124" s="1092" t="s">
        <v>241</v>
      </c>
      <c r="B124" s="1093" t="s">
        <v>242</v>
      </c>
      <c r="C124" s="1473" t="s">
        <v>274</v>
      </c>
      <c r="D124" s="1094">
        <f t="shared" si="5"/>
        <v>683559.41999999993</v>
      </c>
      <c r="E124" s="1095">
        <f t="shared" si="6"/>
        <v>247937.7</v>
      </c>
      <c r="F124" s="1096">
        <f t="shared" si="7"/>
        <v>767055.59</v>
      </c>
      <c r="G124" s="1097">
        <f t="shared" si="8"/>
        <v>762323.39</v>
      </c>
      <c r="H124" s="1096">
        <f t="shared" si="8"/>
        <v>4732.2</v>
      </c>
      <c r="I124" s="1116">
        <v>613236.97</v>
      </c>
      <c r="J124" s="1116">
        <v>0</v>
      </c>
      <c r="K124" s="1116">
        <v>247937.7</v>
      </c>
      <c r="L124" s="1116">
        <v>157963.89000000001</v>
      </c>
      <c r="M124" s="1116">
        <v>3094.09</v>
      </c>
      <c r="N124" s="1116">
        <v>1022232.65</v>
      </c>
      <c r="O124" s="1116">
        <v>70322.45</v>
      </c>
      <c r="P124" s="1116">
        <v>0</v>
      </c>
      <c r="Q124" s="1116">
        <v>0</v>
      </c>
      <c r="R124" s="1116">
        <v>604359.5</v>
      </c>
      <c r="S124" s="1116">
        <v>1638.11</v>
      </c>
      <c r="T124" s="1116">
        <v>676320.06</v>
      </c>
    </row>
    <row r="126" spans="1:20" s="511" customFormat="1">
      <c r="A126" s="511" t="s">
        <v>1135</v>
      </c>
      <c r="B126" s="1082"/>
      <c r="C126" s="1082"/>
      <c r="D126" s="1016"/>
    </row>
    <row r="127" spans="1:20" s="511" customFormat="1"/>
    <row r="128" spans="1:20" s="542" customFormat="1">
      <c r="A128" s="542" t="s">
        <v>249</v>
      </c>
    </row>
    <row r="129" spans="1:3">
      <c r="A129" s="543" t="s">
        <v>250</v>
      </c>
      <c r="B129" s="544" t="s">
        <v>251</v>
      </c>
      <c r="C129" s="544"/>
    </row>
  </sheetData>
  <autoFilter ref="A3:C3"/>
  <hyperlinks>
    <hyperlink ref="B129" r:id="rId1"/>
  </hyperlinks>
  <pageMargins left="0.7" right="0.7" top="0.75" bottom="0.75" header="0.3" footer="0.3"/>
  <pageSetup orientation="portrait" r:id="rId2"/>
</worksheet>
</file>

<file path=xl/worksheets/sheet29.xml><?xml version="1.0" encoding="utf-8"?>
<worksheet xmlns="http://schemas.openxmlformats.org/spreadsheetml/2006/main" xmlns:r="http://schemas.openxmlformats.org/officeDocument/2006/relationships">
  <dimension ref="A1:Z129"/>
  <sheetViews>
    <sheetView workbookViewId="0">
      <pane ySplit="4" topLeftCell="A101" activePane="bottomLeft" state="frozen"/>
      <selection activeCell="A4" sqref="A4:F123"/>
      <selection pane="bottomLeft" activeCell="C5" sqref="C5:C124"/>
    </sheetView>
  </sheetViews>
  <sheetFormatPr defaultRowHeight="15.75"/>
  <cols>
    <col min="1" max="1" width="9.375" style="280" customWidth="1"/>
    <col min="2" max="2" width="29.75" style="280" customWidth="1"/>
    <col min="3" max="3" width="18.625" style="280" customWidth="1"/>
    <col min="4" max="4" width="10.875" style="280" bestFit="1" customWidth="1"/>
    <col min="5" max="5" width="8.375" style="280" bestFit="1" customWidth="1"/>
    <col min="6" max="6" width="11.5" style="280" bestFit="1" customWidth="1"/>
    <col min="7" max="7" width="10.875" style="280" bestFit="1" customWidth="1"/>
    <col min="8" max="8" width="13.625" style="280" customWidth="1"/>
    <col min="9" max="9" width="10.875" style="280" bestFit="1" customWidth="1"/>
    <col min="10" max="10" width="10.25" style="280" bestFit="1" customWidth="1"/>
    <col min="11" max="11" width="10.875" style="280" bestFit="1" customWidth="1"/>
    <col min="12" max="12" width="9.25" style="280" bestFit="1" customWidth="1"/>
    <col min="13" max="13" width="13.375" style="280" customWidth="1"/>
    <col min="14" max="14" width="11" style="280" bestFit="1" customWidth="1"/>
    <col min="15" max="15" width="8" style="280" bestFit="1" customWidth="1"/>
    <col min="16" max="16" width="10.25" style="280" bestFit="1" customWidth="1"/>
    <col min="17" max="17" width="12.25" style="280" customWidth="1"/>
    <col min="18" max="18" width="9.25" style="280" bestFit="1" customWidth="1"/>
    <col min="19" max="19" width="7.75" style="280" bestFit="1" customWidth="1"/>
    <col min="20" max="20" width="10.375" style="280" customWidth="1"/>
    <col min="21" max="21" width="13.25" style="280" customWidth="1"/>
    <col min="22" max="22" width="10.25" style="280" bestFit="1" customWidth="1"/>
    <col min="23" max="23" width="8.875" style="280" bestFit="1" customWidth="1"/>
    <col min="24" max="24" width="12.5" style="280" bestFit="1" customWidth="1"/>
    <col min="25" max="25" width="7.75" style="280" bestFit="1" customWidth="1"/>
    <col min="26" max="26" width="12.5" style="280" bestFit="1" customWidth="1"/>
    <col min="27" max="16384" width="9" style="280"/>
  </cols>
  <sheetData>
    <row r="1" spans="1:26">
      <c r="A1" s="64" t="s">
        <v>1030</v>
      </c>
      <c r="H1" s="1118"/>
      <c r="I1" s="1118"/>
      <c r="J1" s="1118"/>
      <c r="K1" s="1118"/>
      <c r="L1" s="1118"/>
    </row>
    <row r="2" spans="1:26">
      <c r="H2" s="1118"/>
      <c r="I2" s="1118"/>
      <c r="J2" s="1118"/>
      <c r="K2" s="1118"/>
      <c r="L2" s="1118"/>
    </row>
    <row r="3" spans="1:26" s="1119" customFormat="1" ht="31.5">
      <c r="A3" s="1132" t="s">
        <v>4</v>
      </c>
      <c r="B3" s="1133" t="s">
        <v>5</v>
      </c>
      <c r="C3" s="1474" t="s">
        <v>252</v>
      </c>
      <c r="D3" s="1134" t="s">
        <v>336</v>
      </c>
      <c r="E3" s="1135" t="s">
        <v>337</v>
      </c>
      <c r="F3" s="1113" t="s">
        <v>499</v>
      </c>
      <c r="G3" s="1136" t="s">
        <v>338</v>
      </c>
      <c r="H3" s="1113" t="s">
        <v>538</v>
      </c>
      <c r="I3" s="1222" t="s">
        <v>361</v>
      </c>
      <c r="J3" s="1223" t="s">
        <v>362</v>
      </c>
      <c r="K3" s="1223" t="s">
        <v>778</v>
      </c>
      <c r="L3" s="1223" t="s">
        <v>363</v>
      </c>
      <c r="M3" s="1224" t="s">
        <v>785</v>
      </c>
      <c r="N3" s="1225" t="s">
        <v>364</v>
      </c>
      <c r="O3" s="1222" t="s">
        <v>365</v>
      </c>
      <c r="P3" s="1223" t="s">
        <v>366</v>
      </c>
      <c r="Q3" s="1223" t="s">
        <v>367</v>
      </c>
      <c r="R3" s="1223" t="s">
        <v>368</v>
      </c>
      <c r="S3" s="1223" t="s">
        <v>369</v>
      </c>
      <c r="T3" s="1225" t="s">
        <v>370</v>
      </c>
      <c r="U3" s="1222" t="s">
        <v>371</v>
      </c>
      <c r="V3" s="1223" t="s">
        <v>372</v>
      </c>
      <c r="W3" s="1223" t="s">
        <v>373</v>
      </c>
      <c r="X3" s="1223" t="s">
        <v>374</v>
      </c>
      <c r="Y3" s="1223" t="s">
        <v>375</v>
      </c>
      <c r="Z3" s="1225" t="s">
        <v>376</v>
      </c>
    </row>
    <row r="4" spans="1:26">
      <c r="A4" s="1086">
        <v>999</v>
      </c>
      <c r="B4" s="1120" t="s">
        <v>9</v>
      </c>
      <c r="C4" s="1475"/>
      <c r="D4" s="1121">
        <f>SUM(D5:D124)</f>
        <v>16310536.010000004</v>
      </c>
      <c r="E4" s="1122">
        <f>SUM(E5:E124)</f>
        <v>28732.959999999999</v>
      </c>
      <c r="F4" s="1123">
        <f>SUM(F5:F124)</f>
        <v>16791007.520000003</v>
      </c>
      <c r="G4" s="1124">
        <f>SUM(G5:G124)</f>
        <v>16310536.010000004</v>
      </c>
      <c r="H4" s="1123">
        <f>SUM(H5:H124)</f>
        <v>480471.51</v>
      </c>
      <c r="I4" s="1226">
        <f>SUM(I7:I126)</f>
        <v>0</v>
      </c>
      <c r="J4" s="1125">
        <f>SUM(J7:J126)</f>
        <v>0</v>
      </c>
      <c r="K4" s="1125">
        <f>SUM(K7:K126)</f>
        <v>6043.92</v>
      </c>
      <c r="L4" s="1125">
        <f>SUM(L7:L126)</f>
        <v>0</v>
      </c>
      <c r="M4" s="1125">
        <f t="shared" ref="M4:Z4" si="0">SUM(M5:M124)</f>
        <v>480471.51</v>
      </c>
      <c r="N4" s="1126">
        <f t="shared" si="0"/>
        <v>486515.43000000005</v>
      </c>
      <c r="O4" s="1226">
        <f t="shared" si="0"/>
        <v>0</v>
      </c>
      <c r="P4" s="1125">
        <f t="shared" si="0"/>
        <v>0</v>
      </c>
      <c r="Q4" s="1125">
        <f t="shared" si="0"/>
        <v>22689.040000000001</v>
      </c>
      <c r="R4" s="1125">
        <f t="shared" si="0"/>
        <v>0</v>
      </c>
      <c r="S4" s="1125">
        <f t="shared" si="0"/>
        <v>0</v>
      </c>
      <c r="T4" s="1126">
        <f t="shared" si="0"/>
        <v>22689.040000000001</v>
      </c>
      <c r="U4" s="1226">
        <f t="shared" si="0"/>
        <v>16310536.010000004</v>
      </c>
      <c r="V4" s="1125">
        <f t="shared" si="0"/>
        <v>0</v>
      </c>
      <c r="W4" s="1125">
        <f t="shared" si="0"/>
        <v>0</v>
      </c>
      <c r="X4" s="1125">
        <f t="shared" si="0"/>
        <v>16310536.010000004</v>
      </c>
      <c r="Y4" s="1125">
        <f t="shared" si="0"/>
        <v>0</v>
      </c>
      <c r="Z4" s="1126">
        <f t="shared" si="0"/>
        <v>32621072.020000007</v>
      </c>
    </row>
    <row r="5" spans="1:26" ht="15" customHeight="1">
      <c r="A5" s="1092" t="s">
        <v>10</v>
      </c>
      <c r="B5" s="1127" t="s">
        <v>11</v>
      </c>
      <c r="C5" s="1476" t="s">
        <v>271</v>
      </c>
      <c r="D5" s="1128">
        <f>+I5+J5+O5+P5+U5+V5</f>
        <v>29839.33</v>
      </c>
      <c r="E5" s="1129">
        <f>+K5+Q5+W5</f>
        <v>0</v>
      </c>
      <c r="F5" s="1130">
        <f>+G5+H5</f>
        <v>34049</v>
      </c>
      <c r="G5" s="1131">
        <f>+L5+R5+X5</f>
        <v>29839.33</v>
      </c>
      <c r="H5" s="1130">
        <f>+M5+S5+Y5</f>
        <v>4209.67</v>
      </c>
      <c r="I5" s="1227">
        <v>0</v>
      </c>
      <c r="J5" s="1228">
        <v>0</v>
      </c>
      <c r="K5" s="1228">
        <v>0</v>
      </c>
      <c r="L5" s="1228">
        <v>0</v>
      </c>
      <c r="M5" s="1228">
        <v>4209.67</v>
      </c>
      <c r="N5" s="1229">
        <v>4209.67</v>
      </c>
      <c r="O5" s="1230"/>
      <c r="P5" s="1231"/>
      <c r="Q5" s="1231"/>
      <c r="R5" s="1231"/>
      <c r="S5" s="1231"/>
      <c r="T5" s="1232"/>
      <c r="U5" s="1227">
        <v>29839.33</v>
      </c>
      <c r="V5" s="1228">
        <v>0</v>
      </c>
      <c r="W5" s="1228">
        <v>0</v>
      </c>
      <c r="X5" s="1228">
        <v>29839.33</v>
      </c>
      <c r="Y5" s="1228">
        <v>0</v>
      </c>
      <c r="Z5" s="1229">
        <v>59678.66</v>
      </c>
    </row>
    <row r="6" spans="1:26" ht="15" customHeight="1">
      <c r="A6" s="1092" t="s">
        <v>12</v>
      </c>
      <c r="B6" s="1127" t="s">
        <v>13</v>
      </c>
      <c r="C6" s="1476" t="s">
        <v>272</v>
      </c>
      <c r="D6" s="1128">
        <f t="shared" ref="D6:D69" si="1">+I6+J6+O6+P6+U6+V6</f>
        <v>319212.15000000002</v>
      </c>
      <c r="E6" s="1129">
        <f t="shared" ref="E6:E69" si="2">+K6+Q6+W6</f>
        <v>0</v>
      </c>
      <c r="F6" s="1130">
        <f t="shared" ref="F6:F69" si="3">+G6+H6</f>
        <v>332805.60000000003</v>
      </c>
      <c r="G6" s="1131">
        <f t="shared" ref="G6:H69" si="4">+L6+R6+X6</f>
        <v>319212.15000000002</v>
      </c>
      <c r="H6" s="1130">
        <f t="shared" si="4"/>
        <v>13593.45</v>
      </c>
      <c r="I6" s="1227">
        <v>0</v>
      </c>
      <c r="J6" s="1228">
        <v>0</v>
      </c>
      <c r="K6" s="1228">
        <v>0</v>
      </c>
      <c r="L6" s="1228">
        <v>0</v>
      </c>
      <c r="M6" s="1228">
        <v>13593.45</v>
      </c>
      <c r="N6" s="1229">
        <v>13593.45</v>
      </c>
      <c r="O6" s="1230"/>
      <c r="P6" s="1231"/>
      <c r="Q6" s="1231"/>
      <c r="R6" s="1231"/>
      <c r="S6" s="1231"/>
      <c r="T6" s="1232"/>
      <c r="U6" s="1227">
        <v>319212.15000000002</v>
      </c>
      <c r="V6" s="1228">
        <v>0</v>
      </c>
      <c r="W6" s="1228">
        <v>0</v>
      </c>
      <c r="X6" s="1228">
        <v>319212.15000000002</v>
      </c>
      <c r="Y6" s="1228">
        <v>0</v>
      </c>
      <c r="Z6" s="1229">
        <v>638424.30000000005</v>
      </c>
    </row>
    <row r="7" spans="1:26" ht="15" customHeight="1">
      <c r="A7" s="1092" t="s">
        <v>16</v>
      </c>
      <c r="B7" s="1127" t="s">
        <v>307</v>
      </c>
      <c r="C7" s="1476" t="s">
        <v>272</v>
      </c>
      <c r="D7" s="1128">
        <f t="shared" si="1"/>
        <v>69906.740000000005</v>
      </c>
      <c r="E7" s="1129">
        <f t="shared" si="2"/>
        <v>0</v>
      </c>
      <c r="F7" s="1130">
        <f t="shared" si="3"/>
        <v>69906.740000000005</v>
      </c>
      <c r="G7" s="1131">
        <f t="shared" si="4"/>
        <v>69906.740000000005</v>
      </c>
      <c r="H7" s="1130">
        <f t="shared" si="4"/>
        <v>0</v>
      </c>
      <c r="I7" s="1230"/>
      <c r="J7" s="1231"/>
      <c r="K7" s="1231"/>
      <c r="L7" s="1231"/>
      <c r="M7" s="1231"/>
      <c r="N7" s="1232"/>
      <c r="O7" s="1230"/>
      <c r="P7" s="1231"/>
      <c r="Q7" s="1231"/>
      <c r="R7" s="1231"/>
      <c r="S7" s="1231"/>
      <c r="T7" s="1232"/>
      <c r="U7" s="1227">
        <v>69906.740000000005</v>
      </c>
      <c r="V7" s="1228">
        <v>0</v>
      </c>
      <c r="W7" s="1228">
        <v>0</v>
      </c>
      <c r="X7" s="1228">
        <v>69906.740000000005</v>
      </c>
      <c r="Y7" s="1228">
        <v>0</v>
      </c>
      <c r="Z7" s="1229">
        <v>139813.48000000001</v>
      </c>
    </row>
    <row r="8" spans="1:26" ht="15" customHeight="1">
      <c r="A8" s="1092" t="s">
        <v>18</v>
      </c>
      <c r="B8" s="1127" t="s">
        <v>19</v>
      </c>
      <c r="C8" s="1476" t="s">
        <v>273</v>
      </c>
      <c r="D8" s="1128">
        <f t="shared" si="1"/>
        <v>38419.97</v>
      </c>
      <c r="E8" s="1129">
        <f t="shared" si="2"/>
        <v>0</v>
      </c>
      <c r="F8" s="1130">
        <f t="shared" si="3"/>
        <v>38419.97</v>
      </c>
      <c r="G8" s="1131">
        <f t="shared" si="4"/>
        <v>38419.97</v>
      </c>
      <c r="H8" s="1130">
        <f t="shared" si="4"/>
        <v>0</v>
      </c>
      <c r="I8" s="1230"/>
      <c r="J8" s="1231"/>
      <c r="K8" s="1231"/>
      <c r="L8" s="1231"/>
      <c r="M8" s="1231"/>
      <c r="N8" s="1232"/>
      <c r="O8" s="1230"/>
      <c r="P8" s="1231"/>
      <c r="Q8" s="1231"/>
      <c r="R8" s="1231"/>
      <c r="S8" s="1231"/>
      <c r="T8" s="1232"/>
      <c r="U8" s="1227">
        <v>38419.97</v>
      </c>
      <c r="V8" s="1228">
        <v>0</v>
      </c>
      <c r="W8" s="1228">
        <v>0</v>
      </c>
      <c r="X8" s="1228">
        <v>38419.97</v>
      </c>
      <c r="Y8" s="1228">
        <v>0</v>
      </c>
      <c r="Z8" s="1229">
        <v>76839.94</v>
      </c>
    </row>
    <row r="9" spans="1:26" ht="15" customHeight="1">
      <c r="A9" s="1092" t="s">
        <v>20</v>
      </c>
      <c r="B9" s="1127" t="s">
        <v>21</v>
      </c>
      <c r="C9" s="1476" t="s">
        <v>272</v>
      </c>
      <c r="D9" s="1128">
        <f t="shared" si="1"/>
        <v>41149.449999999997</v>
      </c>
      <c r="E9" s="1129">
        <f t="shared" si="2"/>
        <v>0</v>
      </c>
      <c r="F9" s="1130">
        <f t="shared" si="3"/>
        <v>41149.449999999997</v>
      </c>
      <c r="G9" s="1131">
        <f t="shared" si="4"/>
        <v>41149.449999999997</v>
      </c>
      <c r="H9" s="1130">
        <f t="shared" si="4"/>
        <v>0</v>
      </c>
      <c r="I9" s="1230"/>
      <c r="J9" s="1231"/>
      <c r="K9" s="1231"/>
      <c r="L9" s="1231"/>
      <c r="M9" s="1231"/>
      <c r="N9" s="1232"/>
      <c r="O9" s="1230"/>
      <c r="P9" s="1231"/>
      <c r="Q9" s="1231"/>
      <c r="R9" s="1231"/>
      <c r="S9" s="1231"/>
      <c r="T9" s="1232"/>
      <c r="U9" s="1227">
        <v>41149.449999999997</v>
      </c>
      <c r="V9" s="1228">
        <v>0</v>
      </c>
      <c r="W9" s="1228">
        <v>0</v>
      </c>
      <c r="X9" s="1228">
        <v>41149.449999999997</v>
      </c>
      <c r="Y9" s="1228">
        <v>0</v>
      </c>
      <c r="Z9" s="1229">
        <v>82298.899999999994</v>
      </c>
    </row>
    <row r="10" spans="1:26" ht="15" customHeight="1">
      <c r="A10" s="1092" t="s">
        <v>22</v>
      </c>
      <c r="B10" s="1127" t="s">
        <v>23</v>
      </c>
      <c r="C10" s="1476" t="s">
        <v>272</v>
      </c>
      <c r="D10" s="1128">
        <f t="shared" si="1"/>
        <v>29433.759999999998</v>
      </c>
      <c r="E10" s="1129">
        <f t="shared" si="2"/>
        <v>0</v>
      </c>
      <c r="F10" s="1130">
        <f t="shared" si="3"/>
        <v>29433.759999999998</v>
      </c>
      <c r="G10" s="1131">
        <f t="shared" si="4"/>
        <v>29433.759999999998</v>
      </c>
      <c r="H10" s="1130">
        <f t="shared" si="4"/>
        <v>0</v>
      </c>
      <c r="I10" s="1230"/>
      <c r="J10" s="1231"/>
      <c r="K10" s="1231"/>
      <c r="L10" s="1231"/>
      <c r="M10" s="1231"/>
      <c r="N10" s="1232"/>
      <c r="O10" s="1230"/>
      <c r="P10" s="1231"/>
      <c r="Q10" s="1231"/>
      <c r="R10" s="1231"/>
      <c r="S10" s="1231"/>
      <c r="T10" s="1232"/>
      <c r="U10" s="1227">
        <v>29433.759999999998</v>
      </c>
      <c r="V10" s="1228">
        <v>0</v>
      </c>
      <c r="W10" s="1228">
        <v>0</v>
      </c>
      <c r="X10" s="1228">
        <v>29433.759999999998</v>
      </c>
      <c r="Y10" s="1228">
        <v>0</v>
      </c>
      <c r="Z10" s="1229">
        <v>58867.519999999997</v>
      </c>
    </row>
    <row r="11" spans="1:26" ht="15" customHeight="1">
      <c r="A11" s="1092" t="s">
        <v>24</v>
      </c>
      <c r="B11" s="1127" t="s">
        <v>25</v>
      </c>
      <c r="C11" s="1476" t="s">
        <v>274</v>
      </c>
      <c r="D11" s="1128">
        <f t="shared" si="1"/>
        <v>642244.78</v>
      </c>
      <c r="E11" s="1129">
        <f t="shared" si="2"/>
        <v>0</v>
      </c>
      <c r="F11" s="1130">
        <f t="shared" si="3"/>
        <v>642244.78</v>
      </c>
      <c r="G11" s="1131">
        <f t="shared" si="4"/>
        <v>642244.78</v>
      </c>
      <c r="H11" s="1130">
        <f t="shared" si="4"/>
        <v>0</v>
      </c>
      <c r="I11" s="1230"/>
      <c r="J11" s="1231"/>
      <c r="K11" s="1231"/>
      <c r="L11" s="1231"/>
      <c r="M11" s="1231"/>
      <c r="N11" s="1232"/>
      <c r="O11" s="1230"/>
      <c r="P11" s="1231"/>
      <c r="Q11" s="1231"/>
      <c r="R11" s="1231"/>
      <c r="S11" s="1231"/>
      <c r="T11" s="1232"/>
      <c r="U11" s="1227">
        <v>642244.78</v>
      </c>
      <c r="V11" s="1228">
        <v>0</v>
      </c>
      <c r="W11" s="1228">
        <v>0</v>
      </c>
      <c r="X11" s="1228">
        <v>642244.78</v>
      </c>
      <c r="Y11" s="1228">
        <v>0</v>
      </c>
      <c r="Z11" s="1229">
        <v>1284489.56</v>
      </c>
    </row>
    <row r="12" spans="1:26" ht="15" customHeight="1">
      <c r="A12" s="1092" t="s">
        <v>26</v>
      </c>
      <c r="B12" s="1127" t="s">
        <v>908</v>
      </c>
      <c r="C12" s="1476" t="s">
        <v>272</v>
      </c>
      <c r="D12" s="1128">
        <f t="shared" si="1"/>
        <v>151120.13</v>
      </c>
      <c r="E12" s="1129">
        <f t="shared" si="2"/>
        <v>0</v>
      </c>
      <c r="F12" s="1130">
        <f t="shared" si="3"/>
        <v>165890.85</v>
      </c>
      <c r="G12" s="1131">
        <f t="shared" si="4"/>
        <v>151120.13</v>
      </c>
      <c r="H12" s="1130">
        <f t="shared" si="4"/>
        <v>14770.72</v>
      </c>
      <c r="I12" s="1227">
        <v>0</v>
      </c>
      <c r="J12" s="1228">
        <v>0</v>
      </c>
      <c r="K12" s="1228">
        <v>0</v>
      </c>
      <c r="L12" s="1228">
        <v>0</v>
      </c>
      <c r="M12" s="1228">
        <v>14770.72</v>
      </c>
      <c r="N12" s="1229">
        <v>14770.72</v>
      </c>
      <c r="O12" s="1230"/>
      <c r="P12" s="1231"/>
      <c r="Q12" s="1231"/>
      <c r="R12" s="1231"/>
      <c r="S12" s="1231"/>
      <c r="T12" s="1232"/>
      <c r="U12" s="1227">
        <v>151120.13</v>
      </c>
      <c r="V12" s="1228">
        <v>0</v>
      </c>
      <c r="W12" s="1228">
        <v>0</v>
      </c>
      <c r="X12" s="1228">
        <v>151120.13</v>
      </c>
      <c r="Y12" s="1228">
        <v>0</v>
      </c>
      <c r="Z12" s="1229">
        <v>302240.26</v>
      </c>
    </row>
    <row r="13" spans="1:26" ht="15" customHeight="1">
      <c r="A13" s="1092" t="s">
        <v>27</v>
      </c>
      <c r="B13" s="1127" t="s">
        <v>28</v>
      </c>
      <c r="C13" s="1476" t="s">
        <v>272</v>
      </c>
      <c r="D13" s="1128">
        <f t="shared" si="1"/>
        <v>11616.8</v>
      </c>
      <c r="E13" s="1129">
        <f t="shared" si="2"/>
        <v>0</v>
      </c>
      <c r="F13" s="1130">
        <f t="shared" si="3"/>
        <v>11616.16</v>
      </c>
      <c r="G13" s="1131">
        <f t="shared" si="4"/>
        <v>11616.8</v>
      </c>
      <c r="H13" s="1130">
        <f t="shared" si="4"/>
        <v>-0.64</v>
      </c>
      <c r="I13" s="1227">
        <v>0</v>
      </c>
      <c r="J13" s="1228">
        <v>0</v>
      </c>
      <c r="K13" s="1228">
        <v>0</v>
      </c>
      <c r="L13" s="1228">
        <v>0</v>
      </c>
      <c r="M13" s="1228">
        <v>-0.64</v>
      </c>
      <c r="N13" s="1229">
        <v>-0.64</v>
      </c>
      <c r="O13" s="1230"/>
      <c r="P13" s="1231"/>
      <c r="Q13" s="1231"/>
      <c r="R13" s="1231"/>
      <c r="S13" s="1231"/>
      <c r="T13" s="1232"/>
      <c r="U13" s="1227">
        <v>11616.8</v>
      </c>
      <c r="V13" s="1228">
        <v>0</v>
      </c>
      <c r="W13" s="1228">
        <v>0</v>
      </c>
      <c r="X13" s="1228">
        <v>11616.8</v>
      </c>
      <c r="Y13" s="1228">
        <v>0</v>
      </c>
      <c r="Z13" s="1229">
        <v>23233.599999999999</v>
      </c>
    </row>
    <row r="14" spans="1:26" ht="15" customHeight="1">
      <c r="A14" s="1092" t="s">
        <v>29</v>
      </c>
      <c r="B14" s="1127" t="s">
        <v>329</v>
      </c>
      <c r="C14" s="1476" t="s">
        <v>272</v>
      </c>
      <c r="D14" s="1128">
        <f t="shared" si="1"/>
        <v>50199.83</v>
      </c>
      <c r="E14" s="1129">
        <f t="shared" si="2"/>
        <v>0</v>
      </c>
      <c r="F14" s="1130">
        <f t="shared" si="3"/>
        <v>50199.83</v>
      </c>
      <c r="G14" s="1131">
        <f t="shared" si="4"/>
        <v>50199.83</v>
      </c>
      <c r="H14" s="1130">
        <f t="shared" si="4"/>
        <v>0</v>
      </c>
      <c r="I14" s="1230"/>
      <c r="J14" s="1231"/>
      <c r="K14" s="1231"/>
      <c r="L14" s="1231"/>
      <c r="M14" s="1231"/>
      <c r="N14" s="1232"/>
      <c r="O14" s="1230"/>
      <c r="P14" s="1231"/>
      <c r="Q14" s="1231"/>
      <c r="R14" s="1231"/>
      <c r="S14" s="1231"/>
      <c r="T14" s="1232"/>
      <c r="U14" s="1227">
        <v>50199.83</v>
      </c>
      <c r="V14" s="1228">
        <v>0</v>
      </c>
      <c r="W14" s="1228">
        <v>0</v>
      </c>
      <c r="X14" s="1228">
        <v>50199.83</v>
      </c>
      <c r="Y14" s="1228">
        <v>0</v>
      </c>
      <c r="Z14" s="1229">
        <v>100399.66</v>
      </c>
    </row>
    <row r="15" spans="1:26" ht="15" customHeight="1">
      <c r="A15" s="1092" t="s">
        <v>31</v>
      </c>
      <c r="B15" s="1127" t="s">
        <v>32</v>
      </c>
      <c r="C15" s="1476" t="s">
        <v>275</v>
      </c>
      <c r="D15" s="1128">
        <f t="shared" si="1"/>
        <v>29865.88</v>
      </c>
      <c r="E15" s="1129">
        <f t="shared" si="2"/>
        <v>0</v>
      </c>
      <c r="F15" s="1130">
        <f t="shared" si="3"/>
        <v>29865.88</v>
      </c>
      <c r="G15" s="1131">
        <f t="shared" si="4"/>
        <v>29865.88</v>
      </c>
      <c r="H15" s="1130">
        <f t="shared" si="4"/>
        <v>0</v>
      </c>
      <c r="I15" s="1230"/>
      <c r="J15" s="1231"/>
      <c r="K15" s="1231"/>
      <c r="L15" s="1231"/>
      <c r="M15" s="1231"/>
      <c r="N15" s="1232"/>
      <c r="O15" s="1230"/>
      <c r="P15" s="1231"/>
      <c r="Q15" s="1231"/>
      <c r="R15" s="1231"/>
      <c r="S15" s="1231"/>
      <c r="T15" s="1232"/>
      <c r="U15" s="1227">
        <v>29865.88</v>
      </c>
      <c r="V15" s="1228">
        <v>0</v>
      </c>
      <c r="W15" s="1228">
        <v>0</v>
      </c>
      <c r="X15" s="1228">
        <v>29865.88</v>
      </c>
      <c r="Y15" s="1228">
        <v>0</v>
      </c>
      <c r="Z15" s="1229">
        <v>59731.76</v>
      </c>
    </row>
    <row r="16" spans="1:26" ht="15" customHeight="1">
      <c r="A16" s="1092" t="s">
        <v>33</v>
      </c>
      <c r="B16" s="1127" t="s">
        <v>34</v>
      </c>
      <c r="C16" s="1476" t="s">
        <v>272</v>
      </c>
      <c r="D16" s="1128">
        <f t="shared" si="1"/>
        <v>34095.96</v>
      </c>
      <c r="E16" s="1129">
        <f t="shared" si="2"/>
        <v>0</v>
      </c>
      <c r="F16" s="1130">
        <f t="shared" si="3"/>
        <v>34095.96</v>
      </c>
      <c r="G16" s="1131">
        <f t="shared" si="4"/>
        <v>34095.96</v>
      </c>
      <c r="H16" s="1130">
        <f t="shared" si="4"/>
        <v>0</v>
      </c>
      <c r="I16" s="1230"/>
      <c r="J16" s="1231"/>
      <c r="K16" s="1231"/>
      <c r="L16" s="1231"/>
      <c r="M16" s="1231"/>
      <c r="N16" s="1232"/>
      <c r="O16" s="1230"/>
      <c r="P16" s="1231"/>
      <c r="Q16" s="1231"/>
      <c r="R16" s="1231"/>
      <c r="S16" s="1231"/>
      <c r="T16" s="1232"/>
      <c r="U16" s="1227">
        <v>34095.96</v>
      </c>
      <c r="V16" s="1228">
        <v>0</v>
      </c>
      <c r="W16" s="1228">
        <v>0</v>
      </c>
      <c r="X16" s="1228">
        <v>34095.96</v>
      </c>
      <c r="Y16" s="1228">
        <v>0</v>
      </c>
      <c r="Z16" s="1229">
        <v>68191.92</v>
      </c>
    </row>
    <row r="17" spans="1:26" ht="15" customHeight="1">
      <c r="A17" s="1092" t="s">
        <v>37</v>
      </c>
      <c r="B17" s="1127" t="s">
        <v>38</v>
      </c>
      <c r="C17" s="1476" t="s">
        <v>271</v>
      </c>
      <c r="D17" s="1128">
        <f t="shared" si="1"/>
        <v>44238.32</v>
      </c>
      <c r="E17" s="1129">
        <f t="shared" si="2"/>
        <v>0</v>
      </c>
      <c r="F17" s="1130">
        <f t="shared" si="3"/>
        <v>44238.3</v>
      </c>
      <c r="G17" s="1131">
        <f t="shared" si="4"/>
        <v>44238.32</v>
      </c>
      <c r="H17" s="1130">
        <f t="shared" si="4"/>
        <v>-0.02</v>
      </c>
      <c r="I17" s="1227">
        <v>0</v>
      </c>
      <c r="J17" s="1228">
        <v>0</v>
      </c>
      <c r="K17" s="1228">
        <v>0</v>
      </c>
      <c r="L17" s="1228">
        <v>0</v>
      </c>
      <c r="M17" s="1228">
        <v>-0.02</v>
      </c>
      <c r="N17" s="1229">
        <v>-0.02</v>
      </c>
      <c r="O17" s="1230"/>
      <c r="P17" s="1231"/>
      <c r="Q17" s="1231"/>
      <c r="R17" s="1231"/>
      <c r="S17" s="1231"/>
      <c r="T17" s="1232"/>
      <c r="U17" s="1227">
        <v>44238.32</v>
      </c>
      <c r="V17" s="1228">
        <v>0</v>
      </c>
      <c r="W17" s="1228">
        <v>0</v>
      </c>
      <c r="X17" s="1228">
        <v>44238.32</v>
      </c>
      <c r="Y17" s="1228">
        <v>0</v>
      </c>
      <c r="Z17" s="1229">
        <v>88476.64</v>
      </c>
    </row>
    <row r="18" spans="1:26" ht="15" customHeight="1">
      <c r="A18" s="1092" t="s">
        <v>39</v>
      </c>
      <c r="B18" s="1127" t="s">
        <v>40</v>
      </c>
      <c r="C18" s="1476" t="s">
        <v>275</v>
      </c>
      <c r="D18" s="1128">
        <f t="shared" si="1"/>
        <v>71976.62</v>
      </c>
      <c r="E18" s="1129">
        <f t="shared" si="2"/>
        <v>0</v>
      </c>
      <c r="F18" s="1130">
        <f t="shared" si="3"/>
        <v>71976.62</v>
      </c>
      <c r="G18" s="1131">
        <f t="shared" si="4"/>
        <v>71976.62</v>
      </c>
      <c r="H18" s="1130">
        <f t="shared" si="4"/>
        <v>0</v>
      </c>
      <c r="I18" s="1230"/>
      <c r="J18" s="1231"/>
      <c r="K18" s="1231"/>
      <c r="L18" s="1231"/>
      <c r="M18" s="1231"/>
      <c r="N18" s="1232"/>
      <c r="O18" s="1230"/>
      <c r="P18" s="1231"/>
      <c r="Q18" s="1231"/>
      <c r="R18" s="1231"/>
      <c r="S18" s="1231"/>
      <c r="T18" s="1232"/>
      <c r="U18" s="1227">
        <v>71976.62</v>
      </c>
      <c r="V18" s="1228">
        <v>0</v>
      </c>
      <c r="W18" s="1228">
        <v>0</v>
      </c>
      <c r="X18" s="1228">
        <v>71976.62</v>
      </c>
      <c r="Y18" s="1228">
        <v>0</v>
      </c>
      <c r="Z18" s="1229">
        <v>143953.24</v>
      </c>
    </row>
    <row r="19" spans="1:26" ht="15" customHeight="1">
      <c r="A19" s="1092" t="s">
        <v>41</v>
      </c>
      <c r="B19" s="1127" t="s">
        <v>42</v>
      </c>
      <c r="C19" s="1476" t="s">
        <v>273</v>
      </c>
      <c r="D19" s="1128">
        <f t="shared" si="1"/>
        <v>32478.91</v>
      </c>
      <c r="E19" s="1129">
        <f t="shared" si="2"/>
        <v>0</v>
      </c>
      <c r="F19" s="1130">
        <f t="shared" si="3"/>
        <v>32478.91</v>
      </c>
      <c r="G19" s="1131">
        <f t="shared" si="4"/>
        <v>32478.91</v>
      </c>
      <c r="H19" s="1130">
        <f t="shared" si="4"/>
        <v>0</v>
      </c>
      <c r="I19" s="1230"/>
      <c r="J19" s="1231"/>
      <c r="K19" s="1231"/>
      <c r="L19" s="1231"/>
      <c r="M19" s="1231"/>
      <c r="N19" s="1232"/>
      <c r="O19" s="1230"/>
      <c r="P19" s="1231"/>
      <c r="Q19" s="1231"/>
      <c r="R19" s="1231"/>
      <c r="S19" s="1231"/>
      <c r="T19" s="1232"/>
      <c r="U19" s="1227">
        <v>32478.91</v>
      </c>
      <c r="V19" s="1228">
        <v>0</v>
      </c>
      <c r="W19" s="1228">
        <v>0</v>
      </c>
      <c r="X19" s="1228">
        <v>32478.91</v>
      </c>
      <c r="Y19" s="1228">
        <v>0</v>
      </c>
      <c r="Z19" s="1229">
        <v>64957.82</v>
      </c>
    </row>
    <row r="20" spans="1:26" ht="15" customHeight="1">
      <c r="A20" s="1092" t="s">
        <v>43</v>
      </c>
      <c r="B20" s="1127" t="s">
        <v>44</v>
      </c>
      <c r="C20" s="1476" t="s">
        <v>272</v>
      </c>
      <c r="D20" s="1128">
        <f t="shared" si="1"/>
        <v>135694.16</v>
      </c>
      <c r="E20" s="1129">
        <f t="shared" si="2"/>
        <v>0</v>
      </c>
      <c r="F20" s="1130">
        <f t="shared" si="3"/>
        <v>143650.64000000001</v>
      </c>
      <c r="G20" s="1131">
        <f t="shared" si="4"/>
        <v>135694.16</v>
      </c>
      <c r="H20" s="1130">
        <f t="shared" si="4"/>
        <v>7956.48</v>
      </c>
      <c r="I20" s="1227">
        <v>0</v>
      </c>
      <c r="J20" s="1228">
        <v>0</v>
      </c>
      <c r="K20" s="1228">
        <v>0</v>
      </c>
      <c r="L20" s="1228">
        <v>0</v>
      </c>
      <c r="M20" s="1228">
        <v>7956.48</v>
      </c>
      <c r="N20" s="1229">
        <v>7956.48</v>
      </c>
      <c r="O20" s="1230"/>
      <c r="P20" s="1231"/>
      <c r="Q20" s="1231"/>
      <c r="R20" s="1231"/>
      <c r="S20" s="1231"/>
      <c r="T20" s="1232"/>
      <c r="U20" s="1227">
        <v>135694.16</v>
      </c>
      <c r="V20" s="1228">
        <v>0</v>
      </c>
      <c r="W20" s="1228">
        <v>0</v>
      </c>
      <c r="X20" s="1228">
        <v>135694.16</v>
      </c>
      <c r="Y20" s="1228">
        <v>0</v>
      </c>
      <c r="Z20" s="1229">
        <v>271388.32</v>
      </c>
    </row>
    <row r="21" spans="1:26" ht="15" customHeight="1">
      <c r="A21" s="1092" t="s">
        <v>45</v>
      </c>
      <c r="B21" s="1127" t="s">
        <v>46</v>
      </c>
      <c r="C21" s="1476" t="s">
        <v>273</v>
      </c>
      <c r="D21" s="1128">
        <f t="shared" si="1"/>
        <v>113285.66</v>
      </c>
      <c r="E21" s="1129">
        <f t="shared" si="2"/>
        <v>0</v>
      </c>
      <c r="F21" s="1130">
        <f t="shared" si="3"/>
        <v>113285.66</v>
      </c>
      <c r="G21" s="1131">
        <f t="shared" si="4"/>
        <v>113285.66</v>
      </c>
      <c r="H21" s="1130">
        <f t="shared" si="4"/>
        <v>0</v>
      </c>
      <c r="I21" s="1230"/>
      <c r="J21" s="1231"/>
      <c r="K21" s="1231"/>
      <c r="L21" s="1231"/>
      <c r="M21" s="1231"/>
      <c r="N21" s="1232"/>
      <c r="O21" s="1230"/>
      <c r="P21" s="1231"/>
      <c r="Q21" s="1231"/>
      <c r="R21" s="1231"/>
      <c r="S21" s="1231"/>
      <c r="T21" s="1232"/>
      <c r="U21" s="1227">
        <v>113285.66</v>
      </c>
      <c r="V21" s="1228">
        <v>0</v>
      </c>
      <c r="W21" s="1228">
        <v>0</v>
      </c>
      <c r="X21" s="1228">
        <v>113285.66</v>
      </c>
      <c r="Y21" s="1228">
        <v>0</v>
      </c>
      <c r="Z21" s="1229">
        <v>226571.32</v>
      </c>
    </row>
    <row r="22" spans="1:26" ht="15" customHeight="1">
      <c r="A22" s="1092" t="s">
        <v>47</v>
      </c>
      <c r="B22" s="1127" t="s">
        <v>48</v>
      </c>
      <c r="C22" s="1476" t="s">
        <v>275</v>
      </c>
      <c r="D22" s="1128">
        <f t="shared" si="1"/>
        <v>78500.460000000006</v>
      </c>
      <c r="E22" s="1129">
        <f t="shared" si="2"/>
        <v>0</v>
      </c>
      <c r="F22" s="1130">
        <f t="shared" si="3"/>
        <v>78500.460000000006</v>
      </c>
      <c r="G22" s="1131">
        <f t="shared" si="4"/>
        <v>78500.460000000006</v>
      </c>
      <c r="H22" s="1130">
        <f t="shared" si="4"/>
        <v>0</v>
      </c>
      <c r="I22" s="1230"/>
      <c r="J22" s="1231"/>
      <c r="K22" s="1231"/>
      <c r="L22" s="1231"/>
      <c r="M22" s="1231"/>
      <c r="N22" s="1232"/>
      <c r="O22" s="1230"/>
      <c r="P22" s="1231"/>
      <c r="Q22" s="1231"/>
      <c r="R22" s="1231"/>
      <c r="S22" s="1231"/>
      <c r="T22" s="1232"/>
      <c r="U22" s="1227">
        <v>78500.460000000006</v>
      </c>
      <c r="V22" s="1228">
        <v>0</v>
      </c>
      <c r="W22" s="1228">
        <v>0</v>
      </c>
      <c r="X22" s="1228">
        <v>78500.460000000006</v>
      </c>
      <c r="Y22" s="1228">
        <v>0</v>
      </c>
      <c r="Z22" s="1229">
        <v>157000.92000000001</v>
      </c>
    </row>
    <row r="23" spans="1:26" ht="15" customHeight="1">
      <c r="A23" s="1092" t="s">
        <v>49</v>
      </c>
      <c r="B23" s="1127" t="s">
        <v>276</v>
      </c>
      <c r="C23" s="1476" t="s">
        <v>273</v>
      </c>
      <c r="D23" s="1128">
        <f t="shared" si="1"/>
        <v>49440.95</v>
      </c>
      <c r="E23" s="1129">
        <f t="shared" si="2"/>
        <v>0</v>
      </c>
      <c r="F23" s="1130">
        <f t="shared" si="3"/>
        <v>49440.95</v>
      </c>
      <c r="G23" s="1131">
        <f t="shared" si="4"/>
        <v>49440.95</v>
      </c>
      <c r="H23" s="1130">
        <f t="shared" si="4"/>
        <v>0</v>
      </c>
      <c r="I23" s="1230"/>
      <c r="J23" s="1231"/>
      <c r="K23" s="1231"/>
      <c r="L23" s="1231"/>
      <c r="M23" s="1231"/>
      <c r="N23" s="1232"/>
      <c r="O23" s="1230"/>
      <c r="P23" s="1231"/>
      <c r="Q23" s="1231"/>
      <c r="R23" s="1231"/>
      <c r="S23" s="1231"/>
      <c r="T23" s="1232"/>
      <c r="U23" s="1227">
        <v>49440.95</v>
      </c>
      <c r="V23" s="1228">
        <v>0</v>
      </c>
      <c r="W23" s="1228">
        <v>0</v>
      </c>
      <c r="X23" s="1228">
        <v>49440.95</v>
      </c>
      <c r="Y23" s="1228">
        <v>0</v>
      </c>
      <c r="Z23" s="1229">
        <v>98881.9</v>
      </c>
    </row>
    <row r="24" spans="1:26" ht="15" customHeight="1">
      <c r="A24" s="1092" t="s">
        <v>51</v>
      </c>
      <c r="B24" s="1127" t="s">
        <v>52</v>
      </c>
      <c r="C24" s="1476" t="s">
        <v>272</v>
      </c>
      <c r="D24" s="1128">
        <f t="shared" si="1"/>
        <v>23045.42</v>
      </c>
      <c r="E24" s="1129">
        <f t="shared" si="2"/>
        <v>0</v>
      </c>
      <c r="F24" s="1130">
        <f t="shared" si="3"/>
        <v>23045.42</v>
      </c>
      <c r="G24" s="1131">
        <f t="shared" si="4"/>
        <v>23045.42</v>
      </c>
      <c r="H24" s="1130">
        <f t="shared" si="4"/>
        <v>0</v>
      </c>
      <c r="I24" s="1230"/>
      <c r="J24" s="1231"/>
      <c r="K24" s="1231"/>
      <c r="L24" s="1231"/>
      <c r="M24" s="1231"/>
      <c r="N24" s="1232"/>
      <c r="O24" s="1230"/>
      <c r="P24" s="1231"/>
      <c r="Q24" s="1231"/>
      <c r="R24" s="1231"/>
      <c r="S24" s="1231"/>
      <c r="T24" s="1232"/>
      <c r="U24" s="1227">
        <v>23045.42</v>
      </c>
      <c r="V24" s="1228">
        <v>0</v>
      </c>
      <c r="W24" s="1228">
        <v>0</v>
      </c>
      <c r="X24" s="1228">
        <v>23045.42</v>
      </c>
      <c r="Y24" s="1228">
        <v>0</v>
      </c>
      <c r="Z24" s="1229">
        <v>46090.84</v>
      </c>
    </row>
    <row r="25" spans="1:26" ht="15" customHeight="1">
      <c r="A25" s="1092" t="s">
        <v>57</v>
      </c>
      <c r="B25" s="1127" t="s">
        <v>305</v>
      </c>
      <c r="C25" s="1476" t="s">
        <v>273</v>
      </c>
      <c r="D25" s="1128">
        <f t="shared" si="1"/>
        <v>399532.02</v>
      </c>
      <c r="E25" s="1129">
        <f t="shared" si="2"/>
        <v>0</v>
      </c>
      <c r="F25" s="1130">
        <f t="shared" si="3"/>
        <v>515819.73000000004</v>
      </c>
      <c r="G25" s="1131">
        <f t="shared" si="4"/>
        <v>399532.02</v>
      </c>
      <c r="H25" s="1130">
        <f t="shared" si="4"/>
        <v>116287.71</v>
      </c>
      <c r="I25" s="1227">
        <v>0</v>
      </c>
      <c r="J25" s="1228">
        <v>0</v>
      </c>
      <c r="K25" s="1228">
        <v>0</v>
      </c>
      <c r="L25" s="1228">
        <v>0</v>
      </c>
      <c r="M25" s="1228">
        <v>116287.71</v>
      </c>
      <c r="N25" s="1229">
        <v>116287.71</v>
      </c>
      <c r="O25" s="1230"/>
      <c r="P25" s="1231"/>
      <c r="Q25" s="1231"/>
      <c r="R25" s="1231"/>
      <c r="S25" s="1231"/>
      <c r="T25" s="1232"/>
      <c r="U25" s="1227">
        <v>399532.02</v>
      </c>
      <c r="V25" s="1228">
        <v>0</v>
      </c>
      <c r="W25" s="1228">
        <v>0</v>
      </c>
      <c r="X25" s="1228">
        <v>399532.02</v>
      </c>
      <c r="Y25" s="1228">
        <v>0</v>
      </c>
      <c r="Z25" s="1229">
        <v>799064.04</v>
      </c>
    </row>
    <row r="26" spans="1:26" ht="15" customHeight="1">
      <c r="A26" s="1092" t="s">
        <v>59</v>
      </c>
      <c r="B26" s="1127" t="s">
        <v>60</v>
      </c>
      <c r="C26" s="1476" t="s">
        <v>274</v>
      </c>
      <c r="D26" s="1128">
        <f t="shared" si="1"/>
        <v>32927.279999999999</v>
      </c>
      <c r="E26" s="1129">
        <f t="shared" si="2"/>
        <v>0</v>
      </c>
      <c r="F26" s="1130">
        <f t="shared" si="3"/>
        <v>32927.279999999999</v>
      </c>
      <c r="G26" s="1131">
        <f t="shared" si="4"/>
        <v>32927.279999999999</v>
      </c>
      <c r="H26" s="1130">
        <f t="shared" si="4"/>
        <v>0</v>
      </c>
      <c r="I26" s="1230"/>
      <c r="J26" s="1231"/>
      <c r="K26" s="1231"/>
      <c r="L26" s="1231"/>
      <c r="M26" s="1231"/>
      <c r="N26" s="1232"/>
      <c r="O26" s="1230"/>
      <c r="P26" s="1231"/>
      <c r="Q26" s="1231"/>
      <c r="R26" s="1231"/>
      <c r="S26" s="1231"/>
      <c r="T26" s="1232"/>
      <c r="U26" s="1227">
        <v>32927.279999999999</v>
      </c>
      <c r="V26" s="1228">
        <v>0</v>
      </c>
      <c r="W26" s="1228">
        <v>0</v>
      </c>
      <c r="X26" s="1228">
        <v>32927.279999999999</v>
      </c>
      <c r="Y26" s="1228">
        <v>0</v>
      </c>
      <c r="Z26" s="1229">
        <v>65854.559999999998</v>
      </c>
    </row>
    <row r="27" spans="1:26" ht="15" customHeight="1">
      <c r="A27" s="1092" t="s">
        <v>61</v>
      </c>
      <c r="B27" s="1127" t="s">
        <v>62</v>
      </c>
      <c r="C27" s="1476" t="s">
        <v>272</v>
      </c>
      <c r="D27" s="1128">
        <f t="shared" si="1"/>
        <v>11977.03</v>
      </c>
      <c r="E27" s="1129">
        <f t="shared" si="2"/>
        <v>0</v>
      </c>
      <c r="F27" s="1130">
        <f t="shared" si="3"/>
        <v>11977.03</v>
      </c>
      <c r="G27" s="1131">
        <f t="shared" si="4"/>
        <v>11977.03</v>
      </c>
      <c r="H27" s="1130">
        <f t="shared" si="4"/>
        <v>0</v>
      </c>
      <c r="I27" s="1230"/>
      <c r="J27" s="1231"/>
      <c r="K27" s="1231"/>
      <c r="L27" s="1231"/>
      <c r="M27" s="1231"/>
      <c r="N27" s="1232"/>
      <c r="O27" s="1230"/>
      <c r="P27" s="1231"/>
      <c r="Q27" s="1231"/>
      <c r="R27" s="1231"/>
      <c r="S27" s="1231"/>
      <c r="T27" s="1232"/>
      <c r="U27" s="1227">
        <v>11977.03</v>
      </c>
      <c r="V27" s="1228">
        <v>0</v>
      </c>
      <c r="W27" s="1228">
        <v>0</v>
      </c>
      <c r="X27" s="1228">
        <v>11977.03</v>
      </c>
      <c r="Y27" s="1228">
        <v>0</v>
      </c>
      <c r="Z27" s="1229">
        <v>23954.06</v>
      </c>
    </row>
    <row r="28" spans="1:26" ht="15" customHeight="1">
      <c r="A28" s="1092" t="s">
        <v>63</v>
      </c>
      <c r="B28" s="1127" t="s">
        <v>64</v>
      </c>
      <c r="C28" s="1476" t="s">
        <v>274</v>
      </c>
      <c r="D28" s="1128">
        <f t="shared" si="1"/>
        <v>137716.19</v>
      </c>
      <c r="E28" s="1129">
        <f t="shared" si="2"/>
        <v>0</v>
      </c>
      <c r="F28" s="1130">
        <f t="shared" si="3"/>
        <v>137716.19</v>
      </c>
      <c r="G28" s="1131">
        <f t="shared" si="4"/>
        <v>137716.19</v>
      </c>
      <c r="H28" s="1130">
        <f t="shared" si="4"/>
        <v>0</v>
      </c>
      <c r="I28" s="1230"/>
      <c r="J28" s="1231"/>
      <c r="K28" s="1231"/>
      <c r="L28" s="1231"/>
      <c r="M28" s="1231"/>
      <c r="N28" s="1232"/>
      <c r="O28" s="1230"/>
      <c r="P28" s="1231"/>
      <c r="Q28" s="1231"/>
      <c r="R28" s="1231"/>
      <c r="S28" s="1231"/>
      <c r="T28" s="1232"/>
      <c r="U28" s="1227">
        <v>137716.19</v>
      </c>
      <c r="V28" s="1228">
        <v>0</v>
      </c>
      <c r="W28" s="1228">
        <v>0</v>
      </c>
      <c r="X28" s="1228">
        <v>137716.19</v>
      </c>
      <c r="Y28" s="1228">
        <v>0</v>
      </c>
      <c r="Z28" s="1229">
        <v>275432.38</v>
      </c>
    </row>
    <row r="29" spans="1:26" ht="15" customHeight="1">
      <c r="A29" s="1092" t="s">
        <v>65</v>
      </c>
      <c r="B29" s="1127" t="s">
        <v>66</v>
      </c>
      <c r="C29" s="1476" t="s">
        <v>273</v>
      </c>
      <c r="D29" s="1128">
        <f t="shared" si="1"/>
        <v>26097.19</v>
      </c>
      <c r="E29" s="1129">
        <f t="shared" si="2"/>
        <v>0</v>
      </c>
      <c r="F29" s="1130">
        <f t="shared" si="3"/>
        <v>26097.19</v>
      </c>
      <c r="G29" s="1131">
        <f t="shared" si="4"/>
        <v>26097.19</v>
      </c>
      <c r="H29" s="1130">
        <f t="shared" si="4"/>
        <v>0</v>
      </c>
      <c r="I29" s="1230"/>
      <c r="J29" s="1231"/>
      <c r="K29" s="1231"/>
      <c r="L29" s="1231"/>
      <c r="M29" s="1231"/>
      <c r="N29" s="1232"/>
      <c r="O29" s="1230"/>
      <c r="P29" s="1231"/>
      <c r="Q29" s="1231"/>
      <c r="R29" s="1231"/>
      <c r="S29" s="1231"/>
      <c r="T29" s="1232"/>
      <c r="U29" s="1227">
        <v>26097.19</v>
      </c>
      <c r="V29" s="1228">
        <v>0</v>
      </c>
      <c r="W29" s="1228">
        <v>0</v>
      </c>
      <c r="X29" s="1228">
        <v>26097.19</v>
      </c>
      <c r="Y29" s="1228">
        <v>0</v>
      </c>
      <c r="Z29" s="1229">
        <v>52194.38</v>
      </c>
    </row>
    <row r="30" spans="1:26" ht="15" customHeight="1">
      <c r="A30" s="1092" t="s">
        <v>69</v>
      </c>
      <c r="B30" s="1127" t="s">
        <v>70</v>
      </c>
      <c r="C30" s="1476" t="s">
        <v>275</v>
      </c>
      <c r="D30" s="1128">
        <f t="shared" si="1"/>
        <v>58814.33</v>
      </c>
      <c r="E30" s="1129">
        <f t="shared" si="2"/>
        <v>0</v>
      </c>
      <c r="F30" s="1130">
        <f t="shared" si="3"/>
        <v>58814.33</v>
      </c>
      <c r="G30" s="1131">
        <f t="shared" si="4"/>
        <v>58814.33</v>
      </c>
      <c r="H30" s="1130">
        <f t="shared" si="4"/>
        <v>0</v>
      </c>
      <c r="I30" s="1230"/>
      <c r="J30" s="1231"/>
      <c r="K30" s="1231"/>
      <c r="L30" s="1231"/>
      <c r="M30" s="1231"/>
      <c r="N30" s="1232"/>
      <c r="O30" s="1230"/>
      <c r="P30" s="1231"/>
      <c r="Q30" s="1231"/>
      <c r="R30" s="1231"/>
      <c r="S30" s="1231"/>
      <c r="T30" s="1232"/>
      <c r="U30" s="1227">
        <v>58814.33</v>
      </c>
      <c r="V30" s="1228">
        <v>0</v>
      </c>
      <c r="W30" s="1228">
        <v>0</v>
      </c>
      <c r="X30" s="1228">
        <v>58814.33</v>
      </c>
      <c r="Y30" s="1228">
        <v>0</v>
      </c>
      <c r="Z30" s="1229">
        <v>117628.66</v>
      </c>
    </row>
    <row r="31" spans="1:26" ht="15" customHeight="1">
      <c r="A31" s="1092" t="s">
        <v>71</v>
      </c>
      <c r="B31" s="1127" t="s">
        <v>72</v>
      </c>
      <c r="C31" s="1476" t="s">
        <v>271</v>
      </c>
      <c r="D31" s="1128">
        <f t="shared" si="1"/>
        <v>56060.62</v>
      </c>
      <c r="E31" s="1129">
        <f t="shared" si="2"/>
        <v>2775</v>
      </c>
      <c r="F31" s="1130">
        <f t="shared" si="3"/>
        <v>56060.62</v>
      </c>
      <c r="G31" s="1131">
        <f t="shared" si="4"/>
        <v>56060.62</v>
      </c>
      <c r="H31" s="1130">
        <f t="shared" si="4"/>
        <v>0</v>
      </c>
      <c r="I31" s="1230"/>
      <c r="J31" s="1231"/>
      <c r="K31" s="1231"/>
      <c r="L31" s="1231"/>
      <c r="M31" s="1231"/>
      <c r="N31" s="1232"/>
      <c r="O31" s="1227">
        <v>0</v>
      </c>
      <c r="P31" s="1228">
        <v>0</v>
      </c>
      <c r="Q31" s="1228">
        <v>2775</v>
      </c>
      <c r="R31" s="1228">
        <v>0</v>
      </c>
      <c r="S31" s="1228">
        <v>0</v>
      </c>
      <c r="T31" s="1229">
        <v>2775</v>
      </c>
      <c r="U31" s="1227">
        <v>56060.62</v>
      </c>
      <c r="V31" s="1228">
        <v>0</v>
      </c>
      <c r="W31" s="1228">
        <v>0</v>
      </c>
      <c r="X31" s="1228">
        <v>56060.62</v>
      </c>
      <c r="Y31" s="1228">
        <v>0</v>
      </c>
      <c r="Z31" s="1229">
        <v>112121.24</v>
      </c>
    </row>
    <row r="32" spans="1:26" ht="15" customHeight="1">
      <c r="A32" s="1092" t="s">
        <v>73</v>
      </c>
      <c r="B32" s="1127" t="s">
        <v>74</v>
      </c>
      <c r="C32" s="1476" t="s">
        <v>273</v>
      </c>
      <c r="D32" s="1128">
        <f t="shared" si="1"/>
        <v>32932.199999999997</v>
      </c>
      <c r="E32" s="1129">
        <f t="shared" si="2"/>
        <v>0</v>
      </c>
      <c r="F32" s="1130">
        <f t="shared" si="3"/>
        <v>32932.199999999997</v>
      </c>
      <c r="G32" s="1131">
        <f t="shared" si="4"/>
        <v>32932.199999999997</v>
      </c>
      <c r="H32" s="1130">
        <f t="shared" si="4"/>
        <v>0</v>
      </c>
      <c r="I32" s="1230"/>
      <c r="J32" s="1231"/>
      <c r="K32" s="1231"/>
      <c r="L32" s="1231"/>
      <c r="M32" s="1231"/>
      <c r="N32" s="1232"/>
      <c r="O32" s="1230"/>
      <c r="P32" s="1231"/>
      <c r="Q32" s="1231"/>
      <c r="R32" s="1231"/>
      <c r="S32" s="1231"/>
      <c r="T32" s="1232"/>
      <c r="U32" s="1227">
        <v>32932.199999999997</v>
      </c>
      <c r="V32" s="1228">
        <v>0</v>
      </c>
      <c r="W32" s="1228">
        <v>0</v>
      </c>
      <c r="X32" s="1228">
        <v>32932.199999999997</v>
      </c>
      <c r="Y32" s="1228">
        <v>0</v>
      </c>
      <c r="Z32" s="1229">
        <v>65864.399999999994</v>
      </c>
    </row>
    <row r="33" spans="1:26" ht="15" customHeight="1">
      <c r="A33" s="1092" t="s">
        <v>75</v>
      </c>
      <c r="B33" s="1127" t="s">
        <v>312</v>
      </c>
      <c r="C33" s="1476" t="s">
        <v>274</v>
      </c>
      <c r="D33" s="1128">
        <f t="shared" si="1"/>
        <v>1326560.08</v>
      </c>
      <c r="E33" s="1129">
        <f t="shared" si="2"/>
        <v>0</v>
      </c>
      <c r="F33" s="1130">
        <f t="shared" si="3"/>
        <v>1326560.08</v>
      </c>
      <c r="G33" s="1131">
        <f t="shared" si="4"/>
        <v>1326560.08</v>
      </c>
      <c r="H33" s="1130">
        <f t="shared" si="4"/>
        <v>0</v>
      </c>
      <c r="I33" s="1230"/>
      <c r="J33" s="1231"/>
      <c r="K33" s="1231"/>
      <c r="L33" s="1231"/>
      <c r="M33" s="1231"/>
      <c r="N33" s="1232"/>
      <c r="O33" s="1230"/>
      <c r="P33" s="1231"/>
      <c r="Q33" s="1231"/>
      <c r="R33" s="1231"/>
      <c r="S33" s="1231"/>
      <c r="T33" s="1232"/>
      <c r="U33" s="1227">
        <v>1326560.08</v>
      </c>
      <c r="V33" s="1228">
        <v>0</v>
      </c>
      <c r="W33" s="1228">
        <v>0</v>
      </c>
      <c r="X33" s="1228">
        <v>1326560.08</v>
      </c>
      <c r="Y33" s="1228">
        <v>0</v>
      </c>
      <c r="Z33" s="1229">
        <v>2653120.16</v>
      </c>
    </row>
    <row r="34" spans="1:26" ht="15" customHeight="1">
      <c r="A34" s="1092" t="s">
        <v>77</v>
      </c>
      <c r="B34" s="1127" t="s">
        <v>78</v>
      </c>
      <c r="C34" s="1476" t="s">
        <v>274</v>
      </c>
      <c r="D34" s="1128">
        <f t="shared" si="1"/>
        <v>50033.58</v>
      </c>
      <c r="E34" s="1129">
        <f t="shared" si="2"/>
        <v>0</v>
      </c>
      <c r="F34" s="1130">
        <f t="shared" si="3"/>
        <v>50838.32</v>
      </c>
      <c r="G34" s="1131">
        <f t="shared" si="4"/>
        <v>50033.58</v>
      </c>
      <c r="H34" s="1130">
        <f t="shared" si="4"/>
        <v>804.74</v>
      </c>
      <c r="I34" s="1227">
        <v>0</v>
      </c>
      <c r="J34" s="1228">
        <v>0</v>
      </c>
      <c r="K34" s="1228">
        <v>0</v>
      </c>
      <c r="L34" s="1228">
        <v>0</v>
      </c>
      <c r="M34" s="1228">
        <v>804.74</v>
      </c>
      <c r="N34" s="1229">
        <v>804.74</v>
      </c>
      <c r="O34" s="1230"/>
      <c r="P34" s="1231"/>
      <c r="Q34" s="1231"/>
      <c r="R34" s="1231"/>
      <c r="S34" s="1231"/>
      <c r="T34" s="1232"/>
      <c r="U34" s="1227">
        <v>50033.58</v>
      </c>
      <c r="V34" s="1228">
        <v>0</v>
      </c>
      <c r="W34" s="1228">
        <v>0</v>
      </c>
      <c r="X34" s="1228">
        <v>50033.58</v>
      </c>
      <c r="Y34" s="1228">
        <v>0</v>
      </c>
      <c r="Z34" s="1229">
        <v>100067.16</v>
      </c>
    </row>
    <row r="35" spans="1:26" ht="15" customHeight="1">
      <c r="A35" s="1092" t="s">
        <v>79</v>
      </c>
      <c r="B35" s="1127" t="s">
        <v>80</v>
      </c>
      <c r="C35" s="1476" t="s">
        <v>275</v>
      </c>
      <c r="D35" s="1128">
        <f t="shared" si="1"/>
        <v>38647.14</v>
      </c>
      <c r="E35" s="1129">
        <f t="shared" si="2"/>
        <v>0</v>
      </c>
      <c r="F35" s="1130">
        <f t="shared" si="3"/>
        <v>38647.14</v>
      </c>
      <c r="G35" s="1131">
        <f t="shared" si="4"/>
        <v>38647.14</v>
      </c>
      <c r="H35" s="1130">
        <f t="shared" si="4"/>
        <v>0</v>
      </c>
      <c r="I35" s="1230"/>
      <c r="J35" s="1231"/>
      <c r="K35" s="1231"/>
      <c r="L35" s="1231"/>
      <c r="M35" s="1231"/>
      <c r="N35" s="1232"/>
      <c r="O35" s="1230"/>
      <c r="P35" s="1231"/>
      <c r="Q35" s="1231"/>
      <c r="R35" s="1231"/>
      <c r="S35" s="1231"/>
      <c r="T35" s="1232"/>
      <c r="U35" s="1227">
        <v>38647.14</v>
      </c>
      <c r="V35" s="1228">
        <v>0</v>
      </c>
      <c r="W35" s="1228">
        <v>0</v>
      </c>
      <c r="X35" s="1228">
        <v>38647.14</v>
      </c>
      <c r="Y35" s="1228">
        <v>0</v>
      </c>
      <c r="Z35" s="1229">
        <v>77294.28</v>
      </c>
    </row>
    <row r="36" spans="1:26" ht="15" customHeight="1">
      <c r="A36" s="1092" t="s">
        <v>81</v>
      </c>
      <c r="B36" s="1127" t="s">
        <v>82</v>
      </c>
      <c r="C36" s="1476" t="s">
        <v>273</v>
      </c>
      <c r="D36" s="1128">
        <f t="shared" si="1"/>
        <v>72443.38</v>
      </c>
      <c r="E36" s="1129">
        <f t="shared" si="2"/>
        <v>0</v>
      </c>
      <c r="F36" s="1130">
        <f t="shared" si="3"/>
        <v>72443.38</v>
      </c>
      <c r="G36" s="1131">
        <f t="shared" si="4"/>
        <v>72443.38</v>
      </c>
      <c r="H36" s="1130">
        <f t="shared" si="4"/>
        <v>0</v>
      </c>
      <c r="I36" s="1230"/>
      <c r="J36" s="1231"/>
      <c r="K36" s="1231"/>
      <c r="L36" s="1231"/>
      <c r="M36" s="1231"/>
      <c r="N36" s="1232"/>
      <c r="O36" s="1230"/>
      <c r="P36" s="1231"/>
      <c r="Q36" s="1231"/>
      <c r="R36" s="1231"/>
      <c r="S36" s="1231"/>
      <c r="T36" s="1232"/>
      <c r="U36" s="1227">
        <v>72443.38</v>
      </c>
      <c r="V36" s="1228">
        <v>0</v>
      </c>
      <c r="W36" s="1228">
        <v>0</v>
      </c>
      <c r="X36" s="1228">
        <v>72443.38</v>
      </c>
      <c r="Y36" s="1228">
        <v>0</v>
      </c>
      <c r="Z36" s="1229">
        <v>144886.76</v>
      </c>
    </row>
    <row r="37" spans="1:26" ht="15" customHeight="1">
      <c r="A37" s="1092" t="s">
        <v>85</v>
      </c>
      <c r="B37" s="1127" t="s">
        <v>330</v>
      </c>
      <c r="C37" s="1476" t="s">
        <v>272</v>
      </c>
      <c r="D37" s="1128">
        <f t="shared" si="1"/>
        <v>60291.51</v>
      </c>
      <c r="E37" s="1129">
        <f t="shared" si="2"/>
        <v>0</v>
      </c>
      <c r="F37" s="1130">
        <f t="shared" si="3"/>
        <v>60291.51</v>
      </c>
      <c r="G37" s="1131">
        <f t="shared" si="4"/>
        <v>60291.51</v>
      </c>
      <c r="H37" s="1130">
        <f t="shared" si="4"/>
        <v>0</v>
      </c>
      <c r="I37" s="1230"/>
      <c r="J37" s="1231"/>
      <c r="K37" s="1231"/>
      <c r="L37" s="1231"/>
      <c r="M37" s="1231"/>
      <c r="N37" s="1232"/>
      <c r="O37" s="1230"/>
      <c r="P37" s="1231"/>
      <c r="Q37" s="1231"/>
      <c r="R37" s="1231"/>
      <c r="S37" s="1231"/>
      <c r="T37" s="1232"/>
      <c r="U37" s="1227">
        <v>60291.51</v>
      </c>
      <c r="V37" s="1228">
        <v>0</v>
      </c>
      <c r="W37" s="1228">
        <v>0</v>
      </c>
      <c r="X37" s="1228">
        <v>60291.51</v>
      </c>
      <c r="Y37" s="1228">
        <v>0</v>
      </c>
      <c r="Z37" s="1229">
        <v>120583.02</v>
      </c>
    </row>
    <row r="38" spans="1:26" ht="15" customHeight="1">
      <c r="A38" s="1092" t="s">
        <v>87</v>
      </c>
      <c r="B38" s="1127" t="s">
        <v>88</v>
      </c>
      <c r="C38" s="1476" t="s">
        <v>274</v>
      </c>
      <c r="D38" s="1128">
        <f t="shared" si="1"/>
        <v>64702.61</v>
      </c>
      <c r="E38" s="1129">
        <f t="shared" si="2"/>
        <v>0</v>
      </c>
      <c r="F38" s="1130">
        <f t="shared" si="3"/>
        <v>64702.61</v>
      </c>
      <c r="G38" s="1131">
        <f t="shared" si="4"/>
        <v>64702.61</v>
      </c>
      <c r="H38" s="1130">
        <f t="shared" si="4"/>
        <v>0</v>
      </c>
      <c r="I38" s="1230"/>
      <c r="J38" s="1231"/>
      <c r="K38" s="1231"/>
      <c r="L38" s="1231"/>
      <c r="M38" s="1231"/>
      <c r="N38" s="1232"/>
      <c r="O38" s="1230"/>
      <c r="P38" s="1231"/>
      <c r="Q38" s="1231"/>
      <c r="R38" s="1231"/>
      <c r="S38" s="1231"/>
      <c r="T38" s="1232"/>
      <c r="U38" s="1227">
        <v>64702.61</v>
      </c>
      <c r="V38" s="1228">
        <v>0</v>
      </c>
      <c r="W38" s="1228">
        <v>0</v>
      </c>
      <c r="X38" s="1228">
        <v>64702.61</v>
      </c>
      <c r="Y38" s="1228">
        <v>0</v>
      </c>
      <c r="Z38" s="1229">
        <v>129405.22</v>
      </c>
    </row>
    <row r="39" spans="1:26" ht="15" customHeight="1">
      <c r="A39" s="1092" t="s">
        <v>93</v>
      </c>
      <c r="B39" s="1127" t="s">
        <v>94</v>
      </c>
      <c r="C39" s="1476" t="s">
        <v>275</v>
      </c>
      <c r="D39" s="1128">
        <f t="shared" si="1"/>
        <v>36315.29</v>
      </c>
      <c r="E39" s="1129">
        <f t="shared" si="2"/>
        <v>0</v>
      </c>
      <c r="F39" s="1130">
        <f t="shared" si="3"/>
        <v>36315.29</v>
      </c>
      <c r="G39" s="1131">
        <f t="shared" si="4"/>
        <v>36315.29</v>
      </c>
      <c r="H39" s="1130">
        <f t="shared" si="4"/>
        <v>0</v>
      </c>
      <c r="I39" s="1230"/>
      <c r="J39" s="1231"/>
      <c r="K39" s="1231"/>
      <c r="L39" s="1231"/>
      <c r="M39" s="1231"/>
      <c r="N39" s="1232"/>
      <c r="O39" s="1230"/>
      <c r="P39" s="1231"/>
      <c r="Q39" s="1231"/>
      <c r="R39" s="1231"/>
      <c r="S39" s="1231"/>
      <c r="T39" s="1232"/>
      <c r="U39" s="1227">
        <v>36315.29</v>
      </c>
      <c r="V39" s="1228">
        <v>0</v>
      </c>
      <c r="W39" s="1228">
        <v>0</v>
      </c>
      <c r="X39" s="1228">
        <v>36315.29</v>
      </c>
      <c r="Y39" s="1228">
        <v>0</v>
      </c>
      <c r="Z39" s="1229">
        <v>72630.58</v>
      </c>
    </row>
    <row r="40" spans="1:26" ht="15" customHeight="1">
      <c r="A40" s="1092" t="s">
        <v>95</v>
      </c>
      <c r="B40" s="1127" t="s">
        <v>96</v>
      </c>
      <c r="C40" s="1476" t="s">
        <v>271</v>
      </c>
      <c r="D40" s="1128">
        <f t="shared" si="1"/>
        <v>91012.72</v>
      </c>
      <c r="E40" s="1129">
        <f t="shared" si="2"/>
        <v>0</v>
      </c>
      <c r="F40" s="1130">
        <f t="shared" si="3"/>
        <v>93846.19</v>
      </c>
      <c r="G40" s="1131">
        <f t="shared" si="4"/>
        <v>91012.72</v>
      </c>
      <c r="H40" s="1130">
        <f t="shared" si="4"/>
        <v>2833.47</v>
      </c>
      <c r="I40" s="1227">
        <v>0</v>
      </c>
      <c r="J40" s="1228">
        <v>0</v>
      </c>
      <c r="K40" s="1228">
        <v>0</v>
      </c>
      <c r="L40" s="1228">
        <v>0</v>
      </c>
      <c r="M40" s="1228">
        <v>2833.47</v>
      </c>
      <c r="N40" s="1229">
        <v>2833.47</v>
      </c>
      <c r="O40" s="1230"/>
      <c r="P40" s="1231"/>
      <c r="Q40" s="1231"/>
      <c r="R40" s="1231"/>
      <c r="S40" s="1231"/>
      <c r="T40" s="1232"/>
      <c r="U40" s="1227">
        <v>91012.72</v>
      </c>
      <c r="V40" s="1228">
        <v>0</v>
      </c>
      <c r="W40" s="1228">
        <v>0</v>
      </c>
      <c r="X40" s="1228">
        <v>91012.72</v>
      </c>
      <c r="Y40" s="1228">
        <v>0</v>
      </c>
      <c r="Z40" s="1229">
        <v>182025.44</v>
      </c>
    </row>
    <row r="41" spans="1:26" ht="15" customHeight="1">
      <c r="A41" s="1092" t="s">
        <v>97</v>
      </c>
      <c r="B41" s="1127" t="s">
        <v>98</v>
      </c>
      <c r="C41" s="1476" t="s">
        <v>273</v>
      </c>
      <c r="D41" s="1128">
        <f t="shared" si="1"/>
        <v>56744.5</v>
      </c>
      <c r="E41" s="1129">
        <f t="shared" si="2"/>
        <v>3402.36</v>
      </c>
      <c r="F41" s="1130">
        <f t="shared" si="3"/>
        <v>56744.5</v>
      </c>
      <c r="G41" s="1131">
        <f t="shared" si="4"/>
        <v>56744.5</v>
      </c>
      <c r="H41" s="1130">
        <f t="shared" si="4"/>
        <v>0</v>
      </c>
      <c r="I41" s="1227">
        <v>0</v>
      </c>
      <c r="J41" s="1228">
        <v>0</v>
      </c>
      <c r="K41" s="1228">
        <v>3402.36</v>
      </c>
      <c r="L41" s="1228">
        <v>0</v>
      </c>
      <c r="M41" s="1228">
        <v>0</v>
      </c>
      <c r="N41" s="1229">
        <v>3402.36</v>
      </c>
      <c r="O41" s="1230"/>
      <c r="P41" s="1231"/>
      <c r="Q41" s="1231"/>
      <c r="R41" s="1231"/>
      <c r="S41" s="1231"/>
      <c r="T41" s="1232"/>
      <c r="U41" s="1227">
        <v>56744.5</v>
      </c>
      <c r="V41" s="1228">
        <v>0</v>
      </c>
      <c r="W41" s="1228">
        <v>0</v>
      </c>
      <c r="X41" s="1228">
        <v>56744.5</v>
      </c>
      <c r="Y41" s="1228">
        <v>0</v>
      </c>
      <c r="Z41" s="1229">
        <v>113489</v>
      </c>
    </row>
    <row r="42" spans="1:26" ht="15" customHeight="1">
      <c r="A42" s="1092" t="s">
        <v>99</v>
      </c>
      <c r="B42" s="1127" t="s">
        <v>100</v>
      </c>
      <c r="C42" s="1476" t="s">
        <v>275</v>
      </c>
      <c r="D42" s="1128">
        <f t="shared" si="1"/>
        <v>47878.19</v>
      </c>
      <c r="E42" s="1129">
        <f t="shared" si="2"/>
        <v>0</v>
      </c>
      <c r="F42" s="1130">
        <f t="shared" si="3"/>
        <v>47878.19</v>
      </c>
      <c r="G42" s="1131">
        <f t="shared" si="4"/>
        <v>47878.19</v>
      </c>
      <c r="H42" s="1130">
        <f t="shared" si="4"/>
        <v>0</v>
      </c>
      <c r="I42" s="1230"/>
      <c r="J42" s="1231"/>
      <c r="K42" s="1231"/>
      <c r="L42" s="1231"/>
      <c r="M42" s="1231"/>
      <c r="N42" s="1232"/>
      <c r="O42" s="1230"/>
      <c r="P42" s="1231"/>
      <c r="Q42" s="1231"/>
      <c r="R42" s="1231"/>
      <c r="S42" s="1231"/>
      <c r="T42" s="1232"/>
      <c r="U42" s="1227">
        <v>47878.19</v>
      </c>
      <c r="V42" s="1228">
        <v>0</v>
      </c>
      <c r="W42" s="1228">
        <v>0</v>
      </c>
      <c r="X42" s="1228">
        <v>47878.19</v>
      </c>
      <c r="Y42" s="1228">
        <v>0</v>
      </c>
      <c r="Z42" s="1229">
        <v>95756.38</v>
      </c>
    </row>
    <row r="43" spans="1:26" ht="15" customHeight="1">
      <c r="A43" s="1092" t="s">
        <v>101</v>
      </c>
      <c r="B43" s="1127" t="s">
        <v>102</v>
      </c>
      <c r="C43" s="1476" t="s">
        <v>274</v>
      </c>
      <c r="D43" s="1128">
        <f t="shared" si="1"/>
        <v>23722.959999999999</v>
      </c>
      <c r="E43" s="1129">
        <f t="shared" si="2"/>
        <v>0</v>
      </c>
      <c r="F43" s="1130">
        <f t="shared" si="3"/>
        <v>23722.149999999998</v>
      </c>
      <c r="G43" s="1131">
        <f t="shared" si="4"/>
        <v>23722.959999999999</v>
      </c>
      <c r="H43" s="1130">
        <f t="shared" si="4"/>
        <v>-0.81</v>
      </c>
      <c r="I43" s="1227">
        <v>0</v>
      </c>
      <c r="J43" s="1228">
        <v>0</v>
      </c>
      <c r="K43" s="1228">
        <v>0</v>
      </c>
      <c r="L43" s="1228">
        <v>0</v>
      </c>
      <c r="M43" s="1228">
        <v>-0.81</v>
      </c>
      <c r="N43" s="1229">
        <v>-0.81</v>
      </c>
      <c r="O43" s="1230"/>
      <c r="P43" s="1231"/>
      <c r="Q43" s="1231"/>
      <c r="R43" s="1231"/>
      <c r="S43" s="1231"/>
      <c r="T43" s="1232"/>
      <c r="U43" s="1227">
        <v>23722.959999999999</v>
      </c>
      <c r="V43" s="1228">
        <v>0</v>
      </c>
      <c r="W43" s="1228">
        <v>0</v>
      </c>
      <c r="X43" s="1228">
        <v>23722.959999999999</v>
      </c>
      <c r="Y43" s="1228">
        <v>0</v>
      </c>
      <c r="Z43" s="1229">
        <v>47445.919999999998</v>
      </c>
    </row>
    <row r="44" spans="1:26" ht="15" customHeight="1">
      <c r="A44" s="1092" t="s">
        <v>103</v>
      </c>
      <c r="B44" s="1127" t="s">
        <v>104</v>
      </c>
      <c r="C44" s="1476" t="s">
        <v>271</v>
      </c>
      <c r="D44" s="1128">
        <f t="shared" si="1"/>
        <v>43827.6</v>
      </c>
      <c r="E44" s="1129">
        <f t="shared" si="2"/>
        <v>0</v>
      </c>
      <c r="F44" s="1130">
        <f t="shared" si="3"/>
        <v>43827.6</v>
      </c>
      <c r="G44" s="1131">
        <f t="shared" si="4"/>
        <v>43827.6</v>
      </c>
      <c r="H44" s="1130">
        <f t="shared" si="4"/>
        <v>0</v>
      </c>
      <c r="I44" s="1230"/>
      <c r="J44" s="1231"/>
      <c r="K44" s="1231"/>
      <c r="L44" s="1231"/>
      <c r="M44" s="1231"/>
      <c r="N44" s="1232"/>
      <c r="O44" s="1230"/>
      <c r="P44" s="1231"/>
      <c r="Q44" s="1231"/>
      <c r="R44" s="1231"/>
      <c r="S44" s="1231"/>
      <c r="T44" s="1232"/>
      <c r="U44" s="1227">
        <v>43827.6</v>
      </c>
      <c r="V44" s="1228">
        <v>0</v>
      </c>
      <c r="W44" s="1228">
        <v>0</v>
      </c>
      <c r="X44" s="1228">
        <v>43827.6</v>
      </c>
      <c r="Y44" s="1228">
        <v>0</v>
      </c>
      <c r="Z44" s="1229">
        <v>87655.2</v>
      </c>
    </row>
    <row r="45" spans="1:26" ht="15" customHeight="1">
      <c r="A45" s="1092" t="s">
        <v>105</v>
      </c>
      <c r="B45" s="1127" t="s">
        <v>331</v>
      </c>
      <c r="C45" s="1476" t="s">
        <v>272</v>
      </c>
      <c r="D45" s="1128">
        <f t="shared" si="1"/>
        <v>158383.91</v>
      </c>
      <c r="E45" s="1129">
        <f t="shared" si="2"/>
        <v>0</v>
      </c>
      <c r="F45" s="1130">
        <f t="shared" si="3"/>
        <v>158383.91</v>
      </c>
      <c r="G45" s="1131">
        <f t="shared" si="4"/>
        <v>158383.91</v>
      </c>
      <c r="H45" s="1130">
        <f t="shared" si="4"/>
        <v>0</v>
      </c>
      <c r="I45" s="1230"/>
      <c r="J45" s="1231"/>
      <c r="K45" s="1231"/>
      <c r="L45" s="1231"/>
      <c r="M45" s="1231"/>
      <c r="N45" s="1232"/>
      <c r="O45" s="1230"/>
      <c r="P45" s="1231"/>
      <c r="Q45" s="1231"/>
      <c r="R45" s="1231"/>
      <c r="S45" s="1231"/>
      <c r="T45" s="1232"/>
      <c r="U45" s="1227">
        <v>158383.91</v>
      </c>
      <c r="V45" s="1228">
        <v>0</v>
      </c>
      <c r="W45" s="1228">
        <v>0</v>
      </c>
      <c r="X45" s="1228">
        <v>158383.91</v>
      </c>
      <c r="Y45" s="1228">
        <v>0</v>
      </c>
      <c r="Z45" s="1229">
        <v>316767.82</v>
      </c>
    </row>
    <row r="46" spans="1:26" ht="15" customHeight="1">
      <c r="A46" s="1092" t="s">
        <v>109</v>
      </c>
      <c r="B46" s="1127" t="s">
        <v>110</v>
      </c>
      <c r="C46" s="1476" t="s">
        <v>273</v>
      </c>
      <c r="D46" s="1128">
        <f t="shared" si="1"/>
        <v>146360.4</v>
      </c>
      <c r="E46" s="1129">
        <f t="shared" si="2"/>
        <v>0</v>
      </c>
      <c r="F46" s="1130">
        <f t="shared" si="3"/>
        <v>146360.4</v>
      </c>
      <c r="G46" s="1131">
        <f t="shared" si="4"/>
        <v>146360.4</v>
      </c>
      <c r="H46" s="1130">
        <f t="shared" si="4"/>
        <v>0</v>
      </c>
      <c r="I46" s="1230"/>
      <c r="J46" s="1231"/>
      <c r="K46" s="1231"/>
      <c r="L46" s="1231"/>
      <c r="M46" s="1231"/>
      <c r="N46" s="1232"/>
      <c r="O46" s="1230"/>
      <c r="P46" s="1231"/>
      <c r="Q46" s="1231"/>
      <c r="R46" s="1231"/>
      <c r="S46" s="1231"/>
      <c r="T46" s="1232"/>
      <c r="U46" s="1227">
        <v>146360.4</v>
      </c>
      <c r="V46" s="1228">
        <v>0</v>
      </c>
      <c r="W46" s="1228">
        <v>0</v>
      </c>
      <c r="X46" s="1228">
        <v>146360.4</v>
      </c>
      <c r="Y46" s="1228">
        <v>0</v>
      </c>
      <c r="Z46" s="1229">
        <v>292720.8</v>
      </c>
    </row>
    <row r="47" spans="1:26" ht="15" customHeight="1">
      <c r="A47" s="1092" t="s">
        <v>111</v>
      </c>
      <c r="B47" s="1127" t="s">
        <v>112</v>
      </c>
      <c r="C47" s="1476" t="s">
        <v>273</v>
      </c>
      <c r="D47" s="1128">
        <f t="shared" si="1"/>
        <v>542597.61</v>
      </c>
      <c r="E47" s="1129">
        <f t="shared" si="2"/>
        <v>0</v>
      </c>
      <c r="F47" s="1130">
        <f t="shared" si="3"/>
        <v>572790.42999999993</v>
      </c>
      <c r="G47" s="1131">
        <f t="shared" si="4"/>
        <v>542597.61</v>
      </c>
      <c r="H47" s="1130">
        <f t="shared" si="4"/>
        <v>30192.82</v>
      </c>
      <c r="I47" s="1227">
        <v>0</v>
      </c>
      <c r="J47" s="1228">
        <v>0</v>
      </c>
      <c r="K47" s="1228">
        <v>0</v>
      </c>
      <c r="L47" s="1228">
        <v>0</v>
      </c>
      <c r="M47" s="1228">
        <v>30192.82</v>
      </c>
      <c r="N47" s="1229">
        <v>30192.82</v>
      </c>
      <c r="O47" s="1230"/>
      <c r="P47" s="1231"/>
      <c r="Q47" s="1231"/>
      <c r="R47" s="1231"/>
      <c r="S47" s="1231"/>
      <c r="T47" s="1232"/>
      <c r="U47" s="1227">
        <v>542597.61</v>
      </c>
      <c r="V47" s="1228">
        <v>0</v>
      </c>
      <c r="W47" s="1228">
        <v>0</v>
      </c>
      <c r="X47" s="1228">
        <v>542597.61</v>
      </c>
      <c r="Y47" s="1228">
        <v>0</v>
      </c>
      <c r="Z47" s="1229">
        <v>1085195.22</v>
      </c>
    </row>
    <row r="48" spans="1:26" ht="15" customHeight="1">
      <c r="A48" s="1092" t="s">
        <v>113</v>
      </c>
      <c r="B48" s="1127" t="s">
        <v>310</v>
      </c>
      <c r="C48" s="1476" t="s">
        <v>272</v>
      </c>
      <c r="D48" s="1128">
        <f t="shared" si="1"/>
        <v>33278.230000000003</v>
      </c>
      <c r="E48" s="1129">
        <f t="shared" si="2"/>
        <v>0</v>
      </c>
      <c r="F48" s="1130">
        <f t="shared" si="3"/>
        <v>69954.140000000014</v>
      </c>
      <c r="G48" s="1131">
        <f t="shared" si="4"/>
        <v>33278.230000000003</v>
      </c>
      <c r="H48" s="1130">
        <f t="shared" si="4"/>
        <v>36675.910000000003</v>
      </c>
      <c r="I48" s="1227">
        <v>0</v>
      </c>
      <c r="J48" s="1228">
        <v>0</v>
      </c>
      <c r="K48" s="1228">
        <v>0</v>
      </c>
      <c r="L48" s="1228">
        <v>0</v>
      </c>
      <c r="M48" s="1228">
        <v>36675.910000000003</v>
      </c>
      <c r="N48" s="1229">
        <v>36675.910000000003</v>
      </c>
      <c r="O48" s="1230"/>
      <c r="P48" s="1231"/>
      <c r="Q48" s="1231"/>
      <c r="R48" s="1231"/>
      <c r="S48" s="1231"/>
      <c r="T48" s="1232"/>
      <c r="U48" s="1227">
        <v>33278.230000000003</v>
      </c>
      <c r="V48" s="1228">
        <v>0</v>
      </c>
      <c r="W48" s="1228">
        <v>0</v>
      </c>
      <c r="X48" s="1228">
        <v>33278.230000000003</v>
      </c>
      <c r="Y48" s="1228">
        <v>0</v>
      </c>
      <c r="Z48" s="1229">
        <v>66556.460000000006</v>
      </c>
    </row>
    <row r="49" spans="1:26" ht="15" customHeight="1">
      <c r="A49" s="1092" t="s">
        <v>115</v>
      </c>
      <c r="B49" s="1127" t="s">
        <v>116</v>
      </c>
      <c r="C49" s="1476" t="s">
        <v>272</v>
      </c>
      <c r="D49" s="1128">
        <f t="shared" si="1"/>
        <v>24332.31</v>
      </c>
      <c r="E49" s="1129">
        <f t="shared" si="2"/>
        <v>0</v>
      </c>
      <c r="F49" s="1130">
        <f t="shared" si="3"/>
        <v>24332.15</v>
      </c>
      <c r="G49" s="1131">
        <f t="shared" si="4"/>
        <v>24332.31</v>
      </c>
      <c r="H49" s="1130">
        <f t="shared" si="4"/>
        <v>-0.16</v>
      </c>
      <c r="I49" s="1227">
        <v>0</v>
      </c>
      <c r="J49" s="1228">
        <v>0</v>
      </c>
      <c r="K49" s="1228">
        <v>0</v>
      </c>
      <c r="L49" s="1228">
        <v>0</v>
      </c>
      <c r="M49" s="1228">
        <v>-0.16</v>
      </c>
      <c r="N49" s="1229">
        <v>-0.16</v>
      </c>
      <c r="O49" s="1230"/>
      <c r="P49" s="1231"/>
      <c r="Q49" s="1231"/>
      <c r="R49" s="1231"/>
      <c r="S49" s="1231"/>
      <c r="T49" s="1232"/>
      <c r="U49" s="1227">
        <v>24332.31</v>
      </c>
      <c r="V49" s="1228">
        <v>0</v>
      </c>
      <c r="W49" s="1228">
        <v>0</v>
      </c>
      <c r="X49" s="1228">
        <v>24332.31</v>
      </c>
      <c r="Y49" s="1228">
        <v>0</v>
      </c>
      <c r="Z49" s="1229">
        <v>48664.62</v>
      </c>
    </row>
    <row r="50" spans="1:26" ht="15" customHeight="1">
      <c r="A50" s="1092" t="s">
        <v>119</v>
      </c>
      <c r="B50" s="1127" t="s">
        <v>120</v>
      </c>
      <c r="C50" s="1476" t="s">
        <v>271</v>
      </c>
      <c r="D50" s="1128">
        <f t="shared" si="1"/>
        <v>77525.36</v>
      </c>
      <c r="E50" s="1129">
        <f t="shared" si="2"/>
        <v>0</v>
      </c>
      <c r="F50" s="1130">
        <f t="shared" si="3"/>
        <v>77525.36</v>
      </c>
      <c r="G50" s="1131">
        <f t="shared" si="4"/>
        <v>77525.36</v>
      </c>
      <c r="H50" s="1130">
        <f t="shared" si="4"/>
        <v>0</v>
      </c>
      <c r="I50" s="1230"/>
      <c r="J50" s="1231"/>
      <c r="K50" s="1231"/>
      <c r="L50" s="1231"/>
      <c r="M50" s="1231"/>
      <c r="N50" s="1232"/>
      <c r="O50" s="1230"/>
      <c r="P50" s="1231"/>
      <c r="Q50" s="1231"/>
      <c r="R50" s="1231"/>
      <c r="S50" s="1231"/>
      <c r="T50" s="1232"/>
      <c r="U50" s="1227">
        <v>77525.36</v>
      </c>
      <c r="V50" s="1228">
        <v>0</v>
      </c>
      <c r="W50" s="1228">
        <v>0</v>
      </c>
      <c r="X50" s="1228">
        <v>77525.36</v>
      </c>
      <c r="Y50" s="1228">
        <v>0</v>
      </c>
      <c r="Z50" s="1229">
        <v>155050.72</v>
      </c>
    </row>
    <row r="51" spans="1:26" ht="15" customHeight="1">
      <c r="A51" s="1092" t="s">
        <v>121</v>
      </c>
      <c r="B51" s="1127" t="s">
        <v>122</v>
      </c>
      <c r="C51" s="1476" t="s">
        <v>271</v>
      </c>
      <c r="D51" s="1128">
        <f t="shared" si="1"/>
        <v>184038.26</v>
      </c>
      <c r="E51" s="1129">
        <f t="shared" si="2"/>
        <v>2641.56</v>
      </c>
      <c r="F51" s="1130">
        <f t="shared" si="3"/>
        <v>192388.44</v>
      </c>
      <c r="G51" s="1131">
        <f t="shared" si="4"/>
        <v>184038.26</v>
      </c>
      <c r="H51" s="1130">
        <f t="shared" si="4"/>
        <v>8350.18</v>
      </c>
      <c r="I51" s="1227">
        <v>0</v>
      </c>
      <c r="J51" s="1228">
        <v>0</v>
      </c>
      <c r="K51" s="1228">
        <v>2641.56</v>
      </c>
      <c r="L51" s="1228">
        <v>0</v>
      </c>
      <c r="M51" s="1228">
        <v>8350.18</v>
      </c>
      <c r="N51" s="1229">
        <v>10991.74</v>
      </c>
      <c r="O51" s="1230"/>
      <c r="P51" s="1231"/>
      <c r="Q51" s="1231"/>
      <c r="R51" s="1231"/>
      <c r="S51" s="1231"/>
      <c r="T51" s="1232"/>
      <c r="U51" s="1227">
        <v>184038.26</v>
      </c>
      <c r="V51" s="1228">
        <v>0</v>
      </c>
      <c r="W51" s="1228">
        <v>0</v>
      </c>
      <c r="X51" s="1228">
        <v>184038.26</v>
      </c>
      <c r="Y51" s="1228">
        <v>0</v>
      </c>
      <c r="Z51" s="1229">
        <v>368076.52</v>
      </c>
    </row>
    <row r="52" spans="1:26" ht="15" customHeight="1">
      <c r="A52" s="1092" t="s">
        <v>123</v>
      </c>
      <c r="B52" s="1127" t="s">
        <v>278</v>
      </c>
      <c r="C52" s="1476" t="s">
        <v>273</v>
      </c>
      <c r="D52" s="1128">
        <f t="shared" si="1"/>
        <v>31128.400000000001</v>
      </c>
      <c r="E52" s="1129">
        <f t="shared" si="2"/>
        <v>0</v>
      </c>
      <c r="F52" s="1130">
        <f t="shared" si="3"/>
        <v>31128.400000000001</v>
      </c>
      <c r="G52" s="1131">
        <f t="shared" si="4"/>
        <v>31128.400000000001</v>
      </c>
      <c r="H52" s="1130">
        <f t="shared" si="4"/>
        <v>0</v>
      </c>
      <c r="I52" s="1230"/>
      <c r="J52" s="1231"/>
      <c r="K52" s="1231"/>
      <c r="L52" s="1231"/>
      <c r="M52" s="1231"/>
      <c r="N52" s="1232"/>
      <c r="O52" s="1230"/>
      <c r="P52" s="1231"/>
      <c r="Q52" s="1231"/>
      <c r="R52" s="1231"/>
      <c r="S52" s="1231"/>
      <c r="T52" s="1232"/>
      <c r="U52" s="1227">
        <v>31128.400000000001</v>
      </c>
      <c r="V52" s="1228">
        <v>0</v>
      </c>
      <c r="W52" s="1228">
        <v>0</v>
      </c>
      <c r="X52" s="1228">
        <v>31128.400000000001</v>
      </c>
      <c r="Y52" s="1228">
        <v>0</v>
      </c>
      <c r="Z52" s="1229">
        <v>62256.800000000003</v>
      </c>
    </row>
    <row r="53" spans="1:26" ht="15" customHeight="1">
      <c r="A53" s="1092" t="s">
        <v>125</v>
      </c>
      <c r="B53" s="1127" t="s">
        <v>126</v>
      </c>
      <c r="C53" s="1476" t="s">
        <v>274</v>
      </c>
      <c r="D53" s="1128">
        <f t="shared" si="1"/>
        <v>16907.29</v>
      </c>
      <c r="E53" s="1129">
        <f t="shared" si="2"/>
        <v>0</v>
      </c>
      <c r="F53" s="1130">
        <f t="shared" si="3"/>
        <v>17880.2</v>
      </c>
      <c r="G53" s="1131">
        <f t="shared" si="4"/>
        <v>16907.29</v>
      </c>
      <c r="H53" s="1130">
        <f t="shared" si="4"/>
        <v>972.91</v>
      </c>
      <c r="I53" s="1227">
        <v>0</v>
      </c>
      <c r="J53" s="1228">
        <v>0</v>
      </c>
      <c r="K53" s="1228">
        <v>0</v>
      </c>
      <c r="L53" s="1228">
        <v>0</v>
      </c>
      <c r="M53" s="1228">
        <v>972.91</v>
      </c>
      <c r="N53" s="1229">
        <v>972.91</v>
      </c>
      <c r="O53" s="1230"/>
      <c r="P53" s="1231"/>
      <c r="Q53" s="1231"/>
      <c r="R53" s="1231"/>
      <c r="S53" s="1231"/>
      <c r="T53" s="1232"/>
      <c r="U53" s="1227">
        <v>16907.29</v>
      </c>
      <c r="V53" s="1228">
        <v>0</v>
      </c>
      <c r="W53" s="1228">
        <v>0</v>
      </c>
      <c r="X53" s="1228">
        <v>16907.29</v>
      </c>
      <c r="Y53" s="1228">
        <v>0</v>
      </c>
      <c r="Z53" s="1229">
        <v>33814.58</v>
      </c>
    </row>
    <row r="54" spans="1:26" ht="15" customHeight="1">
      <c r="A54" s="1092" t="s">
        <v>127</v>
      </c>
      <c r="B54" s="1127" t="s">
        <v>128</v>
      </c>
      <c r="C54" s="1476" t="s">
        <v>273</v>
      </c>
      <c r="D54" s="1128">
        <f t="shared" si="1"/>
        <v>48768.1</v>
      </c>
      <c r="E54" s="1129">
        <f t="shared" si="2"/>
        <v>0</v>
      </c>
      <c r="F54" s="1130">
        <f t="shared" si="3"/>
        <v>48767.049999999996</v>
      </c>
      <c r="G54" s="1131">
        <f t="shared" si="4"/>
        <v>48768.1</v>
      </c>
      <c r="H54" s="1130">
        <f t="shared" si="4"/>
        <v>-1.05</v>
      </c>
      <c r="I54" s="1227">
        <v>0</v>
      </c>
      <c r="J54" s="1228">
        <v>0</v>
      </c>
      <c r="K54" s="1228">
        <v>0</v>
      </c>
      <c r="L54" s="1228">
        <v>0</v>
      </c>
      <c r="M54" s="1228">
        <v>-1.05</v>
      </c>
      <c r="N54" s="1229">
        <v>-1.05</v>
      </c>
      <c r="O54" s="1230"/>
      <c r="P54" s="1231"/>
      <c r="Q54" s="1231"/>
      <c r="R54" s="1231"/>
      <c r="S54" s="1231"/>
      <c r="T54" s="1232"/>
      <c r="U54" s="1227">
        <v>48768.1</v>
      </c>
      <c r="V54" s="1228">
        <v>0</v>
      </c>
      <c r="W54" s="1228">
        <v>0</v>
      </c>
      <c r="X54" s="1228">
        <v>48768.1</v>
      </c>
      <c r="Y54" s="1228">
        <v>0</v>
      </c>
      <c r="Z54" s="1229">
        <v>97536.2</v>
      </c>
    </row>
    <row r="55" spans="1:26" ht="15" customHeight="1">
      <c r="A55" s="1092" t="s">
        <v>129</v>
      </c>
      <c r="B55" s="1127" t="s">
        <v>130</v>
      </c>
      <c r="C55" s="1476" t="s">
        <v>273</v>
      </c>
      <c r="D55" s="1128">
        <f t="shared" si="1"/>
        <v>22073.26</v>
      </c>
      <c r="E55" s="1129">
        <f t="shared" si="2"/>
        <v>0</v>
      </c>
      <c r="F55" s="1130">
        <f t="shared" si="3"/>
        <v>22073.239999999998</v>
      </c>
      <c r="G55" s="1131">
        <f t="shared" si="4"/>
        <v>22073.26</v>
      </c>
      <c r="H55" s="1130">
        <f t="shared" si="4"/>
        <v>-0.02</v>
      </c>
      <c r="I55" s="1227">
        <v>0</v>
      </c>
      <c r="J55" s="1228">
        <v>0</v>
      </c>
      <c r="K55" s="1228">
        <v>0</v>
      </c>
      <c r="L55" s="1228">
        <v>0</v>
      </c>
      <c r="M55" s="1228">
        <v>-0.02</v>
      </c>
      <c r="N55" s="1229">
        <v>-0.02</v>
      </c>
      <c r="O55" s="1230"/>
      <c r="P55" s="1231"/>
      <c r="Q55" s="1231"/>
      <c r="R55" s="1231"/>
      <c r="S55" s="1231"/>
      <c r="T55" s="1232"/>
      <c r="U55" s="1227">
        <v>22073.26</v>
      </c>
      <c r="V55" s="1228">
        <v>0</v>
      </c>
      <c r="W55" s="1228">
        <v>0</v>
      </c>
      <c r="X55" s="1228">
        <v>22073.26</v>
      </c>
      <c r="Y55" s="1228">
        <v>0</v>
      </c>
      <c r="Z55" s="1229">
        <v>44146.52</v>
      </c>
    </row>
    <row r="56" spans="1:26" ht="15" customHeight="1">
      <c r="A56" s="1092" t="s">
        <v>131</v>
      </c>
      <c r="B56" s="1127" t="s">
        <v>132</v>
      </c>
      <c r="C56" s="1476" t="s">
        <v>275</v>
      </c>
      <c r="D56" s="1128">
        <f t="shared" si="1"/>
        <v>43281.08</v>
      </c>
      <c r="E56" s="1129">
        <f t="shared" si="2"/>
        <v>0</v>
      </c>
      <c r="F56" s="1130">
        <f t="shared" si="3"/>
        <v>43281.08</v>
      </c>
      <c r="G56" s="1131">
        <f t="shared" si="4"/>
        <v>43281.08</v>
      </c>
      <c r="H56" s="1130">
        <f t="shared" si="4"/>
        <v>0</v>
      </c>
      <c r="I56" s="1230"/>
      <c r="J56" s="1231"/>
      <c r="K56" s="1231"/>
      <c r="L56" s="1231"/>
      <c r="M56" s="1231"/>
      <c r="N56" s="1232"/>
      <c r="O56" s="1230"/>
      <c r="P56" s="1231"/>
      <c r="Q56" s="1231"/>
      <c r="R56" s="1231"/>
      <c r="S56" s="1231"/>
      <c r="T56" s="1232"/>
      <c r="U56" s="1227">
        <v>43281.08</v>
      </c>
      <c r="V56" s="1228">
        <v>0</v>
      </c>
      <c r="W56" s="1228">
        <v>0</v>
      </c>
      <c r="X56" s="1228">
        <v>43281.08</v>
      </c>
      <c r="Y56" s="1228">
        <v>0</v>
      </c>
      <c r="Z56" s="1229">
        <v>86562.16</v>
      </c>
    </row>
    <row r="57" spans="1:26" ht="15" customHeight="1">
      <c r="A57" s="1092" t="s">
        <v>133</v>
      </c>
      <c r="B57" s="1127" t="s">
        <v>134</v>
      </c>
      <c r="C57" s="1476" t="s">
        <v>274</v>
      </c>
      <c r="D57" s="1128">
        <f t="shared" si="1"/>
        <v>828537.25</v>
      </c>
      <c r="E57" s="1129">
        <f t="shared" si="2"/>
        <v>0</v>
      </c>
      <c r="F57" s="1130">
        <f t="shared" si="3"/>
        <v>828537.25</v>
      </c>
      <c r="G57" s="1131">
        <f t="shared" si="4"/>
        <v>828537.25</v>
      </c>
      <c r="H57" s="1130">
        <f t="shared" si="4"/>
        <v>0</v>
      </c>
      <c r="I57" s="1230"/>
      <c r="J57" s="1231"/>
      <c r="K57" s="1231"/>
      <c r="L57" s="1231"/>
      <c r="M57" s="1231"/>
      <c r="N57" s="1232"/>
      <c r="O57" s="1230"/>
      <c r="P57" s="1231"/>
      <c r="Q57" s="1231"/>
      <c r="R57" s="1231"/>
      <c r="S57" s="1231"/>
      <c r="T57" s="1232"/>
      <c r="U57" s="1227">
        <v>828537.25</v>
      </c>
      <c r="V57" s="1228">
        <v>0</v>
      </c>
      <c r="W57" s="1228">
        <v>0</v>
      </c>
      <c r="X57" s="1228">
        <v>828537.25</v>
      </c>
      <c r="Y57" s="1228">
        <v>0</v>
      </c>
      <c r="Z57" s="1229">
        <v>1657074.5</v>
      </c>
    </row>
    <row r="58" spans="1:26" ht="15" customHeight="1">
      <c r="A58" s="1092" t="s">
        <v>135</v>
      </c>
      <c r="B58" s="1127" t="s">
        <v>136</v>
      </c>
      <c r="C58" s="1476" t="s">
        <v>274</v>
      </c>
      <c r="D58" s="1128">
        <f t="shared" si="1"/>
        <v>83164.740000000005</v>
      </c>
      <c r="E58" s="1129">
        <f t="shared" si="2"/>
        <v>0</v>
      </c>
      <c r="F58" s="1130">
        <f t="shared" si="3"/>
        <v>83439.740000000005</v>
      </c>
      <c r="G58" s="1131">
        <f t="shared" si="4"/>
        <v>83164.740000000005</v>
      </c>
      <c r="H58" s="1130">
        <f t="shared" si="4"/>
        <v>275</v>
      </c>
      <c r="I58" s="1227">
        <v>0</v>
      </c>
      <c r="J58" s="1228">
        <v>0</v>
      </c>
      <c r="K58" s="1228">
        <v>0</v>
      </c>
      <c r="L58" s="1228">
        <v>0</v>
      </c>
      <c r="M58" s="1228">
        <v>275</v>
      </c>
      <c r="N58" s="1229">
        <v>275</v>
      </c>
      <c r="O58" s="1230"/>
      <c r="P58" s="1231"/>
      <c r="Q58" s="1231"/>
      <c r="R58" s="1231"/>
      <c r="S58" s="1231"/>
      <c r="T58" s="1232"/>
      <c r="U58" s="1227">
        <v>83164.740000000005</v>
      </c>
      <c r="V58" s="1228">
        <v>0</v>
      </c>
      <c r="W58" s="1228">
        <v>0</v>
      </c>
      <c r="X58" s="1228">
        <v>83164.740000000005</v>
      </c>
      <c r="Y58" s="1228">
        <v>0</v>
      </c>
      <c r="Z58" s="1229">
        <v>166329.48000000001</v>
      </c>
    </row>
    <row r="59" spans="1:26" ht="15" customHeight="1">
      <c r="A59" s="1092" t="s">
        <v>137</v>
      </c>
      <c r="B59" s="1127" t="s">
        <v>138</v>
      </c>
      <c r="C59" s="1476" t="s">
        <v>273</v>
      </c>
      <c r="D59" s="1128">
        <f t="shared" si="1"/>
        <v>21679.07</v>
      </c>
      <c r="E59" s="1129">
        <f t="shared" si="2"/>
        <v>0</v>
      </c>
      <c r="F59" s="1130">
        <f t="shared" si="3"/>
        <v>21679.07</v>
      </c>
      <c r="G59" s="1131">
        <f t="shared" si="4"/>
        <v>21679.07</v>
      </c>
      <c r="H59" s="1130">
        <f t="shared" si="4"/>
        <v>0</v>
      </c>
      <c r="I59" s="1230"/>
      <c r="J59" s="1231"/>
      <c r="K59" s="1231"/>
      <c r="L59" s="1231"/>
      <c r="M59" s="1231"/>
      <c r="N59" s="1232"/>
      <c r="O59" s="1230"/>
      <c r="P59" s="1231"/>
      <c r="Q59" s="1231"/>
      <c r="R59" s="1231"/>
      <c r="S59" s="1231"/>
      <c r="T59" s="1232"/>
      <c r="U59" s="1227">
        <v>21679.07</v>
      </c>
      <c r="V59" s="1228">
        <v>0</v>
      </c>
      <c r="W59" s="1228">
        <v>0</v>
      </c>
      <c r="X59" s="1228">
        <v>21679.07</v>
      </c>
      <c r="Y59" s="1228">
        <v>0</v>
      </c>
      <c r="Z59" s="1229">
        <v>43358.14</v>
      </c>
    </row>
    <row r="60" spans="1:26" ht="15" customHeight="1">
      <c r="A60" s="1092" t="s">
        <v>141</v>
      </c>
      <c r="B60" s="1127" t="s">
        <v>142</v>
      </c>
      <c r="C60" s="1476" t="s">
        <v>274</v>
      </c>
      <c r="D60" s="1128">
        <f t="shared" si="1"/>
        <v>20760.14</v>
      </c>
      <c r="E60" s="1129">
        <f t="shared" si="2"/>
        <v>0</v>
      </c>
      <c r="F60" s="1130">
        <f t="shared" si="3"/>
        <v>20760.14</v>
      </c>
      <c r="G60" s="1131">
        <f t="shared" si="4"/>
        <v>20760.14</v>
      </c>
      <c r="H60" s="1130">
        <f t="shared" si="4"/>
        <v>0</v>
      </c>
      <c r="I60" s="1230"/>
      <c r="J60" s="1231"/>
      <c r="K60" s="1231"/>
      <c r="L60" s="1231"/>
      <c r="M60" s="1231"/>
      <c r="N60" s="1232"/>
      <c r="O60" s="1230"/>
      <c r="P60" s="1231"/>
      <c r="Q60" s="1231"/>
      <c r="R60" s="1231"/>
      <c r="S60" s="1231"/>
      <c r="T60" s="1232"/>
      <c r="U60" s="1227">
        <v>20760.14</v>
      </c>
      <c r="V60" s="1228">
        <v>0</v>
      </c>
      <c r="W60" s="1228">
        <v>0</v>
      </c>
      <c r="X60" s="1228">
        <v>20760.14</v>
      </c>
      <c r="Y60" s="1228">
        <v>0</v>
      </c>
      <c r="Z60" s="1229">
        <v>41520.28</v>
      </c>
    </row>
    <row r="61" spans="1:26" ht="15" customHeight="1">
      <c r="A61" s="1092" t="s">
        <v>147</v>
      </c>
      <c r="B61" s="1127" t="s">
        <v>148</v>
      </c>
      <c r="C61" s="1476" t="s">
        <v>271</v>
      </c>
      <c r="D61" s="1128">
        <f t="shared" si="1"/>
        <v>50938.400000000001</v>
      </c>
      <c r="E61" s="1129">
        <f t="shared" si="2"/>
        <v>0</v>
      </c>
      <c r="F61" s="1130">
        <f t="shared" si="3"/>
        <v>50938.060000000005</v>
      </c>
      <c r="G61" s="1131">
        <f t="shared" si="4"/>
        <v>50938.400000000001</v>
      </c>
      <c r="H61" s="1130">
        <f t="shared" si="4"/>
        <v>-0.34</v>
      </c>
      <c r="I61" s="1227">
        <v>0</v>
      </c>
      <c r="J61" s="1228">
        <v>0</v>
      </c>
      <c r="K61" s="1228">
        <v>0</v>
      </c>
      <c r="L61" s="1228">
        <v>0</v>
      </c>
      <c r="M61" s="1228">
        <v>-0.34</v>
      </c>
      <c r="N61" s="1229">
        <v>-0.34</v>
      </c>
      <c r="O61" s="1230"/>
      <c r="P61" s="1231"/>
      <c r="Q61" s="1231"/>
      <c r="R61" s="1231"/>
      <c r="S61" s="1231"/>
      <c r="T61" s="1232"/>
      <c r="U61" s="1227">
        <v>50938.400000000001</v>
      </c>
      <c r="V61" s="1228">
        <v>0</v>
      </c>
      <c r="W61" s="1228">
        <v>0</v>
      </c>
      <c r="X61" s="1228">
        <v>50938.400000000001</v>
      </c>
      <c r="Y61" s="1228">
        <v>0</v>
      </c>
      <c r="Z61" s="1229">
        <v>101876.8</v>
      </c>
    </row>
    <row r="62" spans="1:26" ht="15" customHeight="1">
      <c r="A62" s="1092" t="s">
        <v>149</v>
      </c>
      <c r="B62" s="1127" t="s">
        <v>150</v>
      </c>
      <c r="C62" s="1476" t="s">
        <v>272</v>
      </c>
      <c r="D62" s="1128">
        <f t="shared" si="1"/>
        <v>98341.77</v>
      </c>
      <c r="E62" s="1129">
        <f t="shared" si="2"/>
        <v>0</v>
      </c>
      <c r="F62" s="1130">
        <f t="shared" si="3"/>
        <v>98341.77</v>
      </c>
      <c r="G62" s="1131">
        <f t="shared" si="4"/>
        <v>98341.77</v>
      </c>
      <c r="H62" s="1130">
        <f t="shared" si="4"/>
        <v>0</v>
      </c>
      <c r="I62" s="1230"/>
      <c r="J62" s="1231"/>
      <c r="K62" s="1231"/>
      <c r="L62" s="1231"/>
      <c r="M62" s="1231"/>
      <c r="N62" s="1232"/>
      <c r="O62" s="1230"/>
      <c r="P62" s="1231"/>
      <c r="Q62" s="1231"/>
      <c r="R62" s="1231"/>
      <c r="S62" s="1231"/>
      <c r="T62" s="1232"/>
      <c r="U62" s="1227">
        <v>98341.77</v>
      </c>
      <c r="V62" s="1228">
        <v>0</v>
      </c>
      <c r="W62" s="1228">
        <v>0</v>
      </c>
      <c r="X62" s="1228">
        <v>98341.77</v>
      </c>
      <c r="Y62" s="1228">
        <v>0</v>
      </c>
      <c r="Z62" s="1229">
        <v>196683.54</v>
      </c>
    </row>
    <row r="63" spans="1:26" ht="15" customHeight="1">
      <c r="A63" s="1092" t="s">
        <v>151</v>
      </c>
      <c r="B63" s="1127" t="s">
        <v>152</v>
      </c>
      <c r="C63" s="1476" t="s">
        <v>273</v>
      </c>
      <c r="D63" s="1128">
        <f t="shared" si="1"/>
        <v>26740.28</v>
      </c>
      <c r="E63" s="1129">
        <f t="shared" si="2"/>
        <v>0</v>
      </c>
      <c r="F63" s="1130">
        <f t="shared" si="3"/>
        <v>26740.28</v>
      </c>
      <c r="G63" s="1131">
        <f t="shared" si="4"/>
        <v>26740.28</v>
      </c>
      <c r="H63" s="1130">
        <f t="shared" si="4"/>
        <v>0</v>
      </c>
      <c r="I63" s="1230"/>
      <c r="J63" s="1231"/>
      <c r="K63" s="1231"/>
      <c r="L63" s="1231"/>
      <c r="M63" s="1231"/>
      <c r="N63" s="1232"/>
      <c r="O63" s="1230"/>
      <c r="P63" s="1231"/>
      <c r="Q63" s="1231"/>
      <c r="R63" s="1231"/>
      <c r="S63" s="1231"/>
      <c r="T63" s="1232"/>
      <c r="U63" s="1227">
        <v>26740.28</v>
      </c>
      <c r="V63" s="1228">
        <v>0</v>
      </c>
      <c r="W63" s="1228">
        <v>0</v>
      </c>
      <c r="X63" s="1228">
        <v>26740.28</v>
      </c>
      <c r="Y63" s="1228">
        <v>0</v>
      </c>
      <c r="Z63" s="1229">
        <v>53480.56</v>
      </c>
    </row>
    <row r="64" spans="1:26" ht="15" customHeight="1">
      <c r="A64" s="1092" t="s">
        <v>153</v>
      </c>
      <c r="B64" s="1127" t="s">
        <v>154</v>
      </c>
      <c r="C64" s="1476" t="s">
        <v>275</v>
      </c>
      <c r="D64" s="1128">
        <f t="shared" si="1"/>
        <v>138545.20000000001</v>
      </c>
      <c r="E64" s="1129">
        <f t="shared" si="2"/>
        <v>0</v>
      </c>
      <c r="F64" s="1130">
        <f t="shared" si="3"/>
        <v>138545.20000000001</v>
      </c>
      <c r="G64" s="1131">
        <f t="shared" si="4"/>
        <v>138545.20000000001</v>
      </c>
      <c r="H64" s="1130">
        <f t="shared" si="4"/>
        <v>0</v>
      </c>
      <c r="I64" s="1230"/>
      <c r="J64" s="1231"/>
      <c r="K64" s="1231"/>
      <c r="L64" s="1231"/>
      <c r="M64" s="1231"/>
      <c r="N64" s="1232"/>
      <c r="O64" s="1230"/>
      <c r="P64" s="1231"/>
      <c r="Q64" s="1231"/>
      <c r="R64" s="1231"/>
      <c r="S64" s="1231"/>
      <c r="T64" s="1232"/>
      <c r="U64" s="1227">
        <v>138545.20000000001</v>
      </c>
      <c r="V64" s="1228">
        <v>0</v>
      </c>
      <c r="W64" s="1228">
        <v>0</v>
      </c>
      <c r="X64" s="1228">
        <v>138545.20000000001</v>
      </c>
      <c r="Y64" s="1228">
        <v>0</v>
      </c>
      <c r="Z64" s="1229">
        <v>277090.40000000002</v>
      </c>
    </row>
    <row r="65" spans="1:26" ht="15" customHeight="1">
      <c r="A65" s="1092" t="s">
        <v>155</v>
      </c>
      <c r="B65" s="1127" t="s">
        <v>156</v>
      </c>
      <c r="C65" s="1476" t="s">
        <v>272</v>
      </c>
      <c r="D65" s="1128">
        <f t="shared" si="1"/>
        <v>0</v>
      </c>
      <c r="E65" s="1129">
        <f t="shared" si="2"/>
        <v>0</v>
      </c>
      <c r="F65" s="1130">
        <f t="shared" si="3"/>
        <v>0</v>
      </c>
      <c r="G65" s="1131">
        <f t="shared" si="4"/>
        <v>0</v>
      </c>
      <c r="H65" s="1130">
        <f t="shared" si="4"/>
        <v>0</v>
      </c>
      <c r="I65" s="1230"/>
      <c r="J65" s="1231"/>
      <c r="K65" s="1231"/>
      <c r="L65" s="1231"/>
      <c r="M65" s="1231"/>
      <c r="N65" s="1232"/>
      <c r="O65" s="1230"/>
      <c r="P65" s="1231"/>
      <c r="Q65" s="1231"/>
      <c r="R65" s="1231"/>
      <c r="S65" s="1231"/>
      <c r="T65" s="1232"/>
      <c r="U65" s="1230"/>
      <c r="V65" s="1231"/>
      <c r="W65" s="1231"/>
      <c r="X65" s="1231"/>
      <c r="Y65" s="1231"/>
      <c r="Z65" s="1232"/>
    </row>
    <row r="66" spans="1:26" ht="15" customHeight="1">
      <c r="A66" s="1092" t="s">
        <v>157</v>
      </c>
      <c r="B66" s="1127" t="s">
        <v>158</v>
      </c>
      <c r="C66" s="1476" t="s">
        <v>273</v>
      </c>
      <c r="D66" s="1128">
        <f t="shared" si="1"/>
        <v>54185.49</v>
      </c>
      <c r="E66" s="1129">
        <f t="shared" si="2"/>
        <v>0</v>
      </c>
      <c r="F66" s="1130">
        <f t="shared" si="3"/>
        <v>60388.77</v>
      </c>
      <c r="G66" s="1131">
        <f t="shared" si="4"/>
        <v>54185.49</v>
      </c>
      <c r="H66" s="1130">
        <f t="shared" si="4"/>
        <v>6203.28</v>
      </c>
      <c r="I66" s="1227">
        <v>0</v>
      </c>
      <c r="J66" s="1228">
        <v>0</v>
      </c>
      <c r="K66" s="1228">
        <v>0</v>
      </c>
      <c r="L66" s="1228">
        <v>0</v>
      </c>
      <c r="M66" s="1228">
        <v>6203.28</v>
      </c>
      <c r="N66" s="1229">
        <v>6203.28</v>
      </c>
      <c r="O66" s="1230"/>
      <c r="P66" s="1231"/>
      <c r="Q66" s="1231"/>
      <c r="R66" s="1231"/>
      <c r="S66" s="1231"/>
      <c r="T66" s="1232"/>
      <c r="U66" s="1227">
        <v>54185.49</v>
      </c>
      <c r="V66" s="1228">
        <v>0</v>
      </c>
      <c r="W66" s="1228">
        <v>0</v>
      </c>
      <c r="X66" s="1228">
        <v>54185.49</v>
      </c>
      <c r="Y66" s="1228">
        <v>0</v>
      </c>
      <c r="Z66" s="1229">
        <v>108370.98</v>
      </c>
    </row>
    <row r="67" spans="1:26" ht="15" customHeight="1">
      <c r="A67" s="1092" t="s">
        <v>163</v>
      </c>
      <c r="B67" s="1127" t="s">
        <v>164</v>
      </c>
      <c r="C67" s="1476" t="s">
        <v>271</v>
      </c>
      <c r="D67" s="1128">
        <f t="shared" si="1"/>
        <v>75498.27</v>
      </c>
      <c r="E67" s="1129">
        <f t="shared" si="2"/>
        <v>0</v>
      </c>
      <c r="F67" s="1130">
        <f t="shared" si="3"/>
        <v>75498.27</v>
      </c>
      <c r="G67" s="1131">
        <f t="shared" si="4"/>
        <v>75498.27</v>
      </c>
      <c r="H67" s="1130">
        <f t="shared" si="4"/>
        <v>0</v>
      </c>
      <c r="I67" s="1230"/>
      <c r="J67" s="1231"/>
      <c r="K67" s="1231"/>
      <c r="L67" s="1231"/>
      <c r="M67" s="1231"/>
      <c r="N67" s="1232"/>
      <c r="O67" s="1230"/>
      <c r="P67" s="1231"/>
      <c r="Q67" s="1231"/>
      <c r="R67" s="1231"/>
      <c r="S67" s="1231"/>
      <c r="T67" s="1232"/>
      <c r="U67" s="1227">
        <v>75498.27</v>
      </c>
      <c r="V67" s="1228">
        <v>0</v>
      </c>
      <c r="W67" s="1228">
        <v>0</v>
      </c>
      <c r="X67" s="1228">
        <v>75498.27</v>
      </c>
      <c r="Y67" s="1228">
        <v>0</v>
      </c>
      <c r="Z67" s="1229">
        <v>150996.54</v>
      </c>
    </row>
    <row r="68" spans="1:26" ht="15" customHeight="1">
      <c r="A68" s="1092" t="s">
        <v>165</v>
      </c>
      <c r="B68" s="1127" t="s">
        <v>166</v>
      </c>
      <c r="C68" s="1476" t="s">
        <v>273</v>
      </c>
      <c r="D68" s="1128">
        <f t="shared" si="1"/>
        <v>24857.97</v>
      </c>
      <c r="E68" s="1129">
        <f t="shared" si="2"/>
        <v>0</v>
      </c>
      <c r="F68" s="1130">
        <f t="shared" si="3"/>
        <v>24857.97</v>
      </c>
      <c r="G68" s="1131">
        <f t="shared" si="4"/>
        <v>24857.97</v>
      </c>
      <c r="H68" s="1130">
        <f t="shared" si="4"/>
        <v>0</v>
      </c>
      <c r="I68" s="1230"/>
      <c r="J68" s="1231"/>
      <c r="K68" s="1231"/>
      <c r="L68" s="1231"/>
      <c r="M68" s="1231"/>
      <c r="N68" s="1232"/>
      <c r="O68" s="1230"/>
      <c r="P68" s="1231"/>
      <c r="Q68" s="1231"/>
      <c r="R68" s="1231"/>
      <c r="S68" s="1231"/>
      <c r="T68" s="1232"/>
      <c r="U68" s="1227">
        <v>24857.97</v>
      </c>
      <c r="V68" s="1228">
        <v>0</v>
      </c>
      <c r="W68" s="1228">
        <v>0</v>
      </c>
      <c r="X68" s="1228">
        <v>24857.97</v>
      </c>
      <c r="Y68" s="1228">
        <v>0</v>
      </c>
      <c r="Z68" s="1229">
        <v>49715.94</v>
      </c>
    </row>
    <row r="69" spans="1:26" ht="15" customHeight="1">
      <c r="A69" s="1092" t="s">
        <v>169</v>
      </c>
      <c r="B69" s="1127" t="s">
        <v>170</v>
      </c>
      <c r="C69" s="1476" t="s">
        <v>273</v>
      </c>
      <c r="D69" s="1128">
        <f t="shared" si="1"/>
        <v>28905.01</v>
      </c>
      <c r="E69" s="1129">
        <f t="shared" si="2"/>
        <v>0</v>
      </c>
      <c r="F69" s="1130">
        <f t="shared" si="3"/>
        <v>28905.01</v>
      </c>
      <c r="G69" s="1131">
        <f t="shared" si="4"/>
        <v>28905.01</v>
      </c>
      <c r="H69" s="1130">
        <f t="shared" si="4"/>
        <v>0</v>
      </c>
      <c r="I69" s="1230"/>
      <c r="J69" s="1231"/>
      <c r="K69" s="1231"/>
      <c r="L69" s="1231"/>
      <c r="M69" s="1231"/>
      <c r="N69" s="1232"/>
      <c r="O69" s="1230"/>
      <c r="P69" s="1231"/>
      <c r="Q69" s="1231"/>
      <c r="R69" s="1231"/>
      <c r="S69" s="1231"/>
      <c r="T69" s="1232"/>
      <c r="U69" s="1227">
        <v>28905.01</v>
      </c>
      <c r="V69" s="1228">
        <v>0</v>
      </c>
      <c r="W69" s="1228">
        <v>0</v>
      </c>
      <c r="X69" s="1228">
        <v>28905.01</v>
      </c>
      <c r="Y69" s="1228">
        <v>0</v>
      </c>
      <c r="Z69" s="1229">
        <v>57810.02</v>
      </c>
    </row>
    <row r="70" spans="1:26" ht="15" customHeight="1">
      <c r="A70" s="1092" t="s">
        <v>171</v>
      </c>
      <c r="B70" s="1127" t="s">
        <v>172</v>
      </c>
      <c r="C70" s="1476" t="s">
        <v>274</v>
      </c>
      <c r="D70" s="1128">
        <f t="shared" ref="D70:D124" si="5">+I70+J70+O70+P70+U70+V70</f>
        <v>19583.41</v>
      </c>
      <c r="E70" s="1129">
        <f t="shared" ref="E70:E124" si="6">+K70+Q70+W70</f>
        <v>0</v>
      </c>
      <c r="F70" s="1130">
        <f t="shared" ref="F70:F124" si="7">+G70+H70</f>
        <v>19583.41</v>
      </c>
      <c r="G70" s="1131">
        <f t="shared" ref="G70:H124" si="8">+L70+R70+X70</f>
        <v>19583.41</v>
      </c>
      <c r="H70" s="1130">
        <f t="shared" si="8"/>
        <v>0</v>
      </c>
      <c r="I70" s="1230"/>
      <c r="J70" s="1231"/>
      <c r="K70" s="1231"/>
      <c r="L70" s="1231"/>
      <c r="M70" s="1231"/>
      <c r="N70" s="1232"/>
      <c r="O70" s="1230"/>
      <c r="P70" s="1231"/>
      <c r="Q70" s="1231"/>
      <c r="R70" s="1231"/>
      <c r="S70" s="1231"/>
      <c r="T70" s="1232"/>
      <c r="U70" s="1227">
        <v>19583.41</v>
      </c>
      <c r="V70" s="1228">
        <v>0</v>
      </c>
      <c r="W70" s="1228">
        <v>0</v>
      </c>
      <c r="X70" s="1228">
        <v>19583.41</v>
      </c>
      <c r="Y70" s="1228">
        <v>0</v>
      </c>
      <c r="Z70" s="1229">
        <v>39166.82</v>
      </c>
    </row>
    <row r="71" spans="1:26" ht="15" customHeight="1">
      <c r="A71" s="1092" t="s">
        <v>173</v>
      </c>
      <c r="B71" s="1127" t="s">
        <v>174</v>
      </c>
      <c r="C71" s="1476" t="s">
        <v>274</v>
      </c>
      <c r="D71" s="1128">
        <f t="shared" si="5"/>
        <v>20268.73</v>
      </c>
      <c r="E71" s="1129">
        <f t="shared" si="6"/>
        <v>0</v>
      </c>
      <c r="F71" s="1130">
        <f t="shared" si="7"/>
        <v>20268.73</v>
      </c>
      <c r="G71" s="1131">
        <f t="shared" si="8"/>
        <v>20268.73</v>
      </c>
      <c r="H71" s="1130">
        <f t="shared" si="8"/>
        <v>0</v>
      </c>
      <c r="I71" s="1230"/>
      <c r="J71" s="1231"/>
      <c r="K71" s="1231"/>
      <c r="L71" s="1231"/>
      <c r="M71" s="1231"/>
      <c r="N71" s="1232"/>
      <c r="O71" s="1230"/>
      <c r="P71" s="1231"/>
      <c r="Q71" s="1231"/>
      <c r="R71" s="1231"/>
      <c r="S71" s="1231"/>
      <c r="T71" s="1232"/>
      <c r="U71" s="1227">
        <v>20268.73</v>
      </c>
      <c r="V71" s="1228">
        <v>0</v>
      </c>
      <c r="W71" s="1228">
        <v>0</v>
      </c>
      <c r="X71" s="1228">
        <v>20268.73</v>
      </c>
      <c r="Y71" s="1228">
        <v>0</v>
      </c>
      <c r="Z71" s="1229">
        <v>40537.46</v>
      </c>
    </row>
    <row r="72" spans="1:26" ht="15" customHeight="1">
      <c r="A72" s="1092" t="s">
        <v>175</v>
      </c>
      <c r="B72" s="1127" t="s">
        <v>176</v>
      </c>
      <c r="C72" s="1476" t="s">
        <v>275</v>
      </c>
      <c r="D72" s="1128">
        <f t="shared" si="5"/>
        <v>22326.73</v>
      </c>
      <c r="E72" s="1129">
        <f t="shared" si="6"/>
        <v>0</v>
      </c>
      <c r="F72" s="1130">
        <f t="shared" si="7"/>
        <v>22326.720000000001</v>
      </c>
      <c r="G72" s="1131">
        <f t="shared" si="8"/>
        <v>22326.73</v>
      </c>
      <c r="H72" s="1130">
        <f t="shared" si="8"/>
        <v>-0.01</v>
      </c>
      <c r="I72" s="1227">
        <v>0</v>
      </c>
      <c r="J72" s="1228">
        <v>0</v>
      </c>
      <c r="K72" s="1228">
        <v>0</v>
      </c>
      <c r="L72" s="1228">
        <v>0</v>
      </c>
      <c r="M72" s="1228">
        <v>-0.01</v>
      </c>
      <c r="N72" s="1229">
        <v>-0.01</v>
      </c>
      <c r="O72" s="1230"/>
      <c r="P72" s="1231"/>
      <c r="Q72" s="1231"/>
      <c r="R72" s="1231"/>
      <c r="S72" s="1231"/>
      <c r="T72" s="1232"/>
      <c r="U72" s="1227">
        <v>22326.73</v>
      </c>
      <c r="V72" s="1228">
        <v>0</v>
      </c>
      <c r="W72" s="1228">
        <v>0</v>
      </c>
      <c r="X72" s="1228">
        <v>22326.73</v>
      </c>
      <c r="Y72" s="1228">
        <v>0</v>
      </c>
      <c r="Z72" s="1229">
        <v>44653.46</v>
      </c>
    </row>
    <row r="73" spans="1:26" ht="15" customHeight="1">
      <c r="A73" s="1092" t="s">
        <v>179</v>
      </c>
      <c r="B73" s="1127" t="s">
        <v>180</v>
      </c>
      <c r="C73" s="1476" t="s">
        <v>272</v>
      </c>
      <c r="D73" s="1128">
        <f t="shared" si="5"/>
        <v>63020.14</v>
      </c>
      <c r="E73" s="1129">
        <f t="shared" si="6"/>
        <v>0</v>
      </c>
      <c r="F73" s="1130">
        <f t="shared" si="7"/>
        <v>63020.14</v>
      </c>
      <c r="G73" s="1131">
        <f t="shared" si="8"/>
        <v>63020.14</v>
      </c>
      <c r="H73" s="1130">
        <f t="shared" si="8"/>
        <v>0</v>
      </c>
      <c r="I73" s="1230"/>
      <c r="J73" s="1231"/>
      <c r="K73" s="1231"/>
      <c r="L73" s="1231"/>
      <c r="M73" s="1231"/>
      <c r="N73" s="1232"/>
      <c r="O73" s="1230"/>
      <c r="P73" s="1231"/>
      <c r="Q73" s="1231"/>
      <c r="R73" s="1231"/>
      <c r="S73" s="1231"/>
      <c r="T73" s="1232"/>
      <c r="U73" s="1227">
        <v>63020.14</v>
      </c>
      <c r="V73" s="1228">
        <v>0</v>
      </c>
      <c r="W73" s="1228">
        <v>0</v>
      </c>
      <c r="X73" s="1228">
        <v>63020.14</v>
      </c>
      <c r="Y73" s="1228">
        <v>0</v>
      </c>
      <c r="Z73" s="1229">
        <v>126040.28</v>
      </c>
    </row>
    <row r="74" spans="1:26" ht="15" customHeight="1">
      <c r="A74" s="1092" t="s">
        <v>183</v>
      </c>
      <c r="B74" s="1127" t="s">
        <v>184</v>
      </c>
      <c r="C74" s="1476" t="s">
        <v>273</v>
      </c>
      <c r="D74" s="1128">
        <f t="shared" si="5"/>
        <v>42057.62</v>
      </c>
      <c r="E74" s="1129">
        <f t="shared" si="6"/>
        <v>0</v>
      </c>
      <c r="F74" s="1130">
        <f t="shared" si="7"/>
        <v>42057.62</v>
      </c>
      <c r="G74" s="1131">
        <f t="shared" si="8"/>
        <v>42057.62</v>
      </c>
      <c r="H74" s="1130">
        <f t="shared" si="8"/>
        <v>0</v>
      </c>
      <c r="I74" s="1230"/>
      <c r="J74" s="1231"/>
      <c r="K74" s="1231"/>
      <c r="L74" s="1231"/>
      <c r="M74" s="1231"/>
      <c r="N74" s="1232"/>
      <c r="O74" s="1230"/>
      <c r="P74" s="1231"/>
      <c r="Q74" s="1231"/>
      <c r="R74" s="1231"/>
      <c r="S74" s="1231"/>
      <c r="T74" s="1232"/>
      <c r="U74" s="1227">
        <v>42057.62</v>
      </c>
      <c r="V74" s="1228">
        <v>0</v>
      </c>
      <c r="W74" s="1228">
        <v>0</v>
      </c>
      <c r="X74" s="1228">
        <v>42057.62</v>
      </c>
      <c r="Y74" s="1228">
        <v>0</v>
      </c>
      <c r="Z74" s="1229">
        <v>84115.24</v>
      </c>
    </row>
    <row r="75" spans="1:26" ht="15" customHeight="1">
      <c r="A75" s="1092" t="s">
        <v>185</v>
      </c>
      <c r="B75" s="1127" t="s">
        <v>186</v>
      </c>
      <c r="C75" s="1476" t="s">
        <v>273</v>
      </c>
      <c r="D75" s="1128">
        <f t="shared" si="5"/>
        <v>54214.67</v>
      </c>
      <c r="E75" s="1129">
        <f t="shared" si="6"/>
        <v>0</v>
      </c>
      <c r="F75" s="1130">
        <f t="shared" si="7"/>
        <v>54214.67</v>
      </c>
      <c r="G75" s="1131">
        <f t="shared" si="8"/>
        <v>54214.67</v>
      </c>
      <c r="H75" s="1130">
        <f t="shared" si="8"/>
        <v>0</v>
      </c>
      <c r="I75" s="1230"/>
      <c r="J75" s="1231"/>
      <c r="K75" s="1231"/>
      <c r="L75" s="1231"/>
      <c r="M75" s="1231"/>
      <c r="N75" s="1232"/>
      <c r="O75" s="1230"/>
      <c r="P75" s="1231"/>
      <c r="Q75" s="1231"/>
      <c r="R75" s="1231"/>
      <c r="S75" s="1231"/>
      <c r="T75" s="1232"/>
      <c r="U75" s="1227">
        <v>54214.67</v>
      </c>
      <c r="V75" s="1228">
        <v>0</v>
      </c>
      <c r="W75" s="1228">
        <v>0</v>
      </c>
      <c r="X75" s="1228">
        <v>54214.67</v>
      </c>
      <c r="Y75" s="1228">
        <v>0</v>
      </c>
      <c r="Z75" s="1229">
        <v>108429.34</v>
      </c>
    </row>
    <row r="76" spans="1:26" ht="15" customHeight="1">
      <c r="A76" s="1092" t="s">
        <v>187</v>
      </c>
      <c r="B76" s="1127" t="s">
        <v>188</v>
      </c>
      <c r="C76" s="1476" t="s">
        <v>271</v>
      </c>
      <c r="D76" s="1128">
        <f t="shared" si="5"/>
        <v>37537.269999999997</v>
      </c>
      <c r="E76" s="1129">
        <f t="shared" si="6"/>
        <v>19914.04</v>
      </c>
      <c r="F76" s="1130">
        <f t="shared" si="7"/>
        <v>37537.269999999997</v>
      </c>
      <c r="G76" s="1131">
        <f t="shared" si="8"/>
        <v>37537.269999999997</v>
      </c>
      <c r="H76" s="1130">
        <f t="shared" si="8"/>
        <v>0</v>
      </c>
      <c r="I76" s="1230"/>
      <c r="J76" s="1231"/>
      <c r="K76" s="1231"/>
      <c r="L76" s="1231"/>
      <c r="M76" s="1231"/>
      <c r="N76" s="1232"/>
      <c r="O76" s="1227">
        <v>0</v>
      </c>
      <c r="P76" s="1228">
        <v>0</v>
      </c>
      <c r="Q76" s="1228">
        <v>19914.04</v>
      </c>
      <c r="R76" s="1228">
        <v>0</v>
      </c>
      <c r="S76" s="1228">
        <v>0</v>
      </c>
      <c r="T76" s="1229">
        <v>19914.04</v>
      </c>
      <c r="U76" s="1227">
        <v>37537.269999999997</v>
      </c>
      <c r="V76" s="1228">
        <v>0</v>
      </c>
      <c r="W76" s="1228">
        <v>0</v>
      </c>
      <c r="X76" s="1228">
        <v>37537.269999999997</v>
      </c>
      <c r="Y76" s="1228">
        <v>0</v>
      </c>
      <c r="Z76" s="1229">
        <v>75074.539999999994</v>
      </c>
    </row>
    <row r="77" spans="1:26" ht="15" customHeight="1">
      <c r="A77" s="1092" t="s">
        <v>189</v>
      </c>
      <c r="B77" s="1127" t="s">
        <v>190</v>
      </c>
      <c r="C77" s="1476" t="s">
        <v>274</v>
      </c>
      <c r="D77" s="1128">
        <f t="shared" si="5"/>
        <v>970837.09</v>
      </c>
      <c r="E77" s="1129">
        <f t="shared" si="6"/>
        <v>0</v>
      </c>
      <c r="F77" s="1130">
        <f t="shared" si="7"/>
        <v>970837.09</v>
      </c>
      <c r="G77" s="1131">
        <f t="shared" si="8"/>
        <v>970837.09</v>
      </c>
      <c r="H77" s="1130">
        <f t="shared" si="8"/>
        <v>0</v>
      </c>
      <c r="I77" s="1230"/>
      <c r="J77" s="1231"/>
      <c r="K77" s="1231"/>
      <c r="L77" s="1231"/>
      <c r="M77" s="1231"/>
      <c r="N77" s="1232"/>
      <c r="O77" s="1230"/>
      <c r="P77" s="1231"/>
      <c r="Q77" s="1231"/>
      <c r="R77" s="1231"/>
      <c r="S77" s="1231"/>
      <c r="T77" s="1232"/>
      <c r="U77" s="1227">
        <v>970837.09</v>
      </c>
      <c r="V77" s="1228">
        <v>0</v>
      </c>
      <c r="W77" s="1228">
        <v>0</v>
      </c>
      <c r="X77" s="1228">
        <v>970837.09</v>
      </c>
      <c r="Y77" s="1228">
        <v>0</v>
      </c>
      <c r="Z77" s="1229">
        <v>1941674.18</v>
      </c>
    </row>
    <row r="78" spans="1:26" ht="15" customHeight="1">
      <c r="A78" s="1092" t="s">
        <v>191</v>
      </c>
      <c r="B78" s="1127" t="s">
        <v>192</v>
      </c>
      <c r="C78" s="1476" t="s">
        <v>275</v>
      </c>
      <c r="D78" s="1128">
        <f t="shared" si="5"/>
        <v>64647.82</v>
      </c>
      <c r="E78" s="1129">
        <f t="shared" si="6"/>
        <v>0</v>
      </c>
      <c r="F78" s="1130">
        <f t="shared" si="7"/>
        <v>64647.82</v>
      </c>
      <c r="G78" s="1131">
        <f t="shared" si="8"/>
        <v>64647.82</v>
      </c>
      <c r="H78" s="1130">
        <f t="shared" si="8"/>
        <v>0</v>
      </c>
      <c r="I78" s="1230"/>
      <c r="J78" s="1231"/>
      <c r="K78" s="1231"/>
      <c r="L78" s="1231"/>
      <c r="M78" s="1231"/>
      <c r="N78" s="1232"/>
      <c r="O78" s="1230"/>
      <c r="P78" s="1231"/>
      <c r="Q78" s="1231"/>
      <c r="R78" s="1231"/>
      <c r="S78" s="1231"/>
      <c r="T78" s="1232"/>
      <c r="U78" s="1227">
        <v>64647.82</v>
      </c>
      <c r="V78" s="1228">
        <v>0</v>
      </c>
      <c r="W78" s="1228">
        <v>0</v>
      </c>
      <c r="X78" s="1228">
        <v>64647.82</v>
      </c>
      <c r="Y78" s="1228">
        <v>0</v>
      </c>
      <c r="Z78" s="1229">
        <v>129295.64</v>
      </c>
    </row>
    <row r="79" spans="1:26" ht="15" customHeight="1">
      <c r="A79" s="1092" t="s">
        <v>195</v>
      </c>
      <c r="B79" s="1127" t="s">
        <v>196</v>
      </c>
      <c r="C79" s="1476" t="s">
        <v>274</v>
      </c>
      <c r="D79" s="1128">
        <f t="shared" si="5"/>
        <v>26476.080000000002</v>
      </c>
      <c r="E79" s="1129">
        <f t="shared" si="6"/>
        <v>0</v>
      </c>
      <c r="F79" s="1130">
        <f t="shared" si="7"/>
        <v>26476.06</v>
      </c>
      <c r="G79" s="1131">
        <f t="shared" si="8"/>
        <v>26476.080000000002</v>
      </c>
      <c r="H79" s="1130">
        <f t="shared" si="8"/>
        <v>-0.02</v>
      </c>
      <c r="I79" s="1227">
        <v>0</v>
      </c>
      <c r="J79" s="1228">
        <v>0</v>
      </c>
      <c r="K79" s="1228">
        <v>0</v>
      </c>
      <c r="L79" s="1228">
        <v>0</v>
      </c>
      <c r="M79" s="1228">
        <v>-0.02</v>
      </c>
      <c r="N79" s="1229">
        <v>-0.02</v>
      </c>
      <c r="O79" s="1230"/>
      <c r="P79" s="1231"/>
      <c r="Q79" s="1231"/>
      <c r="R79" s="1231"/>
      <c r="S79" s="1231"/>
      <c r="T79" s="1232"/>
      <c r="U79" s="1227">
        <v>26476.080000000002</v>
      </c>
      <c r="V79" s="1228">
        <v>0</v>
      </c>
      <c r="W79" s="1228">
        <v>0</v>
      </c>
      <c r="X79" s="1228">
        <v>26476.080000000002</v>
      </c>
      <c r="Y79" s="1228">
        <v>0</v>
      </c>
      <c r="Z79" s="1229">
        <v>52952.160000000003</v>
      </c>
    </row>
    <row r="80" spans="1:26" ht="15" customHeight="1">
      <c r="A80" s="1092" t="s">
        <v>199</v>
      </c>
      <c r="B80" s="1127" t="s">
        <v>200</v>
      </c>
      <c r="C80" s="1476" t="s">
        <v>273</v>
      </c>
      <c r="D80" s="1128">
        <f t="shared" si="5"/>
        <v>13479.84</v>
      </c>
      <c r="E80" s="1129">
        <f t="shared" si="6"/>
        <v>0</v>
      </c>
      <c r="F80" s="1130">
        <f t="shared" si="7"/>
        <v>13479.84</v>
      </c>
      <c r="G80" s="1131">
        <f t="shared" si="8"/>
        <v>13479.84</v>
      </c>
      <c r="H80" s="1130">
        <f t="shared" si="8"/>
        <v>0</v>
      </c>
      <c r="I80" s="1230"/>
      <c r="J80" s="1231"/>
      <c r="K80" s="1231"/>
      <c r="L80" s="1231"/>
      <c r="M80" s="1231"/>
      <c r="N80" s="1232"/>
      <c r="O80" s="1230"/>
      <c r="P80" s="1231"/>
      <c r="Q80" s="1231"/>
      <c r="R80" s="1231"/>
      <c r="S80" s="1231"/>
      <c r="T80" s="1232"/>
      <c r="U80" s="1227">
        <v>13479.84</v>
      </c>
      <c r="V80" s="1228">
        <v>0</v>
      </c>
      <c r="W80" s="1228">
        <v>0</v>
      </c>
      <c r="X80" s="1228">
        <v>13479.84</v>
      </c>
      <c r="Y80" s="1228">
        <v>0</v>
      </c>
      <c r="Z80" s="1229">
        <v>26959.68</v>
      </c>
    </row>
    <row r="81" spans="1:26" ht="15" customHeight="1">
      <c r="A81" s="1092" t="s">
        <v>203</v>
      </c>
      <c r="B81" s="1127" t="s">
        <v>204</v>
      </c>
      <c r="C81" s="1476" t="s">
        <v>272</v>
      </c>
      <c r="D81" s="1128">
        <f t="shared" si="5"/>
        <v>149450.17000000001</v>
      </c>
      <c r="E81" s="1129">
        <f t="shared" si="6"/>
        <v>0</v>
      </c>
      <c r="F81" s="1130">
        <f t="shared" si="7"/>
        <v>149450.17000000001</v>
      </c>
      <c r="G81" s="1131">
        <f t="shared" si="8"/>
        <v>149450.17000000001</v>
      </c>
      <c r="H81" s="1130">
        <f t="shared" si="8"/>
        <v>0</v>
      </c>
      <c r="I81" s="1230"/>
      <c r="J81" s="1231"/>
      <c r="K81" s="1231"/>
      <c r="L81" s="1231"/>
      <c r="M81" s="1231"/>
      <c r="N81" s="1232"/>
      <c r="O81" s="1230"/>
      <c r="P81" s="1231"/>
      <c r="Q81" s="1231"/>
      <c r="R81" s="1231"/>
      <c r="S81" s="1231"/>
      <c r="T81" s="1232"/>
      <c r="U81" s="1227">
        <v>149450.17000000001</v>
      </c>
      <c r="V81" s="1228">
        <v>0</v>
      </c>
      <c r="W81" s="1228">
        <v>0</v>
      </c>
      <c r="X81" s="1228">
        <v>149450.17000000001</v>
      </c>
      <c r="Y81" s="1228">
        <v>0</v>
      </c>
      <c r="Z81" s="1229">
        <v>298900.34000000003</v>
      </c>
    </row>
    <row r="82" spans="1:26" ht="15" customHeight="1">
      <c r="A82" s="1092" t="s">
        <v>205</v>
      </c>
      <c r="B82" s="1127" t="s">
        <v>206</v>
      </c>
      <c r="C82" s="1476" t="s">
        <v>272</v>
      </c>
      <c r="D82" s="1128">
        <f t="shared" si="5"/>
        <v>20673.47</v>
      </c>
      <c r="E82" s="1129">
        <f t="shared" si="6"/>
        <v>0</v>
      </c>
      <c r="F82" s="1130">
        <f t="shared" si="7"/>
        <v>51499.78</v>
      </c>
      <c r="G82" s="1131">
        <f t="shared" si="8"/>
        <v>20673.47</v>
      </c>
      <c r="H82" s="1130">
        <f t="shared" si="8"/>
        <v>30826.31</v>
      </c>
      <c r="I82" s="1227">
        <v>0</v>
      </c>
      <c r="J82" s="1228">
        <v>0</v>
      </c>
      <c r="K82" s="1228">
        <v>0</v>
      </c>
      <c r="L82" s="1228">
        <v>0</v>
      </c>
      <c r="M82" s="1228">
        <v>30826.31</v>
      </c>
      <c r="N82" s="1229">
        <v>30826.31</v>
      </c>
      <c r="O82" s="1230"/>
      <c r="P82" s="1231"/>
      <c r="Q82" s="1231"/>
      <c r="R82" s="1231"/>
      <c r="S82" s="1231"/>
      <c r="T82" s="1232"/>
      <c r="U82" s="1227">
        <v>20673.47</v>
      </c>
      <c r="V82" s="1228">
        <v>0</v>
      </c>
      <c r="W82" s="1228">
        <v>0</v>
      </c>
      <c r="X82" s="1228">
        <v>20673.47</v>
      </c>
      <c r="Y82" s="1228">
        <v>0</v>
      </c>
      <c r="Z82" s="1229">
        <v>41346.94</v>
      </c>
    </row>
    <row r="83" spans="1:26" ht="15" customHeight="1">
      <c r="A83" s="1092" t="s">
        <v>207</v>
      </c>
      <c r="B83" s="1127" t="s">
        <v>208</v>
      </c>
      <c r="C83" s="1476" t="s">
        <v>274</v>
      </c>
      <c r="D83" s="1128">
        <f t="shared" si="5"/>
        <v>155737.48000000001</v>
      </c>
      <c r="E83" s="1129">
        <f t="shared" si="6"/>
        <v>0</v>
      </c>
      <c r="F83" s="1130">
        <f t="shared" si="7"/>
        <v>155737.48000000001</v>
      </c>
      <c r="G83" s="1131">
        <f t="shared" si="8"/>
        <v>155737.48000000001</v>
      </c>
      <c r="H83" s="1130">
        <f t="shared" si="8"/>
        <v>0</v>
      </c>
      <c r="I83" s="1230"/>
      <c r="J83" s="1231"/>
      <c r="K83" s="1231"/>
      <c r="L83" s="1231"/>
      <c r="M83" s="1231"/>
      <c r="N83" s="1232"/>
      <c r="O83" s="1230"/>
      <c r="P83" s="1231"/>
      <c r="Q83" s="1231"/>
      <c r="R83" s="1231"/>
      <c r="S83" s="1231"/>
      <c r="T83" s="1232"/>
      <c r="U83" s="1227">
        <v>155737.48000000001</v>
      </c>
      <c r="V83" s="1228">
        <v>0</v>
      </c>
      <c r="W83" s="1228">
        <v>0</v>
      </c>
      <c r="X83" s="1228">
        <v>155737.48000000001</v>
      </c>
      <c r="Y83" s="1228">
        <v>0</v>
      </c>
      <c r="Z83" s="1229">
        <v>311474.96000000002</v>
      </c>
    </row>
    <row r="84" spans="1:26" ht="15" customHeight="1">
      <c r="A84" s="1092" t="s">
        <v>209</v>
      </c>
      <c r="B84" s="1127" t="s">
        <v>210</v>
      </c>
      <c r="C84" s="1476" t="s">
        <v>275</v>
      </c>
      <c r="D84" s="1128">
        <f t="shared" si="5"/>
        <v>51185.36</v>
      </c>
      <c r="E84" s="1129">
        <f t="shared" si="6"/>
        <v>0</v>
      </c>
      <c r="F84" s="1130">
        <f t="shared" si="7"/>
        <v>51185.36</v>
      </c>
      <c r="G84" s="1131">
        <f t="shared" si="8"/>
        <v>51185.36</v>
      </c>
      <c r="H84" s="1130">
        <f t="shared" si="8"/>
        <v>0</v>
      </c>
      <c r="I84" s="1230"/>
      <c r="J84" s="1231"/>
      <c r="K84" s="1231"/>
      <c r="L84" s="1231"/>
      <c r="M84" s="1231"/>
      <c r="N84" s="1232"/>
      <c r="O84" s="1230"/>
      <c r="P84" s="1231"/>
      <c r="Q84" s="1231"/>
      <c r="R84" s="1231"/>
      <c r="S84" s="1231"/>
      <c r="T84" s="1232"/>
      <c r="U84" s="1227">
        <v>51185.36</v>
      </c>
      <c r="V84" s="1228">
        <v>0</v>
      </c>
      <c r="W84" s="1228">
        <v>0</v>
      </c>
      <c r="X84" s="1228">
        <v>51185.36</v>
      </c>
      <c r="Y84" s="1228">
        <v>0</v>
      </c>
      <c r="Z84" s="1229">
        <v>102370.72</v>
      </c>
    </row>
    <row r="85" spans="1:26" ht="15" customHeight="1">
      <c r="A85" s="1092" t="s">
        <v>211</v>
      </c>
      <c r="B85" s="1127" t="s">
        <v>212</v>
      </c>
      <c r="C85" s="1476" t="s">
        <v>275</v>
      </c>
      <c r="D85" s="1128">
        <f t="shared" si="5"/>
        <v>17448.78</v>
      </c>
      <c r="E85" s="1129">
        <f t="shared" si="6"/>
        <v>0</v>
      </c>
      <c r="F85" s="1130">
        <f t="shared" si="7"/>
        <v>17448.78</v>
      </c>
      <c r="G85" s="1131">
        <f t="shared" si="8"/>
        <v>17448.78</v>
      </c>
      <c r="H85" s="1130">
        <f t="shared" si="8"/>
        <v>0</v>
      </c>
      <c r="I85" s="1230"/>
      <c r="J85" s="1231"/>
      <c r="K85" s="1231"/>
      <c r="L85" s="1231"/>
      <c r="M85" s="1231"/>
      <c r="N85" s="1232"/>
      <c r="O85" s="1230"/>
      <c r="P85" s="1231"/>
      <c r="Q85" s="1231"/>
      <c r="R85" s="1231"/>
      <c r="S85" s="1231"/>
      <c r="T85" s="1232"/>
      <c r="U85" s="1227">
        <v>17448.78</v>
      </c>
      <c r="V85" s="1228">
        <v>0</v>
      </c>
      <c r="W85" s="1228">
        <v>0</v>
      </c>
      <c r="X85" s="1228">
        <v>17448.78</v>
      </c>
      <c r="Y85" s="1228">
        <v>0</v>
      </c>
      <c r="Z85" s="1229">
        <v>34897.56</v>
      </c>
    </row>
    <row r="86" spans="1:26" ht="15" customHeight="1">
      <c r="A86" s="1092" t="s">
        <v>213</v>
      </c>
      <c r="B86" s="1127" t="s">
        <v>214</v>
      </c>
      <c r="C86" s="1476" t="s">
        <v>274</v>
      </c>
      <c r="D86" s="1128">
        <f t="shared" si="5"/>
        <v>48798.25</v>
      </c>
      <c r="E86" s="1129">
        <f t="shared" si="6"/>
        <v>0</v>
      </c>
      <c r="F86" s="1130">
        <f t="shared" si="7"/>
        <v>48798.25</v>
      </c>
      <c r="G86" s="1131">
        <f t="shared" si="8"/>
        <v>48798.25</v>
      </c>
      <c r="H86" s="1130">
        <f t="shared" si="8"/>
        <v>0</v>
      </c>
      <c r="I86" s="1230"/>
      <c r="J86" s="1231"/>
      <c r="K86" s="1231"/>
      <c r="L86" s="1231"/>
      <c r="M86" s="1231"/>
      <c r="N86" s="1232"/>
      <c r="O86" s="1230"/>
      <c r="P86" s="1231"/>
      <c r="Q86" s="1231"/>
      <c r="R86" s="1231"/>
      <c r="S86" s="1231"/>
      <c r="T86" s="1232"/>
      <c r="U86" s="1227">
        <v>48798.25</v>
      </c>
      <c r="V86" s="1228">
        <v>0</v>
      </c>
      <c r="W86" s="1228">
        <v>0</v>
      </c>
      <c r="X86" s="1228">
        <v>48798.25</v>
      </c>
      <c r="Y86" s="1228">
        <v>0</v>
      </c>
      <c r="Z86" s="1229">
        <v>97596.5</v>
      </c>
    </row>
    <row r="87" spans="1:26" ht="15" customHeight="1">
      <c r="A87" s="1092" t="s">
        <v>215</v>
      </c>
      <c r="B87" s="1127" t="s">
        <v>216</v>
      </c>
      <c r="C87" s="1476" t="s">
        <v>275</v>
      </c>
      <c r="D87" s="1128">
        <f t="shared" si="5"/>
        <v>69892.62</v>
      </c>
      <c r="E87" s="1129">
        <f t="shared" si="6"/>
        <v>0</v>
      </c>
      <c r="F87" s="1130">
        <f t="shared" si="7"/>
        <v>69892.62</v>
      </c>
      <c r="G87" s="1131">
        <f t="shared" si="8"/>
        <v>69892.62</v>
      </c>
      <c r="H87" s="1130">
        <f t="shared" si="8"/>
        <v>0</v>
      </c>
      <c r="I87" s="1230"/>
      <c r="J87" s="1231"/>
      <c r="K87" s="1231"/>
      <c r="L87" s="1231"/>
      <c r="M87" s="1231"/>
      <c r="N87" s="1232"/>
      <c r="O87" s="1230"/>
      <c r="P87" s="1231"/>
      <c r="Q87" s="1231"/>
      <c r="R87" s="1231"/>
      <c r="S87" s="1231"/>
      <c r="T87" s="1232"/>
      <c r="U87" s="1227">
        <v>69892.62</v>
      </c>
      <c r="V87" s="1228">
        <v>0</v>
      </c>
      <c r="W87" s="1228">
        <v>0</v>
      </c>
      <c r="X87" s="1228">
        <v>69892.62</v>
      </c>
      <c r="Y87" s="1228">
        <v>0</v>
      </c>
      <c r="Z87" s="1229">
        <v>139785.24</v>
      </c>
    </row>
    <row r="88" spans="1:26" ht="15" customHeight="1">
      <c r="A88" s="1092" t="s">
        <v>217</v>
      </c>
      <c r="B88" s="1127" t="s">
        <v>218</v>
      </c>
      <c r="C88" s="1476" t="s">
        <v>271</v>
      </c>
      <c r="D88" s="1128">
        <f t="shared" si="5"/>
        <v>49107</v>
      </c>
      <c r="E88" s="1129">
        <f t="shared" si="6"/>
        <v>0</v>
      </c>
      <c r="F88" s="1130">
        <f t="shared" si="7"/>
        <v>49107</v>
      </c>
      <c r="G88" s="1131">
        <f t="shared" si="8"/>
        <v>49107</v>
      </c>
      <c r="H88" s="1130">
        <f t="shared" si="8"/>
        <v>0</v>
      </c>
      <c r="I88" s="1230"/>
      <c r="J88" s="1231"/>
      <c r="K88" s="1231"/>
      <c r="L88" s="1231"/>
      <c r="M88" s="1231"/>
      <c r="N88" s="1232"/>
      <c r="O88" s="1230"/>
      <c r="P88" s="1231"/>
      <c r="Q88" s="1231"/>
      <c r="R88" s="1231"/>
      <c r="S88" s="1231"/>
      <c r="T88" s="1232"/>
      <c r="U88" s="1227">
        <v>49107</v>
      </c>
      <c r="V88" s="1228">
        <v>0</v>
      </c>
      <c r="W88" s="1228">
        <v>0</v>
      </c>
      <c r="X88" s="1228">
        <v>49107</v>
      </c>
      <c r="Y88" s="1228">
        <v>0</v>
      </c>
      <c r="Z88" s="1229">
        <v>98214</v>
      </c>
    </row>
    <row r="89" spans="1:26" ht="15" customHeight="1">
      <c r="A89" s="1092" t="s">
        <v>219</v>
      </c>
      <c r="B89" s="1127" t="s">
        <v>220</v>
      </c>
      <c r="C89" s="1476" t="s">
        <v>274</v>
      </c>
      <c r="D89" s="1128">
        <f t="shared" si="5"/>
        <v>159246.15</v>
      </c>
      <c r="E89" s="1129">
        <f t="shared" si="6"/>
        <v>0</v>
      </c>
      <c r="F89" s="1130">
        <f t="shared" si="7"/>
        <v>159246.15</v>
      </c>
      <c r="G89" s="1131">
        <f t="shared" si="8"/>
        <v>159246.15</v>
      </c>
      <c r="H89" s="1130">
        <f t="shared" si="8"/>
        <v>0</v>
      </c>
      <c r="I89" s="1230"/>
      <c r="J89" s="1231"/>
      <c r="K89" s="1231"/>
      <c r="L89" s="1231"/>
      <c r="M89" s="1231"/>
      <c r="N89" s="1232"/>
      <c r="O89" s="1230"/>
      <c r="P89" s="1231"/>
      <c r="Q89" s="1231"/>
      <c r="R89" s="1231"/>
      <c r="S89" s="1231"/>
      <c r="T89" s="1232"/>
      <c r="U89" s="1227">
        <v>159246.15</v>
      </c>
      <c r="V89" s="1228">
        <v>0</v>
      </c>
      <c r="W89" s="1228">
        <v>0</v>
      </c>
      <c r="X89" s="1228">
        <v>159246.15</v>
      </c>
      <c r="Y89" s="1228">
        <v>0</v>
      </c>
      <c r="Z89" s="1229">
        <v>318492.3</v>
      </c>
    </row>
    <row r="90" spans="1:26" ht="15" customHeight="1">
      <c r="A90" s="1092" t="s">
        <v>221</v>
      </c>
      <c r="B90" s="1127" t="s">
        <v>222</v>
      </c>
      <c r="C90" s="1476" t="s">
        <v>274</v>
      </c>
      <c r="D90" s="1128">
        <f t="shared" si="5"/>
        <v>178550.14</v>
      </c>
      <c r="E90" s="1129">
        <f t="shared" si="6"/>
        <v>0</v>
      </c>
      <c r="F90" s="1130">
        <f t="shared" si="7"/>
        <v>178550.14</v>
      </c>
      <c r="G90" s="1131">
        <f t="shared" si="8"/>
        <v>178550.14</v>
      </c>
      <c r="H90" s="1130">
        <f t="shared" si="8"/>
        <v>0</v>
      </c>
      <c r="I90" s="1230"/>
      <c r="J90" s="1231"/>
      <c r="K90" s="1231"/>
      <c r="L90" s="1231"/>
      <c r="M90" s="1231"/>
      <c r="N90" s="1232"/>
      <c r="O90" s="1230"/>
      <c r="P90" s="1231"/>
      <c r="Q90" s="1231"/>
      <c r="R90" s="1231"/>
      <c r="S90" s="1231"/>
      <c r="T90" s="1232"/>
      <c r="U90" s="1227">
        <v>178550.14</v>
      </c>
      <c r="V90" s="1228">
        <v>0</v>
      </c>
      <c r="W90" s="1228">
        <v>0</v>
      </c>
      <c r="X90" s="1228">
        <v>178550.14</v>
      </c>
      <c r="Y90" s="1228">
        <v>0</v>
      </c>
      <c r="Z90" s="1229">
        <v>357100.28</v>
      </c>
    </row>
    <row r="91" spans="1:26" ht="15" customHeight="1">
      <c r="A91" s="1092" t="s">
        <v>225</v>
      </c>
      <c r="B91" s="1127" t="s">
        <v>226</v>
      </c>
      <c r="C91" s="1476" t="s">
        <v>271</v>
      </c>
      <c r="D91" s="1128">
        <f t="shared" si="5"/>
        <v>43594.01</v>
      </c>
      <c r="E91" s="1129">
        <f t="shared" si="6"/>
        <v>0</v>
      </c>
      <c r="F91" s="1130">
        <f t="shared" si="7"/>
        <v>43594.01</v>
      </c>
      <c r="G91" s="1131">
        <f t="shared" si="8"/>
        <v>43594.01</v>
      </c>
      <c r="H91" s="1130">
        <f t="shared" si="8"/>
        <v>0</v>
      </c>
      <c r="I91" s="1230"/>
      <c r="J91" s="1231"/>
      <c r="K91" s="1231"/>
      <c r="L91" s="1231"/>
      <c r="M91" s="1231"/>
      <c r="N91" s="1232"/>
      <c r="O91" s="1230"/>
      <c r="P91" s="1231"/>
      <c r="Q91" s="1231"/>
      <c r="R91" s="1231"/>
      <c r="S91" s="1231"/>
      <c r="T91" s="1232"/>
      <c r="U91" s="1227">
        <v>43594.01</v>
      </c>
      <c r="V91" s="1228">
        <v>0</v>
      </c>
      <c r="W91" s="1228">
        <v>0</v>
      </c>
      <c r="X91" s="1228">
        <v>43594.01</v>
      </c>
      <c r="Y91" s="1228">
        <v>0</v>
      </c>
      <c r="Z91" s="1229">
        <v>87188.02</v>
      </c>
    </row>
    <row r="92" spans="1:26" ht="15" customHeight="1">
      <c r="A92" s="1092" t="s">
        <v>227</v>
      </c>
      <c r="B92" s="1127" t="s">
        <v>228</v>
      </c>
      <c r="C92" s="1476" t="s">
        <v>271</v>
      </c>
      <c r="D92" s="1128">
        <f t="shared" si="5"/>
        <v>71362.899999999994</v>
      </c>
      <c r="E92" s="1129">
        <f t="shared" si="6"/>
        <v>0</v>
      </c>
      <c r="F92" s="1130">
        <f t="shared" si="7"/>
        <v>71362.899999999994</v>
      </c>
      <c r="G92" s="1131">
        <f t="shared" si="8"/>
        <v>71362.899999999994</v>
      </c>
      <c r="H92" s="1130">
        <f t="shared" si="8"/>
        <v>0</v>
      </c>
      <c r="I92" s="1230"/>
      <c r="J92" s="1231"/>
      <c r="K92" s="1231"/>
      <c r="L92" s="1231"/>
      <c r="M92" s="1231"/>
      <c r="N92" s="1232"/>
      <c r="O92" s="1230"/>
      <c r="P92" s="1231"/>
      <c r="Q92" s="1231"/>
      <c r="R92" s="1231"/>
      <c r="S92" s="1231"/>
      <c r="T92" s="1232"/>
      <c r="U92" s="1227">
        <v>71362.899999999994</v>
      </c>
      <c r="V92" s="1228">
        <v>0</v>
      </c>
      <c r="W92" s="1228">
        <v>0</v>
      </c>
      <c r="X92" s="1228">
        <v>71362.899999999994</v>
      </c>
      <c r="Y92" s="1228">
        <v>0</v>
      </c>
      <c r="Z92" s="1229">
        <v>142725.79999999999</v>
      </c>
    </row>
    <row r="93" spans="1:26" ht="15" customHeight="1">
      <c r="A93" s="1092" t="s">
        <v>229</v>
      </c>
      <c r="B93" s="1127" t="s">
        <v>230</v>
      </c>
      <c r="C93" s="1476" t="s">
        <v>275</v>
      </c>
      <c r="D93" s="1128">
        <f t="shared" si="5"/>
        <v>129737.97</v>
      </c>
      <c r="E93" s="1129">
        <f t="shared" si="6"/>
        <v>0</v>
      </c>
      <c r="F93" s="1130">
        <f t="shared" si="7"/>
        <v>135924.93</v>
      </c>
      <c r="G93" s="1131">
        <f t="shared" si="8"/>
        <v>129737.97</v>
      </c>
      <c r="H93" s="1130">
        <f t="shared" si="8"/>
        <v>6186.96</v>
      </c>
      <c r="I93" s="1227">
        <v>0</v>
      </c>
      <c r="J93" s="1228">
        <v>0</v>
      </c>
      <c r="K93" s="1228">
        <v>0</v>
      </c>
      <c r="L93" s="1228">
        <v>0</v>
      </c>
      <c r="M93" s="1228">
        <v>6186.96</v>
      </c>
      <c r="N93" s="1229">
        <v>6186.96</v>
      </c>
      <c r="O93" s="1230"/>
      <c r="P93" s="1231"/>
      <c r="Q93" s="1231"/>
      <c r="R93" s="1231"/>
      <c r="S93" s="1231"/>
      <c r="T93" s="1232"/>
      <c r="U93" s="1227">
        <v>129737.97</v>
      </c>
      <c r="V93" s="1228">
        <v>0</v>
      </c>
      <c r="W93" s="1228">
        <v>0</v>
      </c>
      <c r="X93" s="1228">
        <v>129737.97</v>
      </c>
      <c r="Y93" s="1228">
        <v>0</v>
      </c>
      <c r="Z93" s="1229">
        <v>259475.94</v>
      </c>
    </row>
    <row r="94" spans="1:26" ht="15" customHeight="1">
      <c r="A94" s="1092" t="s">
        <v>233</v>
      </c>
      <c r="B94" s="1127" t="s">
        <v>234</v>
      </c>
      <c r="C94" s="1476" t="s">
        <v>274</v>
      </c>
      <c r="D94" s="1128">
        <f t="shared" si="5"/>
        <v>26862.19</v>
      </c>
      <c r="E94" s="1129">
        <f t="shared" si="6"/>
        <v>0</v>
      </c>
      <c r="F94" s="1130">
        <f t="shared" si="7"/>
        <v>26862.19</v>
      </c>
      <c r="G94" s="1131">
        <f t="shared" si="8"/>
        <v>26862.19</v>
      </c>
      <c r="H94" s="1130">
        <f t="shared" si="8"/>
        <v>0</v>
      </c>
      <c r="I94" s="1230"/>
      <c r="J94" s="1231"/>
      <c r="K94" s="1231"/>
      <c r="L94" s="1231"/>
      <c r="M94" s="1231"/>
      <c r="N94" s="1232"/>
      <c r="O94" s="1230"/>
      <c r="P94" s="1231"/>
      <c r="Q94" s="1231"/>
      <c r="R94" s="1231"/>
      <c r="S94" s="1231"/>
      <c r="T94" s="1232"/>
      <c r="U94" s="1227">
        <v>26862.19</v>
      </c>
      <c r="V94" s="1228">
        <v>0</v>
      </c>
      <c r="W94" s="1228">
        <v>0</v>
      </c>
      <c r="X94" s="1228">
        <v>26862.19</v>
      </c>
      <c r="Y94" s="1228">
        <v>0</v>
      </c>
      <c r="Z94" s="1229">
        <v>53724.38</v>
      </c>
    </row>
    <row r="95" spans="1:26" ht="15" customHeight="1">
      <c r="A95" s="1092" t="s">
        <v>235</v>
      </c>
      <c r="B95" s="1127" t="s">
        <v>236</v>
      </c>
      <c r="C95" s="1476" t="s">
        <v>275</v>
      </c>
      <c r="D95" s="1128">
        <f t="shared" si="5"/>
        <v>64924.35</v>
      </c>
      <c r="E95" s="1129">
        <f t="shared" si="6"/>
        <v>0</v>
      </c>
      <c r="F95" s="1130">
        <f t="shared" si="7"/>
        <v>87181.14</v>
      </c>
      <c r="G95" s="1131">
        <f t="shared" si="8"/>
        <v>64924.35</v>
      </c>
      <c r="H95" s="1130">
        <f t="shared" si="8"/>
        <v>22256.79</v>
      </c>
      <c r="I95" s="1227">
        <v>0</v>
      </c>
      <c r="J95" s="1228">
        <v>0</v>
      </c>
      <c r="K95" s="1228">
        <v>0</v>
      </c>
      <c r="L95" s="1228">
        <v>0</v>
      </c>
      <c r="M95" s="1228">
        <v>22256.79</v>
      </c>
      <c r="N95" s="1229">
        <v>22256.79</v>
      </c>
      <c r="O95" s="1230"/>
      <c r="P95" s="1231"/>
      <c r="Q95" s="1231"/>
      <c r="R95" s="1231"/>
      <c r="S95" s="1231"/>
      <c r="T95" s="1232"/>
      <c r="U95" s="1227">
        <v>64924.35</v>
      </c>
      <c r="V95" s="1228">
        <v>0</v>
      </c>
      <c r="W95" s="1228">
        <v>0</v>
      </c>
      <c r="X95" s="1228">
        <v>64924.35</v>
      </c>
      <c r="Y95" s="1228">
        <v>0</v>
      </c>
      <c r="Z95" s="1229">
        <v>129848.7</v>
      </c>
    </row>
    <row r="96" spans="1:26" ht="15" customHeight="1">
      <c r="A96" s="1092" t="s">
        <v>237</v>
      </c>
      <c r="B96" s="1127" t="s">
        <v>238</v>
      </c>
      <c r="C96" s="1476" t="s">
        <v>273</v>
      </c>
      <c r="D96" s="1128">
        <f t="shared" si="5"/>
        <v>57448.2</v>
      </c>
      <c r="E96" s="1129">
        <f t="shared" si="6"/>
        <v>0</v>
      </c>
      <c r="F96" s="1130">
        <f t="shared" si="7"/>
        <v>57448.2</v>
      </c>
      <c r="G96" s="1131">
        <f t="shared" si="8"/>
        <v>57448.2</v>
      </c>
      <c r="H96" s="1130">
        <f t="shared" si="8"/>
        <v>0</v>
      </c>
      <c r="I96" s="1230"/>
      <c r="J96" s="1231"/>
      <c r="K96" s="1231"/>
      <c r="L96" s="1231"/>
      <c r="M96" s="1231"/>
      <c r="N96" s="1232"/>
      <c r="O96" s="1230"/>
      <c r="P96" s="1231"/>
      <c r="Q96" s="1231"/>
      <c r="R96" s="1231"/>
      <c r="S96" s="1231"/>
      <c r="T96" s="1232"/>
      <c r="U96" s="1227">
        <v>57448.2</v>
      </c>
      <c r="V96" s="1228">
        <v>0</v>
      </c>
      <c r="W96" s="1228">
        <v>0</v>
      </c>
      <c r="X96" s="1228">
        <v>57448.2</v>
      </c>
      <c r="Y96" s="1228">
        <v>0</v>
      </c>
      <c r="Z96" s="1229">
        <v>114896.4</v>
      </c>
    </row>
    <row r="97" spans="1:26" ht="15" customHeight="1">
      <c r="A97" s="1092" t="s">
        <v>243</v>
      </c>
      <c r="B97" s="1127" t="s">
        <v>244</v>
      </c>
      <c r="C97" s="1476" t="s">
        <v>275</v>
      </c>
      <c r="D97" s="1128">
        <f t="shared" si="5"/>
        <v>62551.88</v>
      </c>
      <c r="E97" s="1129">
        <f t="shared" si="6"/>
        <v>0</v>
      </c>
      <c r="F97" s="1130">
        <f t="shared" si="7"/>
        <v>62551.88</v>
      </c>
      <c r="G97" s="1131">
        <f t="shared" si="8"/>
        <v>62551.88</v>
      </c>
      <c r="H97" s="1130">
        <f t="shared" si="8"/>
        <v>0</v>
      </c>
      <c r="I97" s="1230"/>
      <c r="J97" s="1231"/>
      <c r="K97" s="1231"/>
      <c r="L97" s="1231"/>
      <c r="M97" s="1231"/>
      <c r="N97" s="1232"/>
      <c r="O97" s="1230"/>
      <c r="P97" s="1231"/>
      <c r="Q97" s="1231"/>
      <c r="R97" s="1231"/>
      <c r="S97" s="1231"/>
      <c r="T97" s="1232"/>
      <c r="U97" s="1227">
        <v>62551.88</v>
      </c>
      <c r="V97" s="1228">
        <v>0</v>
      </c>
      <c r="W97" s="1228">
        <v>0</v>
      </c>
      <c r="X97" s="1228">
        <v>62551.88</v>
      </c>
      <c r="Y97" s="1228">
        <v>0</v>
      </c>
      <c r="Z97" s="1229">
        <v>125103.76</v>
      </c>
    </row>
    <row r="98" spans="1:26" ht="15" customHeight="1">
      <c r="A98" s="1092" t="s">
        <v>245</v>
      </c>
      <c r="B98" s="1127" t="s">
        <v>246</v>
      </c>
      <c r="C98" s="1476" t="s">
        <v>275</v>
      </c>
      <c r="D98" s="1128">
        <f t="shared" si="5"/>
        <v>92796.43</v>
      </c>
      <c r="E98" s="1129">
        <f t="shared" si="6"/>
        <v>0</v>
      </c>
      <c r="F98" s="1130">
        <f t="shared" si="7"/>
        <v>92796.43</v>
      </c>
      <c r="G98" s="1131">
        <f t="shared" si="8"/>
        <v>92796.43</v>
      </c>
      <c r="H98" s="1130">
        <f t="shared" si="8"/>
        <v>0</v>
      </c>
      <c r="I98" s="1230"/>
      <c r="J98" s="1231"/>
      <c r="K98" s="1231"/>
      <c r="L98" s="1231"/>
      <c r="M98" s="1231"/>
      <c r="N98" s="1232"/>
      <c r="O98" s="1230"/>
      <c r="P98" s="1231"/>
      <c r="Q98" s="1231"/>
      <c r="R98" s="1231"/>
      <c r="S98" s="1231"/>
      <c r="T98" s="1232"/>
      <c r="U98" s="1227">
        <v>92796.43</v>
      </c>
      <c r="V98" s="1228">
        <v>0</v>
      </c>
      <c r="W98" s="1228">
        <v>0</v>
      </c>
      <c r="X98" s="1228">
        <v>92796.43</v>
      </c>
      <c r="Y98" s="1228">
        <v>0</v>
      </c>
      <c r="Z98" s="1229">
        <v>185592.86</v>
      </c>
    </row>
    <row r="99" spans="1:26" ht="15" customHeight="1">
      <c r="A99" s="1092" t="s">
        <v>247</v>
      </c>
      <c r="B99" s="1127" t="s">
        <v>332</v>
      </c>
      <c r="C99" s="1476" t="s">
        <v>271</v>
      </c>
      <c r="D99" s="1128">
        <f t="shared" si="5"/>
        <v>89969.22</v>
      </c>
      <c r="E99" s="1129">
        <f t="shared" si="6"/>
        <v>0</v>
      </c>
      <c r="F99" s="1130">
        <f t="shared" si="7"/>
        <v>89969.22</v>
      </c>
      <c r="G99" s="1131">
        <f t="shared" si="8"/>
        <v>89969.22</v>
      </c>
      <c r="H99" s="1130">
        <f t="shared" si="8"/>
        <v>0</v>
      </c>
      <c r="I99" s="1230"/>
      <c r="J99" s="1231"/>
      <c r="K99" s="1231"/>
      <c r="L99" s="1231"/>
      <c r="M99" s="1231"/>
      <c r="N99" s="1232"/>
      <c r="O99" s="1230"/>
      <c r="P99" s="1231"/>
      <c r="Q99" s="1231"/>
      <c r="R99" s="1231"/>
      <c r="S99" s="1231"/>
      <c r="T99" s="1232"/>
      <c r="U99" s="1227">
        <v>89969.22</v>
      </c>
      <c r="V99" s="1228">
        <v>0</v>
      </c>
      <c r="W99" s="1228">
        <v>0</v>
      </c>
      <c r="X99" s="1228">
        <v>89969.22</v>
      </c>
      <c r="Y99" s="1228">
        <v>0</v>
      </c>
      <c r="Z99" s="1229">
        <v>179938.44</v>
      </c>
    </row>
    <row r="100" spans="1:26" ht="15" customHeight="1">
      <c r="A100" s="1092" t="s">
        <v>14</v>
      </c>
      <c r="B100" s="1127" t="s">
        <v>15</v>
      </c>
      <c r="C100" s="1476" t="s">
        <v>274</v>
      </c>
      <c r="D100" s="1128">
        <f t="shared" si="5"/>
        <v>1283902.1599999999</v>
      </c>
      <c r="E100" s="1129">
        <f t="shared" si="6"/>
        <v>0</v>
      </c>
      <c r="F100" s="1130">
        <f t="shared" si="7"/>
        <v>1283902.1599999999</v>
      </c>
      <c r="G100" s="1131">
        <f t="shared" si="8"/>
        <v>1283902.1599999999</v>
      </c>
      <c r="H100" s="1130">
        <f t="shared" si="8"/>
        <v>0</v>
      </c>
      <c r="I100" s="1230"/>
      <c r="J100" s="1231"/>
      <c r="K100" s="1231"/>
      <c r="L100" s="1231"/>
      <c r="M100" s="1231"/>
      <c r="N100" s="1232"/>
      <c r="O100" s="1230"/>
      <c r="P100" s="1231"/>
      <c r="Q100" s="1231"/>
      <c r="R100" s="1231"/>
      <c r="S100" s="1231"/>
      <c r="T100" s="1232"/>
      <c r="U100" s="1227">
        <v>1283902.1599999999</v>
      </c>
      <c r="V100" s="1228">
        <v>0</v>
      </c>
      <c r="W100" s="1228">
        <v>0</v>
      </c>
      <c r="X100" s="1228">
        <v>1283902.1599999999</v>
      </c>
      <c r="Y100" s="1228">
        <v>0</v>
      </c>
      <c r="Z100" s="1229">
        <v>2567804.3199999998</v>
      </c>
    </row>
    <row r="101" spans="1:26" ht="15" customHeight="1">
      <c r="A101" s="1092" t="s">
        <v>35</v>
      </c>
      <c r="B101" s="1127" t="s">
        <v>36</v>
      </c>
      <c r="C101" s="1476" t="s">
        <v>275</v>
      </c>
      <c r="D101" s="1128">
        <f t="shared" si="5"/>
        <v>40208.83</v>
      </c>
      <c r="E101" s="1129">
        <f t="shared" si="6"/>
        <v>0</v>
      </c>
      <c r="F101" s="1130">
        <f t="shared" si="7"/>
        <v>40208.83</v>
      </c>
      <c r="G101" s="1131">
        <f t="shared" si="8"/>
        <v>40208.83</v>
      </c>
      <c r="H101" s="1130">
        <f t="shared" si="8"/>
        <v>0</v>
      </c>
      <c r="I101" s="1230"/>
      <c r="J101" s="1231"/>
      <c r="K101" s="1231"/>
      <c r="L101" s="1231"/>
      <c r="M101" s="1231"/>
      <c r="N101" s="1232"/>
      <c r="O101" s="1230"/>
      <c r="P101" s="1231"/>
      <c r="Q101" s="1231"/>
      <c r="R101" s="1231"/>
      <c r="S101" s="1231"/>
      <c r="T101" s="1232"/>
      <c r="U101" s="1227">
        <v>40208.83</v>
      </c>
      <c r="V101" s="1228">
        <v>0</v>
      </c>
      <c r="W101" s="1228">
        <v>0</v>
      </c>
      <c r="X101" s="1228">
        <v>40208.83</v>
      </c>
      <c r="Y101" s="1228">
        <v>0</v>
      </c>
      <c r="Z101" s="1229">
        <v>80417.66</v>
      </c>
    </row>
    <row r="102" spans="1:26" ht="15" customHeight="1">
      <c r="A102" s="1092" t="s">
        <v>53</v>
      </c>
      <c r="B102" s="1127" t="s">
        <v>54</v>
      </c>
      <c r="C102" s="1476" t="s">
        <v>272</v>
      </c>
      <c r="D102" s="1128">
        <f t="shared" si="5"/>
        <v>114455.49</v>
      </c>
      <c r="E102" s="1129">
        <f t="shared" si="6"/>
        <v>0</v>
      </c>
      <c r="F102" s="1130">
        <f t="shared" si="7"/>
        <v>114455.49</v>
      </c>
      <c r="G102" s="1131">
        <f t="shared" si="8"/>
        <v>114455.49</v>
      </c>
      <c r="H102" s="1130">
        <f t="shared" si="8"/>
        <v>0</v>
      </c>
      <c r="I102" s="1230"/>
      <c r="J102" s="1231"/>
      <c r="K102" s="1231"/>
      <c r="L102" s="1231"/>
      <c r="M102" s="1231"/>
      <c r="N102" s="1232"/>
      <c r="O102" s="1230"/>
      <c r="P102" s="1231"/>
      <c r="Q102" s="1231"/>
      <c r="R102" s="1231"/>
      <c r="S102" s="1231"/>
      <c r="T102" s="1232"/>
      <c r="U102" s="1227">
        <v>114455.49</v>
      </c>
      <c r="V102" s="1228">
        <v>0</v>
      </c>
      <c r="W102" s="1228">
        <v>0</v>
      </c>
      <c r="X102" s="1228">
        <v>114455.49</v>
      </c>
      <c r="Y102" s="1228">
        <v>0</v>
      </c>
      <c r="Z102" s="1229">
        <v>228910.98</v>
      </c>
    </row>
    <row r="103" spans="1:26" ht="15" customHeight="1">
      <c r="A103" s="1092" t="s">
        <v>55</v>
      </c>
      <c r="B103" s="1127" t="s">
        <v>56</v>
      </c>
      <c r="C103" s="1476" t="s">
        <v>271</v>
      </c>
      <c r="D103" s="1128">
        <f t="shared" si="5"/>
        <v>456688.23</v>
      </c>
      <c r="E103" s="1129">
        <f t="shared" si="6"/>
        <v>0</v>
      </c>
      <c r="F103" s="1130">
        <f t="shared" si="7"/>
        <v>456688.23</v>
      </c>
      <c r="G103" s="1131">
        <f t="shared" si="8"/>
        <v>456688.23</v>
      </c>
      <c r="H103" s="1130">
        <f t="shared" si="8"/>
        <v>0</v>
      </c>
      <c r="I103" s="1230"/>
      <c r="J103" s="1231"/>
      <c r="K103" s="1231"/>
      <c r="L103" s="1231"/>
      <c r="M103" s="1231"/>
      <c r="N103" s="1232"/>
      <c r="O103" s="1230"/>
      <c r="P103" s="1231"/>
      <c r="Q103" s="1231"/>
      <c r="R103" s="1231"/>
      <c r="S103" s="1231"/>
      <c r="T103" s="1232"/>
      <c r="U103" s="1227">
        <v>456688.23</v>
      </c>
      <c r="V103" s="1228">
        <v>0</v>
      </c>
      <c r="W103" s="1228">
        <v>0</v>
      </c>
      <c r="X103" s="1228">
        <v>456688.23</v>
      </c>
      <c r="Y103" s="1228">
        <v>0</v>
      </c>
      <c r="Z103" s="1229">
        <v>913376.46</v>
      </c>
    </row>
    <row r="104" spans="1:26" ht="15" customHeight="1">
      <c r="A104" s="1092" t="s">
        <v>67</v>
      </c>
      <c r="B104" s="1127" t="s">
        <v>68</v>
      </c>
      <c r="C104" s="1476" t="s">
        <v>272</v>
      </c>
      <c r="D104" s="1128">
        <f t="shared" si="5"/>
        <v>113050.89</v>
      </c>
      <c r="E104" s="1129">
        <f t="shared" si="6"/>
        <v>0</v>
      </c>
      <c r="F104" s="1130">
        <f t="shared" si="7"/>
        <v>113050.89</v>
      </c>
      <c r="G104" s="1131">
        <f t="shared" si="8"/>
        <v>113050.89</v>
      </c>
      <c r="H104" s="1130">
        <f t="shared" si="8"/>
        <v>0</v>
      </c>
      <c r="I104" s="1230"/>
      <c r="J104" s="1231"/>
      <c r="K104" s="1231"/>
      <c r="L104" s="1231"/>
      <c r="M104" s="1231"/>
      <c r="N104" s="1232"/>
      <c r="O104" s="1230"/>
      <c r="P104" s="1231"/>
      <c r="Q104" s="1231"/>
      <c r="R104" s="1231"/>
      <c r="S104" s="1231"/>
      <c r="T104" s="1232"/>
      <c r="U104" s="1227">
        <v>113050.89</v>
      </c>
      <c r="V104" s="1228">
        <v>0</v>
      </c>
      <c r="W104" s="1228">
        <v>0</v>
      </c>
      <c r="X104" s="1228">
        <v>113050.89</v>
      </c>
      <c r="Y104" s="1228">
        <v>0</v>
      </c>
      <c r="Z104" s="1229">
        <v>226101.78</v>
      </c>
    </row>
    <row r="105" spans="1:26" ht="15" customHeight="1">
      <c r="A105" s="1092" t="s">
        <v>83</v>
      </c>
      <c r="B105" s="1127" t="s">
        <v>333</v>
      </c>
      <c r="C105" s="1476" t="s">
        <v>271</v>
      </c>
      <c r="D105" s="1128">
        <f t="shared" si="5"/>
        <v>34909.620000000003</v>
      </c>
      <c r="E105" s="1129">
        <f t="shared" si="6"/>
        <v>0</v>
      </c>
      <c r="F105" s="1130">
        <f t="shared" si="7"/>
        <v>34909.620000000003</v>
      </c>
      <c r="G105" s="1131">
        <f t="shared" si="8"/>
        <v>34909.620000000003</v>
      </c>
      <c r="H105" s="1130">
        <f t="shared" si="8"/>
        <v>0</v>
      </c>
      <c r="I105" s="1230"/>
      <c r="J105" s="1231"/>
      <c r="K105" s="1231"/>
      <c r="L105" s="1231"/>
      <c r="M105" s="1231"/>
      <c r="N105" s="1232"/>
      <c r="O105" s="1230"/>
      <c r="P105" s="1231"/>
      <c r="Q105" s="1231"/>
      <c r="R105" s="1231"/>
      <c r="S105" s="1231"/>
      <c r="T105" s="1232"/>
      <c r="U105" s="1227">
        <v>34909.620000000003</v>
      </c>
      <c r="V105" s="1228">
        <v>0</v>
      </c>
      <c r="W105" s="1228">
        <v>0</v>
      </c>
      <c r="X105" s="1228">
        <v>34909.620000000003</v>
      </c>
      <c r="Y105" s="1228">
        <v>0</v>
      </c>
      <c r="Z105" s="1229">
        <v>69819.240000000005</v>
      </c>
    </row>
    <row r="106" spans="1:26" ht="15" customHeight="1">
      <c r="A106" s="1092" t="s">
        <v>89</v>
      </c>
      <c r="B106" s="1127" t="s">
        <v>90</v>
      </c>
      <c r="C106" s="1476" t="s">
        <v>274</v>
      </c>
      <c r="D106" s="1128">
        <f t="shared" si="5"/>
        <v>34787.629999999997</v>
      </c>
      <c r="E106" s="1129">
        <f t="shared" si="6"/>
        <v>0</v>
      </c>
      <c r="F106" s="1130">
        <f t="shared" si="7"/>
        <v>34787.629999999997</v>
      </c>
      <c r="G106" s="1131">
        <f t="shared" si="8"/>
        <v>34787.629999999997</v>
      </c>
      <c r="H106" s="1130">
        <f t="shared" si="8"/>
        <v>0</v>
      </c>
      <c r="I106" s="1230"/>
      <c r="J106" s="1231"/>
      <c r="K106" s="1231"/>
      <c r="L106" s="1231"/>
      <c r="M106" s="1231"/>
      <c r="N106" s="1232"/>
      <c r="O106" s="1230"/>
      <c r="P106" s="1231"/>
      <c r="Q106" s="1231"/>
      <c r="R106" s="1231"/>
      <c r="S106" s="1231"/>
      <c r="T106" s="1232"/>
      <c r="U106" s="1227">
        <v>34787.629999999997</v>
      </c>
      <c r="V106" s="1228">
        <v>0</v>
      </c>
      <c r="W106" s="1228">
        <v>0</v>
      </c>
      <c r="X106" s="1228">
        <v>34787.629999999997</v>
      </c>
      <c r="Y106" s="1228">
        <v>0</v>
      </c>
      <c r="Z106" s="1229">
        <v>69575.259999999995</v>
      </c>
    </row>
    <row r="107" spans="1:26" ht="15" customHeight="1">
      <c r="A107" s="1092" t="s">
        <v>91</v>
      </c>
      <c r="B107" s="1127" t="s">
        <v>92</v>
      </c>
      <c r="C107" s="1476" t="s">
        <v>275</v>
      </c>
      <c r="D107" s="1128">
        <f t="shared" si="5"/>
        <v>17183.2</v>
      </c>
      <c r="E107" s="1129">
        <f t="shared" si="6"/>
        <v>0</v>
      </c>
      <c r="F107" s="1130">
        <f t="shared" si="7"/>
        <v>17183.2</v>
      </c>
      <c r="G107" s="1131">
        <f t="shared" si="8"/>
        <v>17183.2</v>
      </c>
      <c r="H107" s="1130">
        <f t="shared" si="8"/>
        <v>0</v>
      </c>
      <c r="I107" s="1230"/>
      <c r="J107" s="1231"/>
      <c r="K107" s="1231"/>
      <c r="L107" s="1231"/>
      <c r="M107" s="1231"/>
      <c r="N107" s="1232"/>
      <c r="O107" s="1230"/>
      <c r="P107" s="1231"/>
      <c r="Q107" s="1231"/>
      <c r="R107" s="1231"/>
      <c r="S107" s="1231"/>
      <c r="T107" s="1232"/>
      <c r="U107" s="1227">
        <v>17183.2</v>
      </c>
      <c r="V107" s="1228">
        <v>0</v>
      </c>
      <c r="W107" s="1228">
        <v>0</v>
      </c>
      <c r="X107" s="1228">
        <v>17183.2</v>
      </c>
      <c r="Y107" s="1228">
        <v>0</v>
      </c>
      <c r="Z107" s="1229">
        <v>34366.400000000001</v>
      </c>
    </row>
    <row r="108" spans="1:26" ht="15" customHeight="1">
      <c r="A108" s="1092" t="s">
        <v>107</v>
      </c>
      <c r="B108" s="1127" t="s">
        <v>108</v>
      </c>
      <c r="C108" s="1476" t="s">
        <v>271</v>
      </c>
      <c r="D108" s="1128">
        <f t="shared" si="5"/>
        <v>187639.13</v>
      </c>
      <c r="E108" s="1129">
        <f t="shared" si="6"/>
        <v>0</v>
      </c>
      <c r="F108" s="1130">
        <f t="shared" si="7"/>
        <v>187639.13</v>
      </c>
      <c r="G108" s="1131">
        <f t="shared" si="8"/>
        <v>187639.13</v>
      </c>
      <c r="H108" s="1130">
        <f t="shared" si="8"/>
        <v>0</v>
      </c>
      <c r="I108" s="1230"/>
      <c r="J108" s="1231"/>
      <c r="K108" s="1231"/>
      <c r="L108" s="1231"/>
      <c r="M108" s="1231"/>
      <c r="N108" s="1232"/>
      <c r="O108" s="1230"/>
      <c r="P108" s="1231"/>
      <c r="Q108" s="1231"/>
      <c r="R108" s="1231"/>
      <c r="S108" s="1231"/>
      <c r="T108" s="1232"/>
      <c r="U108" s="1227">
        <v>187639.13</v>
      </c>
      <c r="V108" s="1228">
        <v>0</v>
      </c>
      <c r="W108" s="1228">
        <v>0</v>
      </c>
      <c r="X108" s="1228">
        <v>187639.13</v>
      </c>
      <c r="Y108" s="1228">
        <v>0</v>
      </c>
      <c r="Z108" s="1229">
        <v>375278.26</v>
      </c>
    </row>
    <row r="109" spans="1:26" ht="15" customHeight="1">
      <c r="A109" s="1092" t="s">
        <v>117</v>
      </c>
      <c r="B109" s="1127" t="s">
        <v>118</v>
      </c>
      <c r="C109" s="1476" t="s">
        <v>273</v>
      </c>
      <c r="D109" s="1128">
        <f t="shared" si="5"/>
        <v>78552.2</v>
      </c>
      <c r="E109" s="1129">
        <f t="shared" si="6"/>
        <v>0</v>
      </c>
      <c r="F109" s="1130">
        <f t="shared" si="7"/>
        <v>78552.2</v>
      </c>
      <c r="G109" s="1131">
        <f t="shared" si="8"/>
        <v>78552.2</v>
      </c>
      <c r="H109" s="1130">
        <f t="shared" si="8"/>
        <v>0</v>
      </c>
      <c r="I109" s="1230"/>
      <c r="J109" s="1231"/>
      <c r="K109" s="1231"/>
      <c r="L109" s="1231"/>
      <c r="M109" s="1231"/>
      <c r="N109" s="1232"/>
      <c r="O109" s="1230"/>
      <c r="P109" s="1231"/>
      <c r="Q109" s="1231"/>
      <c r="R109" s="1231"/>
      <c r="S109" s="1231"/>
      <c r="T109" s="1232"/>
      <c r="U109" s="1227">
        <v>78552.2</v>
      </c>
      <c r="V109" s="1228">
        <v>0</v>
      </c>
      <c r="W109" s="1228">
        <v>0</v>
      </c>
      <c r="X109" s="1228">
        <v>78552.2</v>
      </c>
      <c r="Y109" s="1228">
        <v>0</v>
      </c>
      <c r="Z109" s="1229">
        <v>157104.4</v>
      </c>
    </row>
    <row r="110" spans="1:26" ht="15" customHeight="1">
      <c r="A110" s="1092" t="s">
        <v>139</v>
      </c>
      <c r="B110" s="1127" t="s">
        <v>140</v>
      </c>
      <c r="C110" s="1476" t="s">
        <v>272</v>
      </c>
      <c r="D110" s="1128">
        <f t="shared" si="5"/>
        <v>404125.96</v>
      </c>
      <c r="E110" s="1129">
        <f t="shared" si="6"/>
        <v>0</v>
      </c>
      <c r="F110" s="1130">
        <f t="shared" si="7"/>
        <v>404125.96</v>
      </c>
      <c r="G110" s="1131">
        <f t="shared" si="8"/>
        <v>404125.96</v>
      </c>
      <c r="H110" s="1130">
        <f t="shared" si="8"/>
        <v>0</v>
      </c>
      <c r="I110" s="1230"/>
      <c r="J110" s="1231"/>
      <c r="K110" s="1231"/>
      <c r="L110" s="1231"/>
      <c r="M110" s="1231"/>
      <c r="N110" s="1232"/>
      <c r="O110" s="1230"/>
      <c r="P110" s="1231"/>
      <c r="Q110" s="1231"/>
      <c r="R110" s="1231"/>
      <c r="S110" s="1231"/>
      <c r="T110" s="1232"/>
      <c r="U110" s="1227">
        <v>404125.96</v>
      </c>
      <c r="V110" s="1228">
        <v>0</v>
      </c>
      <c r="W110" s="1228">
        <v>0</v>
      </c>
      <c r="X110" s="1228">
        <v>404125.96</v>
      </c>
      <c r="Y110" s="1228">
        <v>0</v>
      </c>
      <c r="Z110" s="1229">
        <v>808251.92</v>
      </c>
    </row>
    <row r="111" spans="1:26" ht="15" customHeight="1">
      <c r="A111" s="1092" t="s">
        <v>143</v>
      </c>
      <c r="B111" s="1127" t="s">
        <v>144</v>
      </c>
      <c r="C111" s="1476" t="s">
        <v>274</v>
      </c>
      <c r="D111" s="1128">
        <f t="shared" si="5"/>
        <v>62589.599999999999</v>
      </c>
      <c r="E111" s="1129">
        <f t="shared" si="6"/>
        <v>0</v>
      </c>
      <c r="F111" s="1130">
        <f t="shared" si="7"/>
        <v>62589.599999999999</v>
      </c>
      <c r="G111" s="1131">
        <f t="shared" si="8"/>
        <v>62589.599999999999</v>
      </c>
      <c r="H111" s="1130">
        <f t="shared" si="8"/>
        <v>0</v>
      </c>
      <c r="I111" s="1230"/>
      <c r="J111" s="1231"/>
      <c r="K111" s="1231"/>
      <c r="L111" s="1231"/>
      <c r="M111" s="1231"/>
      <c r="N111" s="1232"/>
      <c r="O111" s="1230"/>
      <c r="P111" s="1231"/>
      <c r="Q111" s="1231"/>
      <c r="R111" s="1231"/>
      <c r="S111" s="1231"/>
      <c r="T111" s="1232"/>
      <c r="U111" s="1227">
        <v>62589.599999999999</v>
      </c>
      <c r="V111" s="1228">
        <v>0</v>
      </c>
      <c r="W111" s="1228">
        <v>0</v>
      </c>
      <c r="X111" s="1228">
        <v>62589.599999999999</v>
      </c>
      <c r="Y111" s="1228">
        <v>0</v>
      </c>
      <c r="Z111" s="1229">
        <v>125179.2</v>
      </c>
    </row>
    <row r="112" spans="1:26" ht="15" customHeight="1">
      <c r="A112" s="1092" t="s">
        <v>145</v>
      </c>
      <c r="B112" s="1127" t="s">
        <v>146</v>
      </c>
      <c r="C112" s="1476" t="s">
        <v>274</v>
      </c>
      <c r="D112" s="1128">
        <f t="shared" si="5"/>
        <v>64668.2</v>
      </c>
      <c r="E112" s="1129">
        <f t="shared" si="6"/>
        <v>0</v>
      </c>
      <c r="F112" s="1130">
        <f t="shared" si="7"/>
        <v>64668.2</v>
      </c>
      <c r="G112" s="1131">
        <f t="shared" si="8"/>
        <v>64668.2</v>
      </c>
      <c r="H112" s="1130">
        <f t="shared" si="8"/>
        <v>0</v>
      </c>
      <c r="I112" s="1230"/>
      <c r="J112" s="1231"/>
      <c r="K112" s="1231"/>
      <c r="L112" s="1231"/>
      <c r="M112" s="1231"/>
      <c r="N112" s="1232"/>
      <c r="O112" s="1230"/>
      <c r="P112" s="1231"/>
      <c r="Q112" s="1231"/>
      <c r="R112" s="1231"/>
      <c r="S112" s="1231"/>
      <c r="T112" s="1232"/>
      <c r="U112" s="1227">
        <v>64668.2</v>
      </c>
      <c r="V112" s="1228">
        <v>0</v>
      </c>
      <c r="W112" s="1228">
        <v>0</v>
      </c>
      <c r="X112" s="1228">
        <v>64668.2</v>
      </c>
      <c r="Y112" s="1228">
        <v>0</v>
      </c>
      <c r="Z112" s="1229">
        <v>129336.4</v>
      </c>
    </row>
    <row r="113" spans="1:26" ht="15" customHeight="1">
      <c r="A113" s="1092" t="s">
        <v>159</v>
      </c>
      <c r="B113" s="1127" t="s">
        <v>160</v>
      </c>
      <c r="C113" s="1476" t="s">
        <v>271</v>
      </c>
      <c r="D113" s="1128">
        <f t="shared" si="5"/>
        <v>329227.34999999998</v>
      </c>
      <c r="E113" s="1129">
        <f t="shared" si="6"/>
        <v>0</v>
      </c>
      <c r="F113" s="1130">
        <f t="shared" si="7"/>
        <v>473484.49</v>
      </c>
      <c r="G113" s="1131">
        <f t="shared" si="8"/>
        <v>329227.34999999998</v>
      </c>
      <c r="H113" s="1130">
        <f t="shared" si="8"/>
        <v>144257.14000000001</v>
      </c>
      <c r="I113" s="1227">
        <v>0</v>
      </c>
      <c r="J113" s="1228">
        <v>0</v>
      </c>
      <c r="K113" s="1228">
        <v>0</v>
      </c>
      <c r="L113" s="1228">
        <v>0</v>
      </c>
      <c r="M113" s="1228">
        <v>144257.14000000001</v>
      </c>
      <c r="N113" s="1229">
        <v>144257.14000000001</v>
      </c>
      <c r="O113" s="1230"/>
      <c r="P113" s="1231"/>
      <c r="Q113" s="1231"/>
      <c r="R113" s="1231"/>
      <c r="S113" s="1231"/>
      <c r="T113" s="1232"/>
      <c r="U113" s="1227">
        <v>329227.34999999998</v>
      </c>
      <c r="V113" s="1228">
        <v>0</v>
      </c>
      <c r="W113" s="1228">
        <v>0</v>
      </c>
      <c r="X113" s="1228">
        <v>329227.34999999998</v>
      </c>
      <c r="Y113" s="1228">
        <v>0</v>
      </c>
      <c r="Z113" s="1229">
        <v>658454.69999999995</v>
      </c>
    </row>
    <row r="114" spans="1:26" ht="15" customHeight="1">
      <c r="A114" s="1092" t="s">
        <v>161</v>
      </c>
      <c r="B114" s="1127" t="s">
        <v>162</v>
      </c>
      <c r="C114" s="1476" t="s">
        <v>271</v>
      </c>
      <c r="D114" s="1128">
        <f t="shared" si="5"/>
        <v>710663.43</v>
      </c>
      <c r="E114" s="1129">
        <f t="shared" si="6"/>
        <v>0</v>
      </c>
      <c r="F114" s="1130">
        <f t="shared" si="7"/>
        <v>710663.43</v>
      </c>
      <c r="G114" s="1131">
        <f t="shared" si="8"/>
        <v>710663.43</v>
      </c>
      <c r="H114" s="1130">
        <f t="shared" si="8"/>
        <v>0</v>
      </c>
      <c r="I114" s="1230"/>
      <c r="J114" s="1231"/>
      <c r="K114" s="1231"/>
      <c r="L114" s="1231"/>
      <c r="M114" s="1231"/>
      <c r="N114" s="1232"/>
      <c r="O114" s="1230"/>
      <c r="P114" s="1231"/>
      <c r="Q114" s="1231"/>
      <c r="R114" s="1231"/>
      <c r="S114" s="1231"/>
      <c r="T114" s="1232"/>
      <c r="U114" s="1227">
        <v>710663.43</v>
      </c>
      <c r="V114" s="1228">
        <v>0</v>
      </c>
      <c r="W114" s="1228">
        <v>0</v>
      </c>
      <c r="X114" s="1228">
        <v>710663.43</v>
      </c>
      <c r="Y114" s="1228">
        <v>0</v>
      </c>
      <c r="Z114" s="1229">
        <v>1421326.86</v>
      </c>
    </row>
    <row r="115" spans="1:26" ht="15" customHeight="1">
      <c r="A115" s="1092" t="s">
        <v>167</v>
      </c>
      <c r="B115" s="1127" t="s">
        <v>168</v>
      </c>
      <c r="C115" s="1476" t="s">
        <v>275</v>
      </c>
      <c r="D115" s="1128">
        <f t="shared" si="5"/>
        <v>25838.98</v>
      </c>
      <c r="E115" s="1129">
        <f t="shared" si="6"/>
        <v>0</v>
      </c>
      <c r="F115" s="1130">
        <f t="shared" si="7"/>
        <v>25838.98</v>
      </c>
      <c r="G115" s="1131">
        <f t="shared" si="8"/>
        <v>25838.98</v>
      </c>
      <c r="H115" s="1130">
        <f t="shared" si="8"/>
        <v>0</v>
      </c>
      <c r="I115" s="1230"/>
      <c r="J115" s="1231"/>
      <c r="K115" s="1231"/>
      <c r="L115" s="1231"/>
      <c r="M115" s="1231"/>
      <c r="N115" s="1232"/>
      <c r="O115" s="1230"/>
      <c r="P115" s="1231"/>
      <c r="Q115" s="1231"/>
      <c r="R115" s="1231"/>
      <c r="S115" s="1231"/>
      <c r="T115" s="1232"/>
      <c r="U115" s="1227">
        <v>25838.98</v>
      </c>
      <c r="V115" s="1228">
        <v>0</v>
      </c>
      <c r="W115" s="1228">
        <v>0</v>
      </c>
      <c r="X115" s="1228">
        <v>25838.98</v>
      </c>
      <c r="Y115" s="1228">
        <v>0</v>
      </c>
      <c r="Z115" s="1229">
        <v>51677.96</v>
      </c>
    </row>
    <row r="116" spans="1:26" ht="15" customHeight="1">
      <c r="A116" s="1092" t="s">
        <v>177</v>
      </c>
      <c r="B116" s="1127" t="s">
        <v>178</v>
      </c>
      <c r="C116" s="1476" t="s">
        <v>273</v>
      </c>
      <c r="D116" s="1128">
        <f t="shared" si="5"/>
        <v>198063.22</v>
      </c>
      <c r="E116" s="1129">
        <f t="shared" si="6"/>
        <v>0</v>
      </c>
      <c r="F116" s="1130">
        <f t="shared" si="7"/>
        <v>198063.22</v>
      </c>
      <c r="G116" s="1131">
        <f t="shared" si="8"/>
        <v>198063.22</v>
      </c>
      <c r="H116" s="1130">
        <f t="shared" si="8"/>
        <v>0</v>
      </c>
      <c r="I116" s="1230"/>
      <c r="J116" s="1231"/>
      <c r="K116" s="1231"/>
      <c r="L116" s="1231"/>
      <c r="M116" s="1231"/>
      <c r="N116" s="1232"/>
      <c r="O116" s="1230"/>
      <c r="P116" s="1231"/>
      <c r="Q116" s="1231"/>
      <c r="R116" s="1231"/>
      <c r="S116" s="1231"/>
      <c r="T116" s="1232"/>
      <c r="U116" s="1227">
        <v>198063.22</v>
      </c>
      <c r="V116" s="1228">
        <v>0</v>
      </c>
      <c r="W116" s="1228">
        <v>0</v>
      </c>
      <c r="X116" s="1228">
        <v>198063.22</v>
      </c>
      <c r="Y116" s="1228">
        <v>0</v>
      </c>
      <c r="Z116" s="1229">
        <v>396126.44</v>
      </c>
    </row>
    <row r="117" spans="1:26" ht="15" customHeight="1">
      <c r="A117" s="1092" t="s">
        <v>181</v>
      </c>
      <c r="B117" s="1127" t="s">
        <v>182</v>
      </c>
      <c r="C117" s="1476" t="s">
        <v>271</v>
      </c>
      <c r="D117" s="1128">
        <f t="shared" si="5"/>
        <v>121950.63</v>
      </c>
      <c r="E117" s="1129">
        <f t="shared" si="6"/>
        <v>0</v>
      </c>
      <c r="F117" s="1130">
        <f t="shared" si="7"/>
        <v>131989.46</v>
      </c>
      <c r="G117" s="1131">
        <f t="shared" si="8"/>
        <v>121950.63</v>
      </c>
      <c r="H117" s="1130">
        <f t="shared" si="8"/>
        <v>10038.83</v>
      </c>
      <c r="I117" s="1227">
        <v>0</v>
      </c>
      <c r="J117" s="1228">
        <v>0</v>
      </c>
      <c r="K117" s="1228">
        <v>0</v>
      </c>
      <c r="L117" s="1228">
        <v>0</v>
      </c>
      <c r="M117" s="1228">
        <v>10038.83</v>
      </c>
      <c r="N117" s="1229">
        <v>10038.83</v>
      </c>
      <c r="O117" s="1230"/>
      <c r="P117" s="1231"/>
      <c r="Q117" s="1231"/>
      <c r="R117" s="1231"/>
      <c r="S117" s="1231"/>
      <c r="T117" s="1232"/>
      <c r="U117" s="1227">
        <v>121950.63</v>
      </c>
      <c r="V117" s="1228">
        <v>0</v>
      </c>
      <c r="W117" s="1228">
        <v>0</v>
      </c>
      <c r="X117" s="1228">
        <v>121950.63</v>
      </c>
      <c r="Y117" s="1228">
        <v>0</v>
      </c>
      <c r="Z117" s="1229">
        <v>243901.26</v>
      </c>
    </row>
    <row r="118" spans="1:26" ht="15" customHeight="1">
      <c r="A118" s="1092" t="s">
        <v>193</v>
      </c>
      <c r="B118" s="1127" t="s">
        <v>194</v>
      </c>
      <c r="C118" s="1476" t="s">
        <v>275</v>
      </c>
      <c r="D118" s="1128">
        <f t="shared" si="5"/>
        <v>19066.25</v>
      </c>
      <c r="E118" s="1129">
        <f t="shared" si="6"/>
        <v>0</v>
      </c>
      <c r="F118" s="1130">
        <f t="shared" si="7"/>
        <v>19066.240000000002</v>
      </c>
      <c r="G118" s="1131">
        <f t="shared" si="8"/>
        <v>19066.25</v>
      </c>
      <c r="H118" s="1130">
        <f t="shared" si="8"/>
        <v>-0.01</v>
      </c>
      <c r="I118" s="1227">
        <v>0</v>
      </c>
      <c r="J118" s="1228">
        <v>0</v>
      </c>
      <c r="K118" s="1228">
        <v>0</v>
      </c>
      <c r="L118" s="1228">
        <v>0</v>
      </c>
      <c r="M118" s="1228">
        <v>-0.01</v>
      </c>
      <c r="N118" s="1229">
        <v>-0.01</v>
      </c>
      <c r="O118" s="1230"/>
      <c r="P118" s="1231"/>
      <c r="Q118" s="1231"/>
      <c r="R118" s="1231"/>
      <c r="S118" s="1231"/>
      <c r="T118" s="1232"/>
      <c r="U118" s="1227">
        <v>19066.25</v>
      </c>
      <c r="V118" s="1228">
        <v>0</v>
      </c>
      <c r="W118" s="1228">
        <v>0</v>
      </c>
      <c r="X118" s="1228">
        <v>19066.25</v>
      </c>
      <c r="Y118" s="1228">
        <v>0</v>
      </c>
      <c r="Z118" s="1229">
        <v>38132.5</v>
      </c>
    </row>
    <row r="119" spans="1:26" ht="15" customHeight="1">
      <c r="A119" s="1092" t="s">
        <v>197</v>
      </c>
      <c r="B119" s="1127" t="s">
        <v>334</v>
      </c>
      <c r="C119" s="1476" t="s">
        <v>273</v>
      </c>
      <c r="D119" s="1128">
        <f t="shared" si="5"/>
        <v>676015.01</v>
      </c>
      <c r="E119" s="1129">
        <f t="shared" si="6"/>
        <v>0</v>
      </c>
      <c r="F119" s="1130">
        <f t="shared" si="7"/>
        <v>699797.23</v>
      </c>
      <c r="G119" s="1131">
        <f t="shared" si="8"/>
        <v>676015.01</v>
      </c>
      <c r="H119" s="1130">
        <f t="shared" si="8"/>
        <v>23782.22</v>
      </c>
      <c r="I119" s="1227">
        <v>0</v>
      </c>
      <c r="J119" s="1228">
        <v>0</v>
      </c>
      <c r="K119" s="1228">
        <v>0</v>
      </c>
      <c r="L119" s="1228">
        <v>0</v>
      </c>
      <c r="M119" s="1228">
        <v>23782.22</v>
      </c>
      <c r="N119" s="1229">
        <v>23782.22</v>
      </c>
      <c r="O119" s="1230"/>
      <c r="P119" s="1231"/>
      <c r="Q119" s="1231"/>
      <c r="R119" s="1231"/>
      <c r="S119" s="1231"/>
      <c r="T119" s="1232"/>
      <c r="U119" s="1227">
        <v>676015.01</v>
      </c>
      <c r="V119" s="1228">
        <v>0</v>
      </c>
      <c r="W119" s="1228">
        <v>0</v>
      </c>
      <c r="X119" s="1228">
        <v>676015.01</v>
      </c>
      <c r="Y119" s="1228">
        <v>0</v>
      </c>
      <c r="Z119" s="1229">
        <v>1352030.02</v>
      </c>
    </row>
    <row r="120" spans="1:26" ht="15" customHeight="1">
      <c r="A120" s="1092" t="s">
        <v>201</v>
      </c>
      <c r="B120" s="1127" t="s">
        <v>335</v>
      </c>
      <c r="C120" s="1476" t="s">
        <v>272</v>
      </c>
      <c r="D120" s="1128">
        <f t="shared" si="5"/>
        <v>280726.06</v>
      </c>
      <c r="E120" s="1129">
        <f t="shared" si="6"/>
        <v>0</v>
      </c>
      <c r="F120" s="1130">
        <f t="shared" si="7"/>
        <v>280726.06</v>
      </c>
      <c r="G120" s="1131">
        <f t="shared" si="8"/>
        <v>280726.06</v>
      </c>
      <c r="H120" s="1130">
        <f t="shared" si="8"/>
        <v>0</v>
      </c>
      <c r="I120" s="1230"/>
      <c r="J120" s="1231"/>
      <c r="K120" s="1231"/>
      <c r="L120" s="1231"/>
      <c r="M120" s="1231"/>
      <c r="N120" s="1232"/>
      <c r="O120" s="1230"/>
      <c r="P120" s="1231"/>
      <c r="Q120" s="1231"/>
      <c r="R120" s="1231"/>
      <c r="S120" s="1231"/>
      <c r="T120" s="1232"/>
      <c r="U120" s="1227">
        <v>280726.06</v>
      </c>
      <c r="V120" s="1228">
        <v>0</v>
      </c>
      <c r="W120" s="1228">
        <v>0</v>
      </c>
      <c r="X120" s="1228">
        <v>280726.06</v>
      </c>
      <c r="Y120" s="1228">
        <v>0</v>
      </c>
      <c r="Z120" s="1229">
        <v>561452.12</v>
      </c>
    </row>
    <row r="121" spans="1:26" ht="15" customHeight="1">
      <c r="A121" s="1092" t="s">
        <v>223</v>
      </c>
      <c r="B121" s="1127" t="s">
        <v>224</v>
      </c>
      <c r="C121" s="1476" t="s">
        <v>271</v>
      </c>
      <c r="D121" s="1128">
        <f t="shared" si="5"/>
        <v>87879.5</v>
      </c>
      <c r="E121" s="1129">
        <f t="shared" si="6"/>
        <v>0</v>
      </c>
      <c r="F121" s="1130">
        <f t="shared" si="7"/>
        <v>87879.5</v>
      </c>
      <c r="G121" s="1131">
        <f t="shared" si="8"/>
        <v>87879.5</v>
      </c>
      <c r="H121" s="1130">
        <f t="shared" si="8"/>
        <v>0</v>
      </c>
      <c r="I121" s="1230"/>
      <c r="J121" s="1231"/>
      <c r="K121" s="1231"/>
      <c r="L121" s="1231"/>
      <c r="M121" s="1231"/>
      <c r="N121" s="1232"/>
      <c r="O121" s="1230"/>
      <c r="P121" s="1231"/>
      <c r="Q121" s="1231"/>
      <c r="R121" s="1231"/>
      <c r="S121" s="1231"/>
      <c r="T121" s="1232"/>
      <c r="U121" s="1227">
        <v>87879.5</v>
      </c>
      <c r="V121" s="1228">
        <v>0</v>
      </c>
      <c r="W121" s="1228">
        <v>0</v>
      </c>
      <c r="X121" s="1228">
        <v>87879.5</v>
      </c>
      <c r="Y121" s="1228">
        <v>0</v>
      </c>
      <c r="Z121" s="1229">
        <v>175759</v>
      </c>
    </row>
    <row r="122" spans="1:26" ht="15" customHeight="1">
      <c r="A122" s="1092" t="s">
        <v>231</v>
      </c>
      <c r="B122" s="1127" t="s">
        <v>232</v>
      </c>
      <c r="C122" s="1476" t="s">
        <v>271</v>
      </c>
      <c r="D122" s="1128">
        <f t="shared" si="5"/>
        <v>507288.91</v>
      </c>
      <c r="E122" s="1129">
        <f t="shared" si="6"/>
        <v>0</v>
      </c>
      <c r="F122" s="1130">
        <f t="shared" si="7"/>
        <v>507288.91</v>
      </c>
      <c r="G122" s="1131">
        <f t="shared" si="8"/>
        <v>507288.91</v>
      </c>
      <c r="H122" s="1130">
        <f t="shared" si="8"/>
        <v>0</v>
      </c>
      <c r="I122" s="1230"/>
      <c r="J122" s="1231"/>
      <c r="K122" s="1231"/>
      <c r="L122" s="1231"/>
      <c r="M122" s="1231"/>
      <c r="N122" s="1232"/>
      <c r="O122" s="1230"/>
      <c r="P122" s="1231"/>
      <c r="Q122" s="1231"/>
      <c r="R122" s="1231"/>
      <c r="S122" s="1231"/>
      <c r="T122" s="1232"/>
      <c r="U122" s="1227">
        <v>507288.91</v>
      </c>
      <c r="V122" s="1228">
        <v>0</v>
      </c>
      <c r="W122" s="1228">
        <v>0</v>
      </c>
      <c r="X122" s="1228">
        <v>507288.91</v>
      </c>
      <c r="Y122" s="1228">
        <v>0</v>
      </c>
      <c r="Z122" s="1229">
        <v>1014577.82</v>
      </c>
    </row>
    <row r="123" spans="1:26" ht="15" customHeight="1">
      <c r="A123" s="1092" t="s">
        <v>239</v>
      </c>
      <c r="B123" s="1127" t="s">
        <v>240</v>
      </c>
      <c r="C123" s="1476" t="s">
        <v>271</v>
      </c>
      <c r="D123" s="1128">
        <f t="shared" si="5"/>
        <v>80885.119999999995</v>
      </c>
      <c r="E123" s="1129">
        <f t="shared" si="6"/>
        <v>0</v>
      </c>
      <c r="F123" s="1130">
        <f t="shared" si="7"/>
        <v>80885.119999999995</v>
      </c>
      <c r="G123" s="1131">
        <f t="shared" si="8"/>
        <v>80885.119999999995</v>
      </c>
      <c r="H123" s="1130">
        <f t="shared" si="8"/>
        <v>0</v>
      </c>
      <c r="I123" s="1230"/>
      <c r="J123" s="1231"/>
      <c r="K123" s="1231"/>
      <c r="L123" s="1231"/>
      <c r="M123" s="1231"/>
      <c r="N123" s="1232"/>
      <c r="O123" s="1230"/>
      <c r="P123" s="1231"/>
      <c r="Q123" s="1231"/>
      <c r="R123" s="1231"/>
      <c r="S123" s="1231"/>
      <c r="T123" s="1232"/>
      <c r="U123" s="1227">
        <v>80885.119999999995</v>
      </c>
      <c r="V123" s="1228">
        <v>0</v>
      </c>
      <c r="W123" s="1228">
        <v>0</v>
      </c>
      <c r="X123" s="1228">
        <v>80885.119999999995</v>
      </c>
      <c r="Y123" s="1228">
        <v>0</v>
      </c>
      <c r="Z123" s="1229">
        <v>161770.23999999999</v>
      </c>
    </row>
    <row r="124" spans="1:26" ht="15" customHeight="1">
      <c r="A124" s="1092" t="s">
        <v>241</v>
      </c>
      <c r="B124" s="1127" t="s">
        <v>242</v>
      </c>
      <c r="C124" s="1476" t="s">
        <v>274</v>
      </c>
      <c r="D124" s="1128">
        <f t="shared" si="5"/>
        <v>61554.94</v>
      </c>
      <c r="E124" s="1129">
        <f t="shared" si="6"/>
        <v>0</v>
      </c>
      <c r="F124" s="1130">
        <f t="shared" si="7"/>
        <v>61554.94</v>
      </c>
      <c r="G124" s="1131">
        <f t="shared" si="8"/>
        <v>61554.94</v>
      </c>
      <c r="H124" s="1130">
        <f t="shared" si="8"/>
        <v>0</v>
      </c>
      <c r="I124" s="1230"/>
      <c r="J124" s="1231"/>
      <c r="K124" s="1231"/>
      <c r="L124" s="1231"/>
      <c r="M124" s="1231"/>
      <c r="N124" s="1232"/>
      <c r="O124" s="1230"/>
      <c r="P124" s="1231"/>
      <c r="Q124" s="1231"/>
      <c r="R124" s="1231"/>
      <c r="S124" s="1231"/>
      <c r="T124" s="1232"/>
      <c r="U124" s="1227">
        <v>61554.94</v>
      </c>
      <c r="V124" s="1228">
        <v>0</v>
      </c>
      <c r="W124" s="1228">
        <v>0</v>
      </c>
      <c r="X124" s="1228">
        <v>61554.94</v>
      </c>
      <c r="Y124" s="1228">
        <v>0</v>
      </c>
      <c r="Z124" s="1229">
        <v>123109.88</v>
      </c>
    </row>
    <row r="126" spans="1:26" s="511" customFormat="1">
      <c r="A126" s="511" t="s">
        <v>1134</v>
      </c>
      <c r="B126" s="1082"/>
      <c r="C126" s="1082"/>
      <c r="D126" s="1016"/>
    </row>
    <row r="127" spans="1:26" s="511" customFormat="1"/>
    <row r="128" spans="1:26" s="542" customFormat="1">
      <c r="A128" s="542" t="s">
        <v>249</v>
      </c>
    </row>
    <row r="129" spans="1:3">
      <c r="A129" s="543" t="s">
        <v>250</v>
      </c>
      <c r="B129" s="544" t="s">
        <v>251</v>
      </c>
      <c r="C129" s="544"/>
    </row>
  </sheetData>
  <autoFilter ref="A3:C3"/>
  <hyperlinks>
    <hyperlink ref="B129" r:id="rId1"/>
  </hyperlink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dimension ref="A1:E136"/>
  <sheetViews>
    <sheetView workbookViewId="0">
      <pane ySplit="3" topLeftCell="A4" activePane="bottomLeft" state="frozen"/>
      <selection pane="bottomLeft" activeCell="B29" sqref="B29"/>
    </sheetView>
  </sheetViews>
  <sheetFormatPr defaultRowHeight="15.75"/>
  <cols>
    <col min="1" max="1" width="9.375" style="726" customWidth="1"/>
    <col min="2" max="2" width="33.375" style="725" customWidth="1"/>
    <col min="3" max="3" width="39.375" style="725" customWidth="1"/>
    <col min="4" max="4" width="12" style="733" bestFit="1" customWidth="1"/>
    <col min="5" max="5" width="27.875" style="725" customWidth="1"/>
    <col min="6" max="16384" width="9" style="725"/>
  </cols>
  <sheetData>
    <row r="1" spans="1:5">
      <c r="A1" s="1635" t="s">
        <v>873</v>
      </c>
      <c r="B1" s="1635"/>
      <c r="C1" s="1635"/>
      <c r="D1" s="1635"/>
    </row>
    <row r="2" spans="1:5">
      <c r="A2" s="509"/>
      <c r="B2" s="509"/>
      <c r="C2" s="509"/>
      <c r="D2" s="509"/>
    </row>
    <row r="3" spans="1:5" s="729" customFormat="1" ht="21.75" customHeight="1">
      <c r="A3" s="731" t="s">
        <v>4</v>
      </c>
      <c r="B3" s="723" t="s">
        <v>797</v>
      </c>
      <c r="C3" s="723" t="s">
        <v>252</v>
      </c>
      <c r="D3" s="732" t="s">
        <v>798</v>
      </c>
      <c r="E3" s="729" t="s">
        <v>806</v>
      </c>
    </row>
    <row r="4" spans="1:5" ht="16.5" customHeight="1">
      <c r="A4" s="724" t="s">
        <v>10</v>
      </c>
      <c r="B4" s="666" t="s">
        <v>11</v>
      </c>
      <c r="C4" s="725" t="s">
        <v>271</v>
      </c>
      <c r="D4" s="733" t="s">
        <v>799</v>
      </c>
      <c r="E4" s="725" t="s">
        <v>948</v>
      </c>
    </row>
    <row r="5" spans="1:5" ht="16.5" customHeight="1">
      <c r="A5" s="724" t="s">
        <v>12</v>
      </c>
      <c r="B5" s="666" t="s">
        <v>13</v>
      </c>
      <c r="C5" s="725" t="s">
        <v>272</v>
      </c>
      <c r="D5" s="733" t="s">
        <v>917</v>
      </c>
      <c r="E5" s="725" t="s">
        <v>949</v>
      </c>
    </row>
    <row r="6" spans="1:5" s="729" customFormat="1" ht="16.5" customHeight="1">
      <c r="A6" s="724" t="s">
        <v>16</v>
      </c>
      <c r="B6" s="666" t="s">
        <v>787</v>
      </c>
      <c r="C6" s="725" t="s">
        <v>272</v>
      </c>
      <c r="D6" s="733" t="s">
        <v>918</v>
      </c>
      <c r="E6" s="725" t="s">
        <v>949</v>
      </c>
    </row>
    <row r="7" spans="1:5" ht="16.5" customHeight="1">
      <c r="A7" s="724" t="s">
        <v>18</v>
      </c>
      <c r="B7" s="666" t="s">
        <v>19</v>
      </c>
      <c r="C7" s="725" t="s">
        <v>273</v>
      </c>
      <c r="D7" s="733" t="s">
        <v>799</v>
      </c>
      <c r="E7" s="725" t="s">
        <v>948</v>
      </c>
    </row>
    <row r="8" spans="1:5" ht="16.5" customHeight="1">
      <c r="A8" s="724" t="s">
        <v>20</v>
      </c>
      <c r="B8" s="666" t="s">
        <v>21</v>
      </c>
      <c r="C8" s="725" t="s">
        <v>272</v>
      </c>
      <c r="D8" s="733" t="s">
        <v>799</v>
      </c>
      <c r="E8" s="725" t="s">
        <v>948</v>
      </c>
    </row>
    <row r="9" spans="1:5" ht="16.5" customHeight="1">
      <c r="A9" s="724" t="s">
        <v>22</v>
      </c>
      <c r="B9" s="666" t="s">
        <v>23</v>
      </c>
      <c r="C9" s="725" t="s">
        <v>272</v>
      </c>
      <c r="D9" s="733" t="s">
        <v>918</v>
      </c>
      <c r="E9" s="725" t="s">
        <v>949</v>
      </c>
    </row>
    <row r="10" spans="1:5" ht="16.5" customHeight="1">
      <c r="A10" s="724" t="s">
        <v>24</v>
      </c>
      <c r="B10" s="666" t="s">
        <v>25</v>
      </c>
      <c r="C10" s="725" t="s">
        <v>274</v>
      </c>
      <c r="D10" s="733" t="s">
        <v>800</v>
      </c>
      <c r="E10" s="725" t="s">
        <v>950</v>
      </c>
    </row>
    <row r="11" spans="1:5" ht="16.5" customHeight="1">
      <c r="A11" s="724" t="s">
        <v>26</v>
      </c>
      <c r="B11" s="666" t="s">
        <v>908</v>
      </c>
      <c r="C11" s="725" t="s">
        <v>272</v>
      </c>
      <c r="D11" s="733" t="s">
        <v>917</v>
      </c>
      <c r="E11" s="725" t="s">
        <v>949</v>
      </c>
    </row>
    <row r="12" spans="1:5" ht="16.5" customHeight="1">
      <c r="A12" s="724" t="s">
        <v>27</v>
      </c>
      <c r="B12" s="666" t="s">
        <v>28</v>
      </c>
      <c r="C12" s="725" t="s">
        <v>272</v>
      </c>
      <c r="D12" s="733" t="s">
        <v>799</v>
      </c>
      <c r="E12" s="725" t="s">
        <v>948</v>
      </c>
    </row>
    <row r="13" spans="1:5" ht="16.5" customHeight="1">
      <c r="A13" s="724" t="s">
        <v>29</v>
      </c>
      <c r="B13" s="666" t="s">
        <v>804</v>
      </c>
      <c r="C13" s="725" t="s">
        <v>272</v>
      </c>
      <c r="D13" s="733" t="s">
        <v>917</v>
      </c>
      <c r="E13" s="725" t="s">
        <v>949</v>
      </c>
    </row>
    <row r="14" spans="1:5" ht="16.5" customHeight="1">
      <c r="A14" s="724" t="s">
        <v>31</v>
      </c>
      <c r="B14" s="666" t="s">
        <v>32</v>
      </c>
      <c r="C14" s="725" t="s">
        <v>275</v>
      </c>
      <c r="D14" s="733" t="s">
        <v>799</v>
      </c>
      <c r="E14" s="725" t="s">
        <v>948</v>
      </c>
    </row>
    <row r="15" spans="1:5" ht="16.5" customHeight="1">
      <c r="A15" s="724" t="s">
        <v>33</v>
      </c>
      <c r="B15" s="666" t="s">
        <v>34</v>
      </c>
      <c r="C15" s="725" t="s">
        <v>272</v>
      </c>
      <c r="D15" s="733" t="s">
        <v>799</v>
      </c>
      <c r="E15" s="725" t="s">
        <v>948</v>
      </c>
    </row>
    <row r="16" spans="1:5" ht="16.5" customHeight="1">
      <c r="A16" s="724" t="s">
        <v>37</v>
      </c>
      <c r="B16" s="666" t="s">
        <v>38</v>
      </c>
      <c r="C16" s="725" t="s">
        <v>271</v>
      </c>
      <c r="D16" s="733" t="s">
        <v>799</v>
      </c>
      <c r="E16" s="725" t="s">
        <v>948</v>
      </c>
    </row>
    <row r="17" spans="1:5" ht="16.5" customHeight="1">
      <c r="A17" s="724" t="s">
        <v>39</v>
      </c>
      <c r="B17" s="666" t="s">
        <v>40</v>
      </c>
      <c r="C17" s="725" t="s">
        <v>275</v>
      </c>
      <c r="D17" s="733" t="s">
        <v>918</v>
      </c>
      <c r="E17" s="725" t="s">
        <v>949</v>
      </c>
    </row>
    <row r="18" spans="1:5" ht="16.5" customHeight="1">
      <c r="A18" s="724" t="s">
        <v>41</v>
      </c>
      <c r="B18" s="666" t="s">
        <v>42</v>
      </c>
      <c r="C18" s="725" t="s">
        <v>273</v>
      </c>
      <c r="D18" s="733" t="s">
        <v>918</v>
      </c>
      <c r="E18" s="725" t="s">
        <v>949</v>
      </c>
    </row>
    <row r="19" spans="1:5" ht="16.5" customHeight="1">
      <c r="A19" s="724" t="s">
        <v>43</v>
      </c>
      <c r="B19" s="666" t="s">
        <v>44</v>
      </c>
      <c r="C19" s="725" t="s">
        <v>272</v>
      </c>
      <c r="D19" s="733" t="s">
        <v>918</v>
      </c>
      <c r="E19" s="725" t="s">
        <v>949</v>
      </c>
    </row>
    <row r="20" spans="1:5" ht="16.5" customHeight="1">
      <c r="A20" s="724" t="s">
        <v>45</v>
      </c>
      <c r="B20" s="666" t="s">
        <v>46</v>
      </c>
      <c r="C20" s="725" t="s">
        <v>273</v>
      </c>
      <c r="D20" s="733" t="s">
        <v>918</v>
      </c>
      <c r="E20" s="725" t="s">
        <v>949</v>
      </c>
    </row>
    <row r="21" spans="1:5" ht="16.5" customHeight="1">
      <c r="A21" s="724" t="s">
        <v>47</v>
      </c>
      <c r="B21" s="666" t="s">
        <v>48</v>
      </c>
      <c r="C21" s="725" t="s">
        <v>275</v>
      </c>
      <c r="D21" s="733" t="s">
        <v>918</v>
      </c>
      <c r="E21" s="725" t="s">
        <v>949</v>
      </c>
    </row>
    <row r="22" spans="1:5" ht="16.5" customHeight="1">
      <c r="A22" s="724" t="s">
        <v>49</v>
      </c>
      <c r="B22" s="666" t="s">
        <v>276</v>
      </c>
      <c r="C22" s="725" t="s">
        <v>273</v>
      </c>
      <c r="D22" s="733" t="s">
        <v>918</v>
      </c>
      <c r="E22" s="725" t="s">
        <v>949</v>
      </c>
    </row>
    <row r="23" spans="1:5" ht="16.5" customHeight="1">
      <c r="A23" s="724" t="s">
        <v>51</v>
      </c>
      <c r="B23" s="666" t="s">
        <v>52</v>
      </c>
      <c r="C23" s="725" t="s">
        <v>272</v>
      </c>
      <c r="D23" s="733" t="s">
        <v>918</v>
      </c>
      <c r="E23" s="725" t="s">
        <v>949</v>
      </c>
    </row>
    <row r="24" spans="1:5" ht="16.5" customHeight="1">
      <c r="A24" s="724" t="s">
        <v>57</v>
      </c>
      <c r="B24" s="666" t="s">
        <v>305</v>
      </c>
      <c r="C24" s="725" t="s">
        <v>273</v>
      </c>
      <c r="D24" s="733" t="s">
        <v>800</v>
      </c>
      <c r="E24" s="725" t="s">
        <v>950</v>
      </c>
    </row>
    <row r="25" spans="1:5" ht="16.5" customHeight="1">
      <c r="A25" s="724" t="s">
        <v>59</v>
      </c>
      <c r="B25" s="666" t="s">
        <v>60</v>
      </c>
      <c r="C25" s="725" t="s">
        <v>274</v>
      </c>
      <c r="D25" s="733" t="s">
        <v>799</v>
      </c>
      <c r="E25" s="725" t="s">
        <v>948</v>
      </c>
    </row>
    <row r="26" spans="1:5" ht="16.5" customHeight="1">
      <c r="A26" s="724" t="s">
        <v>61</v>
      </c>
      <c r="B26" s="666" t="s">
        <v>62</v>
      </c>
      <c r="C26" s="725" t="s">
        <v>272</v>
      </c>
      <c r="D26" s="733" t="s">
        <v>799</v>
      </c>
      <c r="E26" s="725" t="s">
        <v>948</v>
      </c>
    </row>
    <row r="27" spans="1:5" ht="16.5" customHeight="1">
      <c r="A27" s="724" t="s">
        <v>63</v>
      </c>
      <c r="B27" s="666" t="s">
        <v>64</v>
      </c>
      <c r="C27" s="725" t="s">
        <v>274</v>
      </c>
      <c r="D27" s="733" t="s">
        <v>918</v>
      </c>
      <c r="E27" s="725" t="s">
        <v>949</v>
      </c>
    </row>
    <row r="28" spans="1:5" ht="16.5" customHeight="1">
      <c r="A28" s="724" t="s">
        <v>65</v>
      </c>
      <c r="B28" s="666" t="s">
        <v>66</v>
      </c>
      <c r="C28" s="725" t="s">
        <v>273</v>
      </c>
      <c r="D28" s="733" t="s">
        <v>918</v>
      </c>
      <c r="E28" s="725" t="s">
        <v>949</v>
      </c>
    </row>
    <row r="29" spans="1:5" ht="16.5" customHeight="1">
      <c r="A29" s="724" t="s">
        <v>69</v>
      </c>
      <c r="B29" s="666" t="s">
        <v>70</v>
      </c>
      <c r="C29" s="725" t="s">
        <v>275</v>
      </c>
      <c r="D29" s="733" t="s">
        <v>799</v>
      </c>
      <c r="E29" s="725" t="s">
        <v>948</v>
      </c>
    </row>
    <row r="30" spans="1:5" ht="16.5" customHeight="1">
      <c r="A30" s="724" t="s">
        <v>71</v>
      </c>
      <c r="B30" s="666" t="s">
        <v>72</v>
      </c>
      <c r="C30" s="725" t="s">
        <v>271</v>
      </c>
      <c r="D30" s="733" t="s">
        <v>918</v>
      </c>
      <c r="E30" s="725" t="s">
        <v>949</v>
      </c>
    </row>
    <row r="31" spans="1:5" ht="16.5" customHeight="1">
      <c r="A31" s="724" t="s">
        <v>73</v>
      </c>
      <c r="B31" s="666" t="s">
        <v>74</v>
      </c>
      <c r="C31" s="725" t="s">
        <v>273</v>
      </c>
      <c r="D31" s="733" t="s">
        <v>918</v>
      </c>
      <c r="E31" s="725" t="s">
        <v>949</v>
      </c>
    </row>
    <row r="32" spans="1:5" ht="16.5" customHeight="1">
      <c r="A32" s="724" t="s">
        <v>75</v>
      </c>
      <c r="B32" s="666" t="s">
        <v>803</v>
      </c>
      <c r="C32" s="725" t="s">
        <v>274</v>
      </c>
      <c r="D32" s="733" t="s">
        <v>800</v>
      </c>
      <c r="E32" s="725" t="s">
        <v>950</v>
      </c>
    </row>
    <row r="33" spans="1:5" ht="16.5" customHeight="1">
      <c r="A33" s="724" t="s">
        <v>77</v>
      </c>
      <c r="B33" s="666" t="s">
        <v>78</v>
      </c>
      <c r="C33" s="725" t="s">
        <v>274</v>
      </c>
      <c r="D33" s="733" t="s">
        <v>800</v>
      </c>
      <c r="E33" s="725" t="s">
        <v>950</v>
      </c>
    </row>
    <row r="34" spans="1:5" ht="16.5" customHeight="1">
      <c r="A34" s="724" t="s">
        <v>79</v>
      </c>
      <c r="B34" s="666" t="s">
        <v>80</v>
      </c>
      <c r="C34" s="725" t="s">
        <v>275</v>
      </c>
      <c r="D34" s="733" t="s">
        <v>799</v>
      </c>
      <c r="E34" s="725" t="s">
        <v>948</v>
      </c>
    </row>
    <row r="35" spans="1:5" ht="16.5" customHeight="1">
      <c r="A35" s="724" t="s">
        <v>81</v>
      </c>
      <c r="B35" s="666" t="s">
        <v>82</v>
      </c>
      <c r="C35" s="725" t="s">
        <v>273</v>
      </c>
      <c r="D35" s="733" t="s">
        <v>918</v>
      </c>
      <c r="E35" s="725" t="s">
        <v>949</v>
      </c>
    </row>
    <row r="36" spans="1:5" ht="16.5" customHeight="1">
      <c r="A36" s="724" t="s">
        <v>85</v>
      </c>
      <c r="B36" s="666" t="s">
        <v>330</v>
      </c>
      <c r="C36" s="725" t="s">
        <v>272</v>
      </c>
      <c r="D36" s="733" t="s">
        <v>799</v>
      </c>
      <c r="E36" s="725" t="s">
        <v>948</v>
      </c>
    </row>
    <row r="37" spans="1:5" ht="16.5" customHeight="1">
      <c r="A37" s="724" t="s">
        <v>87</v>
      </c>
      <c r="B37" s="666" t="s">
        <v>88</v>
      </c>
      <c r="C37" s="725" t="s">
        <v>274</v>
      </c>
      <c r="D37" s="733" t="s">
        <v>918</v>
      </c>
      <c r="E37" s="725" t="s">
        <v>949</v>
      </c>
    </row>
    <row r="38" spans="1:5" ht="16.5" customHeight="1">
      <c r="A38" s="724" t="s">
        <v>93</v>
      </c>
      <c r="B38" s="666" t="s">
        <v>94</v>
      </c>
      <c r="C38" s="725" t="s">
        <v>275</v>
      </c>
      <c r="D38" s="733" t="s">
        <v>918</v>
      </c>
      <c r="E38" s="725" t="s">
        <v>949</v>
      </c>
    </row>
    <row r="39" spans="1:5" ht="16.5" customHeight="1">
      <c r="A39" s="724" t="s">
        <v>95</v>
      </c>
      <c r="B39" s="666" t="s">
        <v>96</v>
      </c>
      <c r="C39" s="725" t="s">
        <v>271</v>
      </c>
      <c r="D39" s="733" t="s">
        <v>919</v>
      </c>
      <c r="E39" s="725" t="s">
        <v>949</v>
      </c>
    </row>
    <row r="40" spans="1:5" ht="16.5" customHeight="1">
      <c r="A40" s="724" t="s">
        <v>97</v>
      </c>
      <c r="B40" s="666" t="s">
        <v>98</v>
      </c>
      <c r="C40" s="725" t="s">
        <v>273</v>
      </c>
      <c r="D40" s="733" t="s">
        <v>799</v>
      </c>
      <c r="E40" s="725" t="s">
        <v>948</v>
      </c>
    </row>
    <row r="41" spans="1:5" ht="16.5" customHeight="1">
      <c r="A41" s="724" t="s">
        <v>99</v>
      </c>
      <c r="B41" s="666" t="s">
        <v>100</v>
      </c>
      <c r="C41" s="725" t="s">
        <v>275</v>
      </c>
      <c r="D41" s="733" t="s">
        <v>918</v>
      </c>
      <c r="E41" s="725" t="s">
        <v>949</v>
      </c>
    </row>
    <row r="42" spans="1:5" ht="16.5" customHeight="1">
      <c r="A42" s="724" t="s">
        <v>101</v>
      </c>
      <c r="B42" s="666" t="s">
        <v>102</v>
      </c>
      <c r="C42" s="725" t="s">
        <v>274</v>
      </c>
      <c r="D42" s="733" t="s">
        <v>918</v>
      </c>
      <c r="E42" s="725" t="s">
        <v>949</v>
      </c>
    </row>
    <row r="43" spans="1:5" ht="16.5" customHeight="1">
      <c r="A43" s="724" t="s">
        <v>103</v>
      </c>
      <c r="B43" s="666" t="s">
        <v>290</v>
      </c>
      <c r="C43" s="725" t="s">
        <v>271</v>
      </c>
      <c r="D43" s="733" t="s">
        <v>918</v>
      </c>
      <c r="E43" s="725" t="s">
        <v>949</v>
      </c>
    </row>
    <row r="44" spans="1:5" ht="16.5" customHeight="1">
      <c r="A44" s="724" t="s">
        <v>105</v>
      </c>
      <c r="B44" s="666" t="s">
        <v>790</v>
      </c>
      <c r="C44" s="725" t="s">
        <v>272</v>
      </c>
      <c r="D44" s="733" t="s">
        <v>799</v>
      </c>
      <c r="E44" s="725" t="s">
        <v>948</v>
      </c>
    </row>
    <row r="45" spans="1:5" ht="16.5" customHeight="1">
      <c r="A45" s="724" t="s">
        <v>109</v>
      </c>
      <c r="B45" s="666" t="s">
        <v>110</v>
      </c>
      <c r="C45" s="725" t="s">
        <v>273</v>
      </c>
      <c r="D45" s="733" t="s">
        <v>800</v>
      </c>
      <c r="E45" s="725" t="s">
        <v>950</v>
      </c>
    </row>
    <row r="46" spans="1:5" ht="16.5" customHeight="1">
      <c r="A46" s="724" t="s">
        <v>111</v>
      </c>
      <c r="B46" s="666" t="s">
        <v>112</v>
      </c>
      <c r="C46" s="725" t="s">
        <v>273</v>
      </c>
      <c r="D46" s="733" t="s">
        <v>800</v>
      </c>
      <c r="E46" s="725" t="s">
        <v>950</v>
      </c>
    </row>
    <row r="47" spans="1:5" ht="16.5" customHeight="1">
      <c r="A47" s="724" t="s">
        <v>113</v>
      </c>
      <c r="B47" s="666" t="s">
        <v>310</v>
      </c>
      <c r="C47" s="725" t="s">
        <v>272</v>
      </c>
      <c r="D47" s="733" t="s">
        <v>799</v>
      </c>
      <c r="E47" s="725" t="s">
        <v>948</v>
      </c>
    </row>
    <row r="48" spans="1:5" ht="16.5" customHeight="1">
      <c r="A48" s="724" t="s">
        <v>115</v>
      </c>
      <c r="B48" s="666" t="s">
        <v>116</v>
      </c>
      <c r="C48" s="725" t="s">
        <v>272</v>
      </c>
      <c r="D48" s="733" t="s">
        <v>799</v>
      </c>
      <c r="E48" s="725" t="s">
        <v>948</v>
      </c>
    </row>
    <row r="49" spans="1:5" ht="16.5" customHeight="1">
      <c r="A49" s="724" t="s">
        <v>119</v>
      </c>
      <c r="B49" s="666" t="s">
        <v>120</v>
      </c>
      <c r="C49" s="725" t="s">
        <v>271</v>
      </c>
      <c r="D49" s="733" t="s">
        <v>918</v>
      </c>
      <c r="E49" s="725" t="s">
        <v>949</v>
      </c>
    </row>
    <row r="50" spans="1:5" ht="16.5" customHeight="1">
      <c r="A50" s="724" t="s">
        <v>121</v>
      </c>
      <c r="B50" s="666" t="s">
        <v>122</v>
      </c>
      <c r="C50" s="725" t="s">
        <v>271</v>
      </c>
      <c r="D50" s="733" t="s">
        <v>800</v>
      </c>
      <c r="E50" s="725" t="s">
        <v>950</v>
      </c>
    </row>
    <row r="51" spans="1:5" ht="16.5" customHeight="1">
      <c r="A51" s="724" t="s">
        <v>123</v>
      </c>
      <c r="B51" s="666" t="s">
        <v>278</v>
      </c>
      <c r="C51" s="725" t="s">
        <v>273</v>
      </c>
      <c r="D51" s="733" t="s">
        <v>918</v>
      </c>
      <c r="E51" s="725" t="s">
        <v>949</v>
      </c>
    </row>
    <row r="52" spans="1:5" ht="16.5" customHeight="1">
      <c r="A52" s="724" t="s">
        <v>125</v>
      </c>
      <c r="B52" s="666" t="s">
        <v>126</v>
      </c>
      <c r="C52" s="725" t="s">
        <v>274</v>
      </c>
      <c r="D52" s="733" t="s">
        <v>918</v>
      </c>
      <c r="E52" s="725" t="s">
        <v>949</v>
      </c>
    </row>
    <row r="53" spans="1:5" ht="16.5" customHeight="1">
      <c r="A53" s="724" t="s">
        <v>127</v>
      </c>
      <c r="B53" s="666" t="s">
        <v>128</v>
      </c>
      <c r="C53" s="725" t="s">
        <v>273</v>
      </c>
      <c r="D53" s="733" t="s">
        <v>919</v>
      </c>
      <c r="E53" s="725" t="s">
        <v>949</v>
      </c>
    </row>
    <row r="54" spans="1:5" ht="16.5" customHeight="1">
      <c r="A54" s="724" t="s">
        <v>129</v>
      </c>
      <c r="B54" s="666" t="s">
        <v>130</v>
      </c>
      <c r="C54" s="725" t="s">
        <v>273</v>
      </c>
      <c r="D54" s="733" t="s">
        <v>918</v>
      </c>
      <c r="E54" s="725" t="s">
        <v>949</v>
      </c>
    </row>
    <row r="55" spans="1:5" ht="16.5" customHeight="1">
      <c r="A55" s="724" t="s">
        <v>131</v>
      </c>
      <c r="B55" s="666" t="s">
        <v>132</v>
      </c>
      <c r="C55" s="725" t="s">
        <v>275</v>
      </c>
      <c r="D55" s="733" t="s">
        <v>799</v>
      </c>
      <c r="E55" s="725" t="s">
        <v>948</v>
      </c>
    </row>
    <row r="56" spans="1:5" ht="16.5" customHeight="1">
      <c r="A56" s="724" t="s">
        <v>133</v>
      </c>
      <c r="B56" s="666" t="s">
        <v>134</v>
      </c>
      <c r="C56" s="725" t="s">
        <v>274</v>
      </c>
      <c r="D56" s="733" t="s">
        <v>800</v>
      </c>
      <c r="E56" s="725" t="s">
        <v>950</v>
      </c>
    </row>
    <row r="57" spans="1:5" ht="16.5" customHeight="1">
      <c r="A57" s="724" t="s">
        <v>135</v>
      </c>
      <c r="B57" s="666" t="s">
        <v>136</v>
      </c>
      <c r="C57" s="725" t="s">
        <v>274</v>
      </c>
      <c r="D57" s="733" t="s">
        <v>800</v>
      </c>
      <c r="E57" s="725" t="s">
        <v>950</v>
      </c>
    </row>
    <row r="58" spans="1:5" ht="16.5" customHeight="1">
      <c r="A58" s="724" t="s">
        <v>137</v>
      </c>
      <c r="B58" s="666" t="s">
        <v>138</v>
      </c>
      <c r="C58" s="725" t="s">
        <v>273</v>
      </c>
      <c r="D58" s="733" t="s">
        <v>799</v>
      </c>
      <c r="E58" s="725" t="s">
        <v>948</v>
      </c>
    </row>
    <row r="59" spans="1:5" ht="16.5" customHeight="1">
      <c r="A59" s="724" t="s">
        <v>141</v>
      </c>
      <c r="B59" s="666" t="s">
        <v>142</v>
      </c>
      <c r="C59" s="725" t="s">
        <v>274</v>
      </c>
      <c r="D59" s="733" t="s">
        <v>918</v>
      </c>
      <c r="E59" s="725" t="s">
        <v>949</v>
      </c>
    </row>
    <row r="60" spans="1:5" ht="16.5" customHeight="1">
      <c r="A60" s="724" t="s">
        <v>147</v>
      </c>
      <c r="B60" s="666" t="s">
        <v>148</v>
      </c>
      <c r="C60" s="725" t="s">
        <v>271</v>
      </c>
      <c r="D60" s="733" t="s">
        <v>918</v>
      </c>
      <c r="E60" s="725" t="s">
        <v>949</v>
      </c>
    </row>
    <row r="61" spans="1:5" ht="16.5" customHeight="1">
      <c r="A61" s="724" t="s">
        <v>149</v>
      </c>
      <c r="B61" s="666" t="s">
        <v>150</v>
      </c>
      <c r="C61" s="725" t="s">
        <v>272</v>
      </c>
      <c r="D61" s="733" t="s">
        <v>918</v>
      </c>
      <c r="E61" s="725" t="s">
        <v>949</v>
      </c>
    </row>
    <row r="62" spans="1:5" ht="16.5" customHeight="1">
      <c r="A62" s="724" t="s">
        <v>151</v>
      </c>
      <c r="B62" s="666" t="s">
        <v>152</v>
      </c>
      <c r="C62" s="725" t="s">
        <v>273</v>
      </c>
      <c r="D62" s="733" t="s">
        <v>918</v>
      </c>
      <c r="E62" s="725" t="s">
        <v>949</v>
      </c>
    </row>
    <row r="63" spans="1:5" ht="16.5" customHeight="1">
      <c r="A63" s="724" t="s">
        <v>153</v>
      </c>
      <c r="B63" s="666" t="s">
        <v>154</v>
      </c>
      <c r="C63" s="725" t="s">
        <v>275</v>
      </c>
      <c r="D63" s="733" t="s">
        <v>800</v>
      </c>
      <c r="E63" s="725" t="s">
        <v>950</v>
      </c>
    </row>
    <row r="64" spans="1:5" ht="16.5" customHeight="1">
      <c r="A64" s="724" t="s">
        <v>155</v>
      </c>
      <c r="B64" s="666" t="s">
        <v>156</v>
      </c>
      <c r="C64" s="725" t="s">
        <v>272</v>
      </c>
      <c r="D64" s="733" t="s">
        <v>799</v>
      </c>
      <c r="E64" s="725" t="s">
        <v>948</v>
      </c>
    </row>
    <row r="65" spans="1:5" ht="16.5" customHeight="1">
      <c r="A65" s="724" t="s">
        <v>157</v>
      </c>
      <c r="B65" s="666" t="s">
        <v>158</v>
      </c>
      <c r="C65" s="725" t="s">
        <v>273</v>
      </c>
      <c r="D65" s="733" t="s">
        <v>918</v>
      </c>
      <c r="E65" s="725" t="s">
        <v>949</v>
      </c>
    </row>
    <row r="66" spans="1:5" ht="16.5" customHeight="1">
      <c r="A66" s="724" t="s">
        <v>163</v>
      </c>
      <c r="B66" s="666" t="s">
        <v>164</v>
      </c>
      <c r="C66" s="725" t="s">
        <v>271</v>
      </c>
      <c r="D66" s="733" t="s">
        <v>918</v>
      </c>
      <c r="E66" s="725" t="s">
        <v>949</v>
      </c>
    </row>
    <row r="67" spans="1:5" ht="16.5" customHeight="1">
      <c r="A67" s="724" t="s">
        <v>165</v>
      </c>
      <c r="B67" s="666" t="s">
        <v>166</v>
      </c>
      <c r="C67" s="725" t="s">
        <v>273</v>
      </c>
      <c r="D67" s="733" t="s">
        <v>799</v>
      </c>
      <c r="E67" s="725" t="s">
        <v>948</v>
      </c>
    </row>
    <row r="68" spans="1:5" ht="16.5" customHeight="1">
      <c r="A68" s="724" t="s">
        <v>169</v>
      </c>
      <c r="B68" s="666" t="s">
        <v>170</v>
      </c>
      <c r="C68" s="725" t="s">
        <v>273</v>
      </c>
      <c r="D68" s="733" t="s">
        <v>918</v>
      </c>
      <c r="E68" s="725" t="s">
        <v>949</v>
      </c>
    </row>
    <row r="69" spans="1:5" ht="16.5" customHeight="1">
      <c r="A69" s="724" t="s">
        <v>171</v>
      </c>
      <c r="B69" s="666" t="s">
        <v>172</v>
      </c>
      <c r="C69" s="725" t="s">
        <v>274</v>
      </c>
      <c r="D69" s="733" t="s">
        <v>918</v>
      </c>
      <c r="E69" s="725" t="s">
        <v>949</v>
      </c>
    </row>
    <row r="70" spans="1:5" ht="16.5" customHeight="1">
      <c r="A70" s="724" t="s">
        <v>173</v>
      </c>
      <c r="B70" s="666" t="s">
        <v>174</v>
      </c>
      <c r="C70" s="725" t="s">
        <v>274</v>
      </c>
      <c r="D70" s="733" t="s">
        <v>799</v>
      </c>
      <c r="E70" s="725" t="s">
        <v>948</v>
      </c>
    </row>
    <row r="71" spans="1:5" ht="16.5" customHeight="1">
      <c r="A71" s="724" t="s">
        <v>175</v>
      </c>
      <c r="B71" s="666" t="s">
        <v>176</v>
      </c>
      <c r="C71" s="725" t="s">
        <v>275</v>
      </c>
      <c r="D71" s="733" t="s">
        <v>799</v>
      </c>
      <c r="E71" s="725" t="s">
        <v>948</v>
      </c>
    </row>
    <row r="72" spans="1:5" ht="16.5" customHeight="1">
      <c r="A72" s="724" t="s">
        <v>179</v>
      </c>
      <c r="B72" s="666" t="s">
        <v>180</v>
      </c>
      <c r="C72" s="725" t="s">
        <v>272</v>
      </c>
      <c r="D72" s="733" t="s">
        <v>799</v>
      </c>
      <c r="E72" s="725" t="s">
        <v>948</v>
      </c>
    </row>
    <row r="73" spans="1:5" ht="16.5" customHeight="1">
      <c r="A73" s="724" t="s">
        <v>183</v>
      </c>
      <c r="B73" s="666" t="s">
        <v>184</v>
      </c>
      <c r="C73" s="725" t="s">
        <v>273</v>
      </c>
      <c r="D73" s="733" t="s">
        <v>918</v>
      </c>
      <c r="E73" s="725" t="s">
        <v>949</v>
      </c>
    </row>
    <row r="74" spans="1:5" ht="16.5" customHeight="1">
      <c r="A74" s="724" t="s">
        <v>185</v>
      </c>
      <c r="B74" s="666" t="s">
        <v>186</v>
      </c>
      <c r="C74" s="725" t="s">
        <v>273</v>
      </c>
      <c r="D74" s="733" t="s">
        <v>917</v>
      </c>
      <c r="E74" s="725" t="s">
        <v>949</v>
      </c>
    </row>
    <row r="75" spans="1:5" ht="16.5" customHeight="1">
      <c r="A75" s="724" t="s">
        <v>187</v>
      </c>
      <c r="B75" s="666" t="s">
        <v>188</v>
      </c>
      <c r="C75" s="725" t="s">
        <v>271</v>
      </c>
      <c r="D75" s="733" t="s">
        <v>800</v>
      </c>
      <c r="E75" s="725" t="s">
        <v>950</v>
      </c>
    </row>
    <row r="76" spans="1:5" ht="16.5" customHeight="1">
      <c r="A76" s="724" t="s">
        <v>189</v>
      </c>
      <c r="B76" s="666" t="s">
        <v>190</v>
      </c>
      <c r="C76" s="725" t="s">
        <v>274</v>
      </c>
      <c r="D76" s="733" t="s">
        <v>800</v>
      </c>
      <c r="E76" s="725" t="s">
        <v>950</v>
      </c>
    </row>
    <row r="77" spans="1:5" ht="16.5" customHeight="1">
      <c r="A77" s="724" t="s">
        <v>191</v>
      </c>
      <c r="B77" s="666" t="s">
        <v>192</v>
      </c>
      <c r="C77" s="725" t="s">
        <v>275</v>
      </c>
      <c r="D77" s="733" t="s">
        <v>918</v>
      </c>
      <c r="E77" s="725" t="s">
        <v>949</v>
      </c>
    </row>
    <row r="78" spans="1:5" ht="16.5" customHeight="1">
      <c r="A78" s="724" t="s">
        <v>195</v>
      </c>
      <c r="B78" s="666" t="s">
        <v>196</v>
      </c>
      <c r="C78" s="725" t="s">
        <v>274</v>
      </c>
      <c r="D78" s="733" t="s">
        <v>799</v>
      </c>
      <c r="E78" s="725" t="s">
        <v>948</v>
      </c>
    </row>
    <row r="79" spans="1:5" ht="16.5" customHeight="1">
      <c r="A79" s="724" t="s">
        <v>199</v>
      </c>
      <c r="B79" s="666" t="s">
        <v>200</v>
      </c>
      <c r="C79" s="725" t="s">
        <v>273</v>
      </c>
      <c r="D79" s="733" t="s">
        <v>918</v>
      </c>
      <c r="E79" s="725" t="s">
        <v>949</v>
      </c>
    </row>
    <row r="80" spans="1:5" ht="16.5" customHeight="1">
      <c r="A80" s="724" t="s">
        <v>203</v>
      </c>
      <c r="B80" s="666" t="s">
        <v>805</v>
      </c>
      <c r="C80" s="725" t="s">
        <v>272</v>
      </c>
      <c r="D80" s="733" t="s">
        <v>800</v>
      </c>
      <c r="E80" s="725" t="s">
        <v>950</v>
      </c>
    </row>
    <row r="81" spans="1:5" ht="16.5" customHeight="1">
      <c r="A81" s="724" t="s">
        <v>205</v>
      </c>
      <c r="B81" s="666" t="s">
        <v>303</v>
      </c>
      <c r="C81" s="725" t="s">
        <v>272</v>
      </c>
      <c r="D81" s="733" t="s">
        <v>918</v>
      </c>
      <c r="E81" s="725" t="s">
        <v>949</v>
      </c>
    </row>
    <row r="82" spans="1:5" ht="16.5" customHeight="1">
      <c r="A82" s="724" t="s">
        <v>207</v>
      </c>
      <c r="B82" s="666" t="s">
        <v>304</v>
      </c>
      <c r="C82" s="725" t="s">
        <v>274</v>
      </c>
      <c r="D82" s="733" t="s">
        <v>918</v>
      </c>
      <c r="E82" s="725" t="s">
        <v>949</v>
      </c>
    </row>
    <row r="83" spans="1:5" ht="16.5" customHeight="1">
      <c r="A83" s="724" t="s">
        <v>209</v>
      </c>
      <c r="B83" s="666" t="s">
        <v>210</v>
      </c>
      <c r="C83" s="725" t="s">
        <v>275</v>
      </c>
      <c r="D83" s="733" t="s">
        <v>918</v>
      </c>
      <c r="E83" s="725" t="s">
        <v>949</v>
      </c>
    </row>
    <row r="84" spans="1:5" ht="16.5" customHeight="1">
      <c r="A84" s="724" t="s">
        <v>211</v>
      </c>
      <c r="B84" s="666" t="s">
        <v>212</v>
      </c>
      <c r="C84" s="725" t="s">
        <v>275</v>
      </c>
      <c r="D84" s="733" t="s">
        <v>799</v>
      </c>
      <c r="E84" s="725" t="s">
        <v>948</v>
      </c>
    </row>
    <row r="85" spans="1:5" ht="16.5" customHeight="1">
      <c r="A85" s="724" t="s">
        <v>213</v>
      </c>
      <c r="B85" s="666" t="s">
        <v>214</v>
      </c>
      <c r="C85" s="725" t="s">
        <v>274</v>
      </c>
      <c r="D85" s="733" t="s">
        <v>918</v>
      </c>
      <c r="E85" s="725" t="s">
        <v>949</v>
      </c>
    </row>
    <row r="86" spans="1:5" ht="16.5" customHeight="1">
      <c r="A86" s="724" t="s">
        <v>215</v>
      </c>
      <c r="B86" s="666" t="s">
        <v>216</v>
      </c>
      <c r="C86" s="725" t="s">
        <v>275</v>
      </c>
      <c r="D86" s="733" t="s">
        <v>799</v>
      </c>
      <c r="E86" s="725" t="s">
        <v>948</v>
      </c>
    </row>
    <row r="87" spans="1:5" ht="16.5" customHeight="1">
      <c r="A87" s="724" t="s">
        <v>217</v>
      </c>
      <c r="B87" s="666" t="s">
        <v>218</v>
      </c>
      <c r="C87" s="725" t="s">
        <v>271</v>
      </c>
      <c r="D87" s="733" t="s">
        <v>799</v>
      </c>
      <c r="E87" s="725" t="s">
        <v>948</v>
      </c>
    </row>
    <row r="88" spans="1:5" ht="16.5" customHeight="1">
      <c r="A88" s="724" t="s">
        <v>219</v>
      </c>
      <c r="B88" s="666" t="s">
        <v>220</v>
      </c>
      <c r="C88" s="725" t="s">
        <v>274</v>
      </c>
      <c r="D88" s="733" t="s">
        <v>917</v>
      </c>
      <c r="E88" s="725" t="s">
        <v>949</v>
      </c>
    </row>
    <row r="89" spans="1:5" ht="16.5" customHeight="1">
      <c r="A89" s="724" t="s">
        <v>221</v>
      </c>
      <c r="B89" s="666" t="s">
        <v>222</v>
      </c>
      <c r="C89" s="725" t="s">
        <v>274</v>
      </c>
      <c r="D89" s="733" t="s">
        <v>919</v>
      </c>
      <c r="E89" s="725" t="s">
        <v>949</v>
      </c>
    </row>
    <row r="90" spans="1:5" s="729" customFormat="1" ht="16.5" customHeight="1">
      <c r="A90" s="724" t="s">
        <v>225</v>
      </c>
      <c r="B90" s="666" t="s">
        <v>226</v>
      </c>
      <c r="C90" s="725" t="s">
        <v>271</v>
      </c>
      <c r="D90" s="733" t="s">
        <v>918</v>
      </c>
      <c r="E90" s="725" t="s">
        <v>949</v>
      </c>
    </row>
    <row r="91" spans="1:5" ht="16.5" customHeight="1">
      <c r="A91" s="724" t="s">
        <v>227</v>
      </c>
      <c r="B91" s="666" t="s">
        <v>228</v>
      </c>
      <c r="C91" s="725" t="s">
        <v>271</v>
      </c>
      <c r="D91" s="733" t="s">
        <v>918</v>
      </c>
      <c r="E91" s="725" t="s">
        <v>949</v>
      </c>
    </row>
    <row r="92" spans="1:5" ht="16.5" customHeight="1">
      <c r="A92" s="724" t="s">
        <v>229</v>
      </c>
      <c r="B92" s="666" t="s">
        <v>230</v>
      </c>
      <c r="C92" s="725" t="s">
        <v>275</v>
      </c>
      <c r="D92" s="733" t="s">
        <v>918</v>
      </c>
      <c r="E92" s="725" t="s">
        <v>949</v>
      </c>
    </row>
    <row r="93" spans="1:5" ht="16.5" customHeight="1">
      <c r="A93" s="724" t="s">
        <v>233</v>
      </c>
      <c r="B93" s="666" t="s">
        <v>234</v>
      </c>
      <c r="C93" s="725" t="s">
        <v>274</v>
      </c>
      <c r="D93" s="733" t="s">
        <v>799</v>
      </c>
      <c r="E93" s="725" t="s">
        <v>948</v>
      </c>
    </row>
    <row r="94" spans="1:5" ht="16.5" customHeight="1">
      <c r="A94" s="724" t="s">
        <v>235</v>
      </c>
      <c r="B94" s="666" t="s">
        <v>236</v>
      </c>
      <c r="C94" s="725" t="s">
        <v>275</v>
      </c>
      <c r="D94" s="733" t="s">
        <v>799</v>
      </c>
      <c r="E94" s="725" t="s">
        <v>948</v>
      </c>
    </row>
    <row r="95" spans="1:5" ht="16.5" customHeight="1">
      <c r="A95" s="724" t="s">
        <v>237</v>
      </c>
      <c r="B95" s="666" t="s">
        <v>238</v>
      </c>
      <c r="C95" s="725" t="s">
        <v>273</v>
      </c>
      <c r="D95" s="733" t="s">
        <v>799</v>
      </c>
      <c r="E95" s="725" t="s">
        <v>948</v>
      </c>
    </row>
    <row r="96" spans="1:5" ht="16.5" customHeight="1">
      <c r="A96" s="724" t="s">
        <v>243</v>
      </c>
      <c r="B96" s="666" t="s">
        <v>244</v>
      </c>
      <c r="C96" s="725" t="s">
        <v>275</v>
      </c>
      <c r="D96" s="733" t="s">
        <v>799</v>
      </c>
      <c r="E96" s="725" t="s">
        <v>948</v>
      </c>
    </row>
    <row r="97" spans="1:5" ht="16.5" customHeight="1">
      <c r="A97" s="724" t="s">
        <v>245</v>
      </c>
      <c r="B97" s="666" t="s">
        <v>246</v>
      </c>
      <c r="C97" s="725" t="s">
        <v>275</v>
      </c>
      <c r="D97" s="733" t="s">
        <v>799</v>
      </c>
      <c r="E97" s="725" t="s">
        <v>948</v>
      </c>
    </row>
    <row r="98" spans="1:5" ht="16.5" customHeight="1">
      <c r="A98" s="724" t="s">
        <v>247</v>
      </c>
      <c r="B98" s="666" t="s">
        <v>248</v>
      </c>
      <c r="C98" s="725" t="s">
        <v>271</v>
      </c>
      <c r="D98" s="733" t="s">
        <v>918</v>
      </c>
      <c r="E98" s="725" t="s">
        <v>949</v>
      </c>
    </row>
    <row r="99" spans="1:5" ht="16.5" customHeight="1">
      <c r="A99" s="724" t="s">
        <v>14</v>
      </c>
      <c r="B99" s="666" t="s">
        <v>15</v>
      </c>
      <c r="C99" s="725" t="s">
        <v>274</v>
      </c>
      <c r="D99" s="733" t="s">
        <v>917</v>
      </c>
      <c r="E99" s="725" t="s">
        <v>949</v>
      </c>
    </row>
    <row r="100" spans="1:5" ht="16.5" customHeight="1">
      <c r="A100" s="724" t="s">
        <v>35</v>
      </c>
      <c r="B100" s="666" t="s">
        <v>36</v>
      </c>
      <c r="C100" s="725" t="s">
        <v>275</v>
      </c>
      <c r="D100" s="733" t="s">
        <v>918</v>
      </c>
      <c r="E100" s="725" t="s">
        <v>949</v>
      </c>
    </row>
    <row r="101" spans="1:5" ht="16.5" customHeight="1">
      <c r="A101" s="724" t="s">
        <v>53</v>
      </c>
      <c r="B101" s="666" t="s">
        <v>54</v>
      </c>
      <c r="C101" s="725" t="s">
        <v>272</v>
      </c>
      <c r="D101" s="733" t="s">
        <v>800</v>
      </c>
      <c r="E101" s="725" t="s">
        <v>950</v>
      </c>
    </row>
    <row r="102" spans="1:5" ht="16.5" customHeight="1">
      <c r="A102" s="724" t="s">
        <v>55</v>
      </c>
      <c r="B102" s="666" t="s">
        <v>56</v>
      </c>
      <c r="C102" s="725" t="s">
        <v>271</v>
      </c>
      <c r="D102" s="733" t="s">
        <v>800</v>
      </c>
      <c r="E102" s="725" t="s">
        <v>950</v>
      </c>
    </row>
    <row r="103" spans="1:5" ht="16.5" customHeight="1">
      <c r="A103" s="724" t="s">
        <v>67</v>
      </c>
      <c r="B103" s="666" t="s">
        <v>68</v>
      </c>
      <c r="C103" s="725" t="s">
        <v>272</v>
      </c>
      <c r="D103" s="733" t="s">
        <v>800</v>
      </c>
      <c r="E103" s="725" t="s">
        <v>950</v>
      </c>
    </row>
    <row r="104" spans="1:5" ht="16.5" customHeight="1">
      <c r="A104" s="724" t="s">
        <v>83</v>
      </c>
      <c r="B104" s="666" t="s">
        <v>333</v>
      </c>
      <c r="C104" s="725" t="s">
        <v>271</v>
      </c>
      <c r="D104" s="733" t="s">
        <v>918</v>
      </c>
      <c r="E104" s="725" t="s">
        <v>949</v>
      </c>
    </row>
    <row r="105" spans="1:5" ht="16.5" customHeight="1">
      <c r="A105" s="724" t="s">
        <v>89</v>
      </c>
      <c r="B105" s="666" t="s">
        <v>90</v>
      </c>
      <c r="C105" s="725" t="s">
        <v>274</v>
      </c>
      <c r="D105" s="733" t="s">
        <v>917</v>
      </c>
      <c r="E105" s="725" t="s">
        <v>949</v>
      </c>
    </row>
    <row r="106" spans="1:5" ht="16.5" customHeight="1">
      <c r="A106" s="724" t="s">
        <v>91</v>
      </c>
      <c r="B106" s="666" t="s">
        <v>92</v>
      </c>
      <c r="C106" s="725" t="s">
        <v>275</v>
      </c>
      <c r="D106" s="733" t="s">
        <v>918</v>
      </c>
      <c r="E106" s="725" t="s">
        <v>949</v>
      </c>
    </row>
    <row r="107" spans="1:5" ht="16.5" customHeight="1">
      <c r="A107" s="724" t="s">
        <v>107</v>
      </c>
      <c r="B107" s="666" t="s">
        <v>108</v>
      </c>
      <c r="C107" s="725" t="s">
        <v>271</v>
      </c>
      <c r="D107" s="733" t="s">
        <v>800</v>
      </c>
      <c r="E107" s="725" t="s">
        <v>950</v>
      </c>
    </row>
    <row r="108" spans="1:5" ht="16.5" customHeight="1">
      <c r="A108" s="724" t="s">
        <v>117</v>
      </c>
      <c r="B108" s="666" t="s">
        <v>118</v>
      </c>
      <c r="C108" s="725" t="s">
        <v>273</v>
      </c>
      <c r="D108" s="733" t="s">
        <v>918</v>
      </c>
      <c r="E108" s="725" t="s">
        <v>949</v>
      </c>
    </row>
    <row r="109" spans="1:5" ht="16.5" customHeight="1">
      <c r="A109" s="724" t="s">
        <v>139</v>
      </c>
      <c r="B109" s="666" t="s">
        <v>140</v>
      </c>
      <c r="C109" s="725" t="s">
        <v>272</v>
      </c>
      <c r="D109" s="733" t="s">
        <v>800</v>
      </c>
      <c r="E109" s="725" t="s">
        <v>950</v>
      </c>
    </row>
    <row r="110" spans="1:5" ht="16.5" customHeight="1">
      <c r="A110" s="724" t="s">
        <v>143</v>
      </c>
      <c r="B110" s="666" t="s">
        <v>144</v>
      </c>
      <c r="C110" s="725" t="s">
        <v>274</v>
      </c>
      <c r="D110" s="733" t="s">
        <v>917</v>
      </c>
      <c r="E110" s="725" t="s">
        <v>949</v>
      </c>
    </row>
    <row r="111" spans="1:5" ht="16.5" customHeight="1">
      <c r="A111" s="724" t="s">
        <v>145</v>
      </c>
      <c r="B111" s="666" t="s">
        <v>146</v>
      </c>
      <c r="C111" s="725" t="s">
        <v>274</v>
      </c>
      <c r="D111" s="733" t="s">
        <v>919</v>
      </c>
      <c r="E111" s="725" t="s">
        <v>949</v>
      </c>
    </row>
    <row r="112" spans="1:5" ht="16.5" customHeight="1">
      <c r="A112" s="724" t="s">
        <v>159</v>
      </c>
      <c r="B112" s="666" t="s">
        <v>160</v>
      </c>
      <c r="C112" s="725" t="s">
        <v>271</v>
      </c>
      <c r="D112" s="733" t="s">
        <v>800</v>
      </c>
      <c r="E112" s="725" t="s">
        <v>950</v>
      </c>
    </row>
    <row r="113" spans="1:5" ht="16.5" customHeight="1">
      <c r="A113" s="724" t="s">
        <v>161</v>
      </c>
      <c r="B113" s="666" t="s">
        <v>162</v>
      </c>
      <c r="C113" s="725" t="s">
        <v>271</v>
      </c>
      <c r="D113" s="733" t="s">
        <v>800</v>
      </c>
      <c r="E113" s="725" t="s">
        <v>950</v>
      </c>
    </row>
    <row r="114" spans="1:5" ht="16.5" customHeight="1">
      <c r="A114" s="724" t="s">
        <v>167</v>
      </c>
      <c r="B114" s="666" t="s">
        <v>168</v>
      </c>
      <c r="C114" s="725" t="s">
        <v>275</v>
      </c>
      <c r="D114" s="733" t="s">
        <v>799</v>
      </c>
      <c r="E114" s="725" t="s">
        <v>948</v>
      </c>
    </row>
    <row r="115" spans="1:5" ht="16.5" customHeight="1">
      <c r="A115" s="724" t="s">
        <v>177</v>
      </c>
      <c r="B115" s="666" t="s">
        <v>178</v>
      </c>
      <c r="C115" s="725" t="s">
        <v>273</v>
      </c>
      <c r="D115" s="733" t="s">
        <v>918</v>
      </c>
      <c r="E115" s="725" t="s">
        <v>949</v>
      </c>
    </row>
    <row r="116" spans="1:5" ht="16.5" customHeight="1">
      <c r="A116" s="724" t="s">
        <v>181</v>
      </c>
      <c r="B116" s="666" t="s">
        <v>182</v>
      </c>
      <c r="C116" s="725" t="s">
        <v>271</v>
      </c>
      <c r="D116" s="733" t="s">
        <v>800</v>
      </c>
      <c r="E116" s="725" t="s">
        <v>950</v>
      </c>
    </row>
    <row r="117" spans="1:5" ht="16.5" customHeight="1">
      <c r="A117" s="724" t="s">
        <v>193</v>
      </c>
      <c r="B117" s="666" t="s">
        <v>194</v>
      </c>
      <c r="C117" s="725" t="s">
        <v>275</v>
      </c>
      <c r="D117" s="733" t="s">
        <v>799</v>
      </c>
      <c r="E117" s="725" t="s">
        <v>948</v>
      </c>
    </row>
    <row r="118" spans="1:5" ht="16.5" customHeight="1">
      <c r="A118" s="724" t="s">
        <v>197</v>
      </c>
      <c r="B118" s="666" t="s">
        <v>334</v>
      </c>
      <c r="C118" s="725" t="s">
        <v>273</v>
      </c>
      <c r="D118" s="733" t="s">
        <v>800</v>
      </c>
      <c r="E118" s="725" t="s">
        <v>950</v>
      </c>
    </row>
    <row r="119" spans="1:5" ht="16.5" customHeight="1">
      <c r="A119" s="724" t="s">
        <v>201</v>
      </c>
      <c r="B119" s="666" t="s">
        <v>335</v>
      </c>
      <c r="C119" s="725" t="s">
        <v>272</v>
      </c>
      <c r="D119" s="733" t="s">
        <v>800</v>
      </c>
      <c r="E119" s="725" t="s">
        <v>950</v>
      </c>
    </row>
    <row r="120" spans="1:5" ht="16.5" customHeight="1">
      <c r="A120" s="724" t="s">
        <v>223</v>
      </c>
      <c r="B120" s="666" t="s">
        <v>224</v>
      </c>
      <c r="C120" s="725" t="s">
        <v>271</v>
      </c>
      <c r="D120" s="733" t="s">
        <v>917</v>
      </c>
      <c r="E120" s="725" t="s">
        <v>949</v>
      </c>
    </row>
    <row r="121" spans="1:5" ht="16.5" customHeight="1">
      <c r="A121" s="724" t="s">
        <v>231</v>
      </c>
      <c r="B121" s="666" t="s">
        <v>232</v>
      </c>
      <c r="C121" s="725" t="s">
        <v>271</v>
      </c>
      <c r="D121" s="733" t="s">
        <v>800</v>
      </c>
      <c r="E121" s="725" t="s">
        <v>950</v>
      </c>
    </row>
    <row r="122" spans="1:5" ht="16.5" customHeight="1">
      <c r="A122" s="724" t="s">
        <v>239</v>
      </c>
      <c r="B122" s="666" t="s">
        <v>240</v>
      </c>
      <c r="C122" s="725" t="s">
        <v>271</v>
      </c>
      <c r="D122" s="733" t="s">
        <v>917</v>
      </c>
      <c r="E122" s="725" t="s">
        <v>949</v>
      </c>
    </row>
    <row r="123" spans="1:5" ht="16.5" customHeight="1">
      <c r="A123" s="724" t="s">
        <v>241</v>
      </c>
      <c r="B123" s="666" t="s">
        <v>242</v>
      </c>
      <c r="C123" s="725" t="s">
        <v>274</v>
      </c>
      <c r="D123" s="733" t="s">
        <v>800</v>
      </c>
      <c r="E123" s="725" t="s">
        <v>950</v>
      </c>
    </row>
    <row r="125" spans="1:5">
      <c r="C125" s="727" t="s">
        <v>801</v>
      </c>
      <c r="D125" s="734">
        <f>COUNTIF(D4:D123,"ND")</f>
        <v>34</v>
      </c>
    </row>
    <row r="126" spans="1:5">
      <c r="C126" s="727" t="s">
        <v>802</v>
      </c>
      <c r="D126" s="734">
        <f>COUNTIF(D3:D123,"JW")</f>
        <v>25</v>
      </c>
    </row>
    <row r="127" spans="1:5">
      <c r="C127" s="727" t="s">
        <v>920</v>
      </c>
      <c r="D127" s="734">
        <f>COUNTIF(D3:D123,"P")</f>
        <v>47</v>
      </c>
    </row>
    <row r="128" spans="1:5">
      <c r="C128" s="729" t="s">
        <v>922</v>
      </c>
      <c r="D128" s="734">
        <f>COUNTIF(D3:D123,"PC")</f>
        <v>4</v>
      </c>
    </row>
    <row r="129" spans="1:4">
      <c r="C129" s="727" t="s">
        <v>921</v>
      </c>
      <c r="D129" s="734">
        <f>COUNTIF(D3:D123,"PCC")</f>
        <v>10</v>
      </c>
    </row>
    <row r="130" spans="1:4">
      <c r="D130" s="734"/>
    </row>
    <row r="131" spans="1:4">
      <c r="D131" s="734"/>
    </row>
    <row r="133" spans="1:4">
      <c r="A133" s="728" t="s">
        <v>874</v>
      </c>
    </row>
    <row r="135" spans="1:4" s="542" customFormat="1">
      <c r="A135" s="542" t="s">
        <v>249</v>
      </c>
    </row>
    <row r="136" spans="1:4" s="542" customFormat="1">
      <c r="A136" s="543" t="s">
        <v>250</v>
      </c>
      <c r="B136" s="544" t="s">
        <v>251</v>
      </c>
    </row>
  </sheetData>
  <autoFilter ref="A3:E3"/>
  <mergeCells count="1">
    <mergeCell ref="A1:D1"/>
  </mergeCells>
  <hyperlinks>
    <hyperlink ref="B136" r:id="rId1"/>
  </hyperlinks>
  <pageMargins left="0.7" right="0.7" top="0.75" bottom="0.75" header="0.3" footer="0.3"/>
  <pageSetup orientation="portrait" r:id="rId2"/>
</worksheet>
</file>

<file path=xl/worksheets/sheet30.xml><?xml version="1.0" encoding="utf-8"?>
<worksheet xmlns="http://schemas.openxmlformats.org/spreadsheetml/2006/main" xmlns:r="http://schemas.openxmlformats.org/officeDocument/2006/relationships">
  <dimension ref="A1:IV130"/>
  <sheetViews>
    <sheetView zoomScale="106" zoomScaleNormal="106" workbookViewId="0">
      <pane ySplit="5" topLeftCell="A105" activePane="bottomLeft" state="frozen"/>
      <selection pane="bottomLeft" activeCell="A127" sqref="A127"/>
    </sheetView>
  </sheetViews>
  <sheetFormatPr defaultRowHeight="15.75"/>
  <cols>
    <col min="1" max="1" width="9.5" style="280" customWidth="1"/>
    <col min="2" max="2" width="30.75" style="280" customWidth="1"/>
    <col min="3" max="3" width="16" style="280" customWidth="1"/>
    <col min="4" max="128" width="12.875" style="280" customWidth="1"/>
    <col min="129" max="16384" width="9" style="280"/>
  </cols>
  <sheetData>
    <row r="1" spans="1:256">
      <c r="A1" s="64" t="s">
        <v>1032</v>
      </c>
      <c r="D1" s="1118"/>
    </row>
    <row r="2" spans="1:256">
      <c r="F2" s="1118"/>
    </row>
    <row r="3" spans="1:256" ht="11.25" customHeight="1">
      <c r="D3" s="1118"/>
      <c r="E3" s="1118"/>
      <c r="F3" s="1118"/>
      <c r="G3" s="1118"/>
      <c r="H3" s="1118"/>
      <c r="I3" s="1233"/>
      <c r="J3" s="1233"/>
      <c r="K3" s="1233"/>
      <c r="L3" s="1233"/>
      <c r="M3" s="1233"/>
      <c r="N3" s="1233"/>
      <c r="O3" s="1233"/>
      <c r="P3" s="1233"/>
      <c r="Q3" s="1233"/>
      <c r="R3" s="1233"/>
      <c r="S3" s="1233"/>
      <c r="T3" s="1233"/>
      <c r="U3" s="1233"/>
      <c r="V3" s="1233"/>
      <c r="W3" s="1233"/>
      <c r="X3" s="1233"/>
      <c r="Y3" s="1233"/>
      <c r="Z3" s="1233"/>
      <c r="AA3" s="1233"/>
      <c r="AB3" s="1233"/>
      <c r="AC3" s="1233"/>
      <c r="AD3" s="1233"/>
      <c r="AE3" s="1233"/>
      <c r="AF3" s="1233"/>
      <c r="AG3" s="1233"/>
      <c r="AH3" s="1233"/>
      <c r="AI3" s="1233"/>
      <c r="AJ3" s="1233"/>
      <c r="AK3" s="1233"/>
      <c r="AL3" s="1233"/>
      <c r="AM3" s="1233"/>
      <c r="AN3" s="1233"/>
      <c r="AO3" s="1233"/>
      <c r="AP3" s="1233"/>
      <c r="AQ3" s="1233"/>
      <c r="AR3" s="1233"/>
      <c r="AS3" s="1233"/>
      <c r="AT3" s="1233"/>
      <c r="AU3" s="1233"/>
      <c r="AV3" s="1233"/>
      <c r="AW3" s="1233"/>
      <c r="AX3" s="1233"/>
      <c r="AY3" s="1233"/>
      <c r="AZ3" s="1233"/>
      <c r="BA3" s="1233"/>
      <c r="BB3" s="1233"/>
      <c r="BC3" s="1233"/>
      <c r="BD3" s="1233"/>
      <c r="BE3" s="1233"/>
      <c r="BF3" s="1233"/>
      <c r="BG3" s="1233"/>
      <c r="BH3" s="1233"/>
      <c r="BI3" s="1233"/>
      <c r="BJ3" s="1233"/>
      <c r="BK3" s="1233"/>
      <c r="BL3" s="1233"/>
      <c r="BM3" s="1233"/>
      <c r="BN3" s="1233"/>
      <c r="BO3" s="1233"/>
      <c r="BP3" s="1233"/>
      <c r="BQ3" s="1233"/>
      <c r="BR3" s="1233"/>
      <c r="BS3" s="1233"/>
      <c r="BT3" s="1233"/>
      <c r="BU3" s="1233"/>
      <c r="BV3" s="1233"/>
      <c r="BW3" s="1233"/>
      <c r="BX3" s="1233"/>
      <c r="BY3" s="1233"/>
      <c r="BZ3" s="1233"/>
      <c r="CA3" s="1233"/>
      <c r="CB3" s="1233"/>
      <c r="CC3" s="1233"/>
      <c r="CD3" s="1233"/>
      <c r="CE3" s="1233"/>
      <c r="CF3" s="1233"/>
      <c r="CG3" s="1233"/>
      <c r="CH3" s="1233"/>
      <c r="CI3" s="1233"/>
      <c r="CJ3" s="1233"/>
      <c r="CK3" s="1233"/>
      <c r="CL3" s="1233"/>
      <c r="CM3" s="1233"/>
      <c r="CN3" s="1233"/>
      <c r="CO3" s="1233"/>
      <c r="CP3" s="1233"/>
      <c r="CQ3" s="1233"/>
      <c r="CR3" s="1233"/>
      <c r="CS3" s="1233"/>
      <c r="CT3" s="1233"/>
      <c r="CU3" s="1233"/>
      <c r="CV3" s="1233"/>
      <c r="CW3" s="1233"/>
      <c r="CX3" s="1233"/>
      <c r="CY3" s="1233"/>
      <c r="CZ3" s="1233"/>
      <c r="DA3" s="1233"/>
      <c r="DB3" s="1233"/>
      <c r="DC3" s="1233"/>
      <c r="DD3" s="1233"/>
      <c r="DE3" s="1233"/>
      <c r="DF3" s="1233"/>
      <c r="DG3" s="1233"/>
      <c r="DH3" s="1233"/>
      <c r="DI3" s="1233"/>
      <c r="DJ3" s="1233"/>
      <c r="DK3" s="1233"/>
      <c r="DL3" s="1233"/>
      <c r="DM3" s="1233"/>
      <c r="DN3" s="1233"/>
      <c r="DO3" s="1233"/>
      <c r="DP3" s="1233"/>
      <c r="DQ3" s="1233"/>
      <c r="DR3" s="1233"/>
      <c r="DS3" s="1233"/>
      <c r="DT3" s="1233"/>
      <c r="DU3" s="1233"/>
      <c r="DV3" s="1233"/>
      <c r="DW3" s="1233"/>
      <c r="DX3" s="1233"/>
      <c r="DY3" s="1215"/>
      <c r="DZ3" s="1215"/>
      <c r="EA3" s="1215"/>
      <c r="EB3" s="1215"/>
      <c r="EC3" s="1215"/>
      <c r="ED3" s="1215"/>
      <c r="EE3" s="1215"/>
      <c r="EF3" s="1215"/>
      <c r="EG3" s="1215"/>
      <c r="EH3" s="1215"/>
      <c r="EI3" s="1215"/>
      <c r="EJ3" s="1215"/>
      <c r="EK3" s="1215"/>
      <c r="EL3" s="1215"/>
      <c r="EM3" s="1215"/>
      <c r="EN3" s="1215"/>
      <c r="EO3" s="1215"/>
      <c r="EP3" s="1215"/>
      <c r="EQ3" s="1215"/>
      <c r="ER3" s="1215"/>
      <c r="ES3" s="1215"/>
      <c r="ET3" s="1215"/>
      <c r="EU3" s="1215"/>
      <c r="EV3" s="1215"/>
      <c r="EW3" s="1215"/>
      <c r="EX3" s="1215"/>
      <c r="EY3" s="1215"/>
      <c r="EZ3" s="1215"/>
      <c r="FA3" s="1215"/>
      <c r="FB3" s="1215"/>
      <c r="FC3" s="1215"/>
      <c r="FD3" s="1215"/>
      <c r="FE3" s="1215"/>
      <c r="FF3" s="1215"/>
      <c r="FG3" s="1215"/>
      <c r="FH3" s="1215"/>
      <c r="FI3" s="1215"/>
      <c r="FJ3" s="1215"/>
      <c r="FK3" s="1215"/>
      <c r="FL3" s="1215"/>
      <c r="FM3" s="1215"/>
      <c r="FN3" s="1215"/>
      <c r="FO3" s="1215"/>
      <c r="FP3" s="1215"/>
      <c r="FQ3" s="1215"/>
      <c r="FR3" s="1215"/>
      <c r="FS3" s="1215"/>
      <c r="FT3" s="1215"/>
      <c r="FU3" s="1215"/>
      <c r="FV3" s="1215"/>
      <c r="FW3" s="1215"/>
      <c r="FX3" s="1215"/>
      <c r="FY3" s="1215"/>
      <c r="FZ3" s="1215"/>
      <c r="GA3" s="1215"/>
      <c r="GB3" s="1215"/>
      <c r="GC3" s="1215"/>
      <c r="GD3" s="1215"/>
      <c r="GE3" s="1215"/>
      <c r="GF3" s="1215"/>
      <c r="GG3" s="1215"/>
      <c r="GH3" s="1215"/>
      <c r="GI3" s="1215"/>
      <c r="GJ3" s="1215"/>
      <c r="GK3" s="1215"/>
      <c r="GL3" s="1215"/>
      <c r="GM3" s="1215"/>
      <c r="GN3" s="1215"/>
      <c r="GO3" s="1215"/>
      <c r="GP3" s="1215"/>
      <c r="GQ3" s="1215"/>
      <c r="GR3" s="1215"/>
      <c r="GS3" s="1215"/>
      <c r="GT3" s="1215"/>
      <c r="GU3" s="1215"/>
      <c r="GV3" s="1215"/>
      <c r="GW3" s="1215"/>
      <c r="GX3" s="1215"/>
      <c r="GY3" s="1215"/>
      <c r="GZ3" s="1215"/>
      <c r="HA3" s="1215"/>
      <c r="HB3" s="1215"/>
      <c r="HC3" s="1215"/>
      <c r="HD3" s="1215"/>
      <c r="HE3" s="1215"/>
      <c r="HF3" s="1215"/>
      <c r="HG3" s="1215"/>
      <c r="HH3" s="1215"/>
      <c r="HI3" s="1215"/>
      <c r="HJ3" s="1215"/>
      <c r="HK3" s="1215"/>
      <c r="HL3" s="1215"/>
      <c r="HM3" s="1215"/>
      <c r="HN3" s="1215"/>
      <c r="HO3" s="1215"/>
      <c r="HP3" s="1215"/>
      <c r="HQ3" s="1215"/>
      <c r="HR3" s="1215"/>
      <c r="HS3" s="1215"/>
      <c r="HT3" s="1215"/>
      <c r="HU3" s="1215"/>
      <c r="HV3" s="1215"/>
      <c r="HW3" s="1215"/>
      <c r="HX3" s="1215"/>
      <c r="HY3" s="1215"/>
      <c r="HZ3" s="1215"/>
      <c r="IA3" s="1215"/>
      <c r="IB3" s="1215"/>
      <c r="IC3" s="1215"/>
      <c r="ID3" s="1215"/>
      <c r="IE3" s="1215"/>
      <c r="IF3" s="1215"/>
      <c r="IG3" s="1215"/>
      <c r="IH3" s="1215"/>
      <c r="II3" s="1215"/>
      <c r="IJ3" s="1215"/>
      <c r="IK3" s="1215"/>
      <c r="IL3" s="1215"/>
      <c r="IM3" s="1215"/>
      <c r="IN3" s="1215"/>
      <c r="IO3" s="1215"/>
      <c r="IP3" s="1215"/>
      <c r="IQ3" s="1215"/>
      <c r="IR3" s="1215"/>
      <c r="IS3" s="1215"/>
      <c r="IT3" s="1215"/>
      <c r="IU3" s="1215"/>
      <c r="IV3" s="1215"/>
    </row>
    <row r="4" spans="1:256" ht="34.5" customHeight="1">
      <c r="A4" s="1255" t="s">
        <v>4</v>
      </c>
      <c r="B4" s="1256" t="s">
        <v>5</v>
      </c>
      <c r="C4" s="1256" t="s">
        <v>252</v>
      </c>
      <c r="D4" s="1250" t="s">
        <v>496</v>
      </c>
      <c r="E4" s="1250" t="s">
        <v>337</v>
      </c>
      <c r="F4" s="1250" t="s">
        <v>497</v>
      </c>
      <c r="G4" s="1250" t="s">
        <v>338</v>
      </c>
      <c r="H4" s="1257" t="s">
        <v>538</v>
      </c>
      <c r="I4" s="1250" t="s">
        <v>377</v>
      </c>
      <c r="J4" s="1250" t="s">
        <v>378</v>
      </c>
      <c r="K4" s="1250" t="s">
        <v>379</v>
      </c>
      <c r="L4" s="1250" t="s">
        <v>380</v>
      </c>
      <c r="M4" s="1250" t="s">
        <v>381</v>
      </c>
      <c r="N4" s="1250" t="s">
        <v>382</v>
      </c>
      <c r="O4" s="1250" t="s">
        <v>383</v>
      </c>
      <c r="P4" s="1250" t="s">
        <v>384</v>
      </c>
      <c r="Q4" s="1250" t="s">
        <v>385</v>
      </c>
      <c r="R4" s="1250" t="s">
        <v>386</v>
      </c>
      <c r="S4" s="1250" t="s">
        <v>387</v>
      </c>
      <c r="T4" s="1250" t="s">
        <v>388</v>
      </c>
      <c r="U4" s="1250" t="s">
        <v>389</v>
      </c>
      <c r="V4" s="1250" t="s">
        <v>390</v>
      </c>
      <c r="W4" s="1250" t="s">
        <v>391</v>
      </c>
      <c r="X4" s="1250" t="s">
        <v>392</v>
      </c>
      <c r="Y4" s="1250" t="s">
        <v>393</v>
      </c>
      <c r="Z4" s="1250" t="s">
        <v>394</v>
      </c>
      <c r="AA4" s="1250" t="s">
        <v>395</v>
      </c>
      <c r="AB4" s="1250" t="s">
        <v>396</v>
      </c>
      <c r="AC4" s="1250" t="s">
        <v>397</v>
      </c>
      <c r="AD4" s="1250" t="s">
        <v>398</v>
      </c>
      <c r="AE4" s="1250" t="s">
        <v>399</v>
      </c>
      <c r="AF4" s="1250" t="s">
        <v>400</v>
      </c>
      <c r="AG4" s="1250" t="s">
        <v>1033</v>
      </c>
      <c r="AH4" s="1250" t="s">
        <v>401</v>
      </c>
      <c r="AI4" s="1250" t="s">
        <v>402</v>
      </c>
      <c r="AJ4" s="1250" t="s">
        <v>403</v>
      </c>
      <c r="AK4" s="1250" t="s">
        <v>404</v>
      </c>
      <c r="AL4" s="1250" t="s">
        <v>405</v>
      </c>
      <c r="AM4" s="1250" t="s">
        <v>406</v>
      </c>
      <c r="AN4" s="1250" t="s">
        <v>407</v>
      </c>
      <c r="AO4" s="1250" t="s">
        <v>408</v>
      </c>
      <c r="AP4" s="1250" t="s">
        <v>409</v>
      </c>
      <c r="AQ4" s="1250" t="s">
        <v>410</v>
      </c>
      <c r="AR4" s="1250" t="s">
        <v>411</v>
      </c>
      <c r="AS4" s="1250" t="s">
        <v>412</v>
      </c>
      <c r="AT4" s="1250" t="s">
        <v>413</v>
      </c>
      <c r="AU4" s="1250" t="s">
        <v>414</v>
      </c>
      <c r="AV4" s="1250" t="s">
        <v>415</v>
      </c>
      <c r="AW4" s="1250" t="s">
        <v>416</v>
      </c>
      <c r="AX4" s="1250" t="s">
        <v>417</v>
      </c>
      <c r="AY4" s="1250" t="s">
        <v>418</v>
      </c>
      <c r="AZ4" s="1250" t="s">
        <v>419</v>
      </c>
      <c r="BA4" s="1250" t="s">
        <v>420</v>
      </c>
      <c r="BB4" s="1250" t="s">
        <v>421</v>
      </c>
      <c r="BC4" s="1250" t="s">
        <v>422</v>
      </c>
      <c r="BD4" s="1250" t="s">
        <v>423</v>
      </c>
      <c r="BE4" s="1250" t="s">
        <v>424</v>
      </c>
      <c r="BF4" s="1250" t="s">
        <v>425</v>
      </c>
      <c r="BG4" s="1250" t="s">
        <v>426</v>
      </c>
      <c r="BH4" s="1250" t="s">
        <v>427</v>
      </c>
      <c r="BI4" s="1250" t="s">
        <v>428</v>
      </c>
      <c r="BJ4" s="1250" t="s">
        <v>429</v>
      </c>
      <c r="BK4" s="1250" t="s">
        <v>430</v>
      </c>
      <c r="BL4" s="1250" t="s">
        <v>431</v>
      </c>
      <c r="BM4" s="1250" t="s">
        <v>432</v>
      </c>
      <c r="BN4" s="1250" t="s">
        <v>433</v>
      </c>
      <c r="BO4" s="1250" t="s">
        <v>434</v>
      </c>
      <c r="BP4" s="1250" t="s">
        <v>435</v>
      </c>
      <c r="BQ4" s="1250" t="s">
        <v>436</v>
      </c>
      <c r="BR4" s="1250" t="s">
        <v>437</v>
      </c>
      <c r="BS4" s="1250" t="s">
        <v>438</v>
      </c>
      <c r="BT4" s="1250" t="s">
        <v>439</v>
      </c>
      <c r="BU4" s="1250" t="s">
        <v>440</v>
      </c>
      <c r="BV4" s="1250" t="s">
        <v>441</v>
      </c>
      <c r="BW4" s="1250" t="s">
        <v>442</v>
      </c>
      <c r="BX4" s="1250" t="s">
        <v>443</v>
      </c>
      <c r="BY4" s="1250" t="s">
        <v>444</v>
      </c>
      <c r="BZ4" s="1250" t="s">
        <v>445</v>
      </c>
      <c r="CA4" s="1250" t="s">
        <v>446</v>
      </c>
      <c r="CB4" s="1250" t="s">
        <v>447</v>
      </c>
      <c r="CC4" s="1250" t="s">
        <v>448</v>
      </c>
      <c r="CD4" s="1250" t="s">
        <v>449</v>
      </c>
      <c r="CE4" s="1250" t="s">
        <v>450</v>
      </c>
      <c r="CF4" s="1250" t="s">
        <v>451</v>
      </c>
      <c r="CG4" s="1250" t="s">
        <v>452</v>
      </c>
      <c r="CH4" s="1250" t="s">
        <v>453</v>
      </c>
      <c r="CI4" s="1250" t="s">
        <v>454</v>
      </c>
      <c r="CJ4" s="1250" t="s">
        <v>455</v>
      </c>
      <c r="CK4" s="1250" t="s">
        <v>456</v>
      </c>
      <c r="CL4" s="1250" t="s">
        <v>457</v>
      </c>
      <c r="CM4" s="1250" t="s">
        <v>458</v>
      </c>
      <c r="CN4" s="1250" t="s">
        <v>459</v>
      </c>
      <c r="CO4" s="1250" t="s">
        <v>460</v>
      </c>
      <c r="CP4" s="1250" t="s">
        <v>461</v>
      </c>
      <c r="CQ4" s="1250" t="s">
        <v>462</v>
      </c>
      <c r="CR4" s="1250" t="s">
        <v>463</v>
      </c>
      <c r="CS4" s="1250" t="s">
        <v>464</v>
      </c>
      <c r="CT4" s="1250" t="s">
        <v>465</v>
      </c>
      <c r="CU4" s="1250" t="s">
        <v>466</v>
      </c>
      <c r="CV4" s="1250" t="s">
        <v>467</v>
      </c>
      <c r="CW4" s="1250" t="s">
        <v>468</v>
      </c>
      <c r="CX4" s="1250" t="s">
        <v>469</v>
      </c>
      <c r="CY4" s="1250" t="s">
        <v>470</v>
      </c>
      <c r="CZ4" s="1250" t="s">
        <v>471</v>
      </c>
      <c r="DA4" s="1250" t="s">
        <v>472</v>
      </c>
      <c r="DB4" s="1250" t="s">
        <v>473</v>
      </c>
      <c r="DC4" s="1250" t="s">
        <v>474</v>
      </c>
      <c r="DD4" s="1250" t="s">
        <v>475</v>
      </c>
      <c r="DE4" s="1250" t="s">
        <v>476</v>
      </c>
      <c r="DF4" s="1250" t="s">
        <v>477</v>
      </c>
      <c r="DG4" s="1250" t="s">
        <v>478</v>
      </c>
      <c r="DH4" s="1250" t="s">
        <v>479</v>
      </c>
      <c r="DI4" s="1250" t="s">
        <v>480</v>
      </c>
      <c r="DJ4" s="1250" t="s">
        <v>481</v>
      </c>
      <c r="DK4" s="1250" t="s">
        <v>482</v>
      </c>
      <c r="DL4" s="1250" t="s">
        <v>483</v>
      </c>
      <c r="DM4" s="1250" t="s">
        <v>484</v>
      </c>
      <c r="DN4" s="1250" t="s">
        <v>485</v>
      </c>
      <c r="DO4" s="1250" t="s">
        <v>486</v>
      </c>
      <c r="DP4" s="1250" t="s">
        <v>487</v>
      </c>
      <c r="DQ4" s="1250" t="s">
        <v>488</v>
      </c>
      <c r="DR4" s="1250" t="s">
        <v>489</v>
      </c>
      <c r="DS4" s="1250" t="s">
        <v>490</v>
      </c>
      <c r="DT4" s="1250" t="s">
        <v>491</v>
      </c>
      <c r="DU4" s="1250" t="s">
        <v>492</v>
      </c>
      <c r="DV4" s="1250" t="s">
        <v>493</v>
      </c>
      <c r="DW4" s="1250" t="s">
        <v>494</v>
      </c>
      <c r="DX4" s="1250" t="s">
        <v>495</v>
      </c>
    </row>
    <row r="5" spans="1:256">
      <c r="A5" s="1258">
        <v>999</v>
      </c>
      <c r="B5" s="1259" t="s">
        <v>9</v>
      </c>
      <c r="C5" s="1259"/>
      <c r="D5" s="1260">
        <f t="shared" ref="D5:AI5" si="0">SUM(D6:D125)</f>
        <v>78504138.289999992</v>
      </c>
      <c r="E5" s="1260">
        <f t="shared" si="0"/>
        <v>25975653.420000002</v>
      </c>
      <c r="F5" s="1260">
        <f t="shared" si="0"/>
        <v>22191805.769999992</v>
      </c>
      <c r="G5" s="1260">
        <f t="shared" si="0"/>
        <v>8063259.2999999989</v>
      </c>
      <c r="H5" s="1260">
        <f t="shared" si="0"/>
        <v>14128546.469999993</v>
      </c>
      <c r="I5" s="1261">
        <f t="shared" si="0"/>
        <v>0</v>
      </c>
      <c r="J5" s="1261">
        <f t="shared" si="0"/>
        <v>0</v>
      </c>
      <c r="K5" s="1261">
        <f t="shared" si="0"/>
        <v>14753.84</v>
      </c>
      <c r="L5" s="1261">
        <f t="shared" si="0"/>
        <v>0</v>
      </c>
      <c r="M5" s="1261">
        <f t="shared" si="0"/>
        <v>3676.96</v>
      </c>
      <c r="N5" s="1261">
        <f t="shared" si="0"/>
        <v>18430.8</v>
      </c>
      <c r="O5" s="1261">
        <f t="shared" si="0"/>
        <v>-547.21999999999991</v>
      </c>
      <c r="P5" s="1261">
        <f t="shared" si="0"/>
        <v>0</v>
      </c>
      <c r="Q5" s="1261">
        <f t="shared" si="0"/>
        <v>0</v>
      </c>
      <c r="R5" s="1261">
        <f t="shared" si="0"/>
        <v>-136.79999999999998</v>
      </c>
      <c r="S5" s="1261">
        <f t="shared" si="0"/>
        <v>255514.12</v>
      </c>
      <c r="T5" s="1261">
        <f t="shared" si="0"/>
        <v>254830.09999999998</v>
      </c>
      <c r="U5" s="1261">
        <f t="shared" si="0"/>
        <v>854358.42999999993</v>
      </c>
      <c r="V5" s="1261">
        <f t="shared" si="0"/>
        <v>0</v>
      </c>
      <c r="W5" s="1261">
        <f t="shared" si="0"/>
        <v>5085.9000000000024</v>
      </c>
      <c r="X5" s="1261">
        <f t="shared" si="0"/>
        <v>157650.01000000004</v>
      </c>
      <c r="Y5" s="1261">
        <f t="shared" si="0"/>
        <v>301.74000000000012</v>
      </c>
      <c r="Z5" s="1261">
        <f t="shared" si="0"/>
        <v>1017396.08</v>
      </c>
      <c r="AA5" s="1261">
        <f t="shared" si="0"/>
        <v>4535807.4300000016</v>
      </c>
      <c r="AB5" s="1261">
        <f t="shared" si="0"/>
        <v>0</v>
      </c>
      <c r="AC5" s="1261">
        <f t="shared" si="0"/>
        <v>0</v>
      </c>
      <c r="AD5" s="1261">
        <f t="shared" si="0"/>
        <v>1133952.02</v>
      </c>
      <c r="AE5" s="1261">
        <f t="shared" si="0"/>
        <v>3546572.0800000005</v>
      </c>
      <c r="AF5" s="1261">
        <f t="shared" si="0"/>
        <v>9216331.5300000012</v>
      </c>
      <c r="AG5" s="1261">
        <f t="shared" si="0"/>
        <v>277578</v>
      </c>
      <c r="AH5" s="1261">
        <f t="shared" si="0"/>
        <v>0</v>
      </c>
      <c r="AI5" s="1261">
        <f t="shared" si="0"/>
        <v>80666.62000000001</v>
      </c>
      <c r="AJ5" s="1261">
        <f t="shared" ref="AJ5:BO5" si="1">SUM(AJ6:AJ125)</f>
        <v>65713.77</v>
      </c>
      <c r="AK5" s="1261">
        <f t="shared" si="1"/>
        <v>631.77000000000021</v>
      </c>
      <c r="AL5" s="1261">
        <f t="shared" si="1"/>
        <v>424590.16</v>
      </c>
      <c r="AM5" s="1261">
        <f t="shared" si="1"/>
        <v>644070.97000000009</v>
      </c>
      <c r="AN5" s="1261">
        <f t="shared" si="1"/>
        <v>0</v>
      </c>
      <c r="AO5" s="1261">
        <f t="shared" si="1"/>
        <v>161017.70000000007</v>
      </c>
      <c r="AP5" s="1261">
        <f t="shared" si="1"/>
        <v>0</v>
      </c>
      <c r="AQ5" s="1261">
        <f t="shared" si="1"/>
        <v>-827.13999999999987</v>
      </c>
      <c r="AR5" s="1261">
        <f t="shared" si="1"/>
        <v>804261.5299999998</v>
      </c>
      <c r="AS5" s="1261">
        <f t="shared" si="1"/>
        <v>806933.13</v>
      </c>
      <c r="AT5" s="1261">
        <f t="shared" si="1"/>
        <v>0</v>
      </c>
      <c r="AU5" s="1261">
        <f t="shared" si="1"/>
        <v>201733.45</v>
      </c>
      <c r="AV5" s="1261">
        <f t="shared" si="1"/>
        <v>0</v>
      </c>
      <c r="AW5" s="1261">
        <f t="shared" si="1"/>
        <v>423.58</v>
      </c>
      <c r="AX5" s="1261">
        <f t="shared" si="1"/>
        <v>1009090.1599999998</v>
      </c>
      <c r="AY5" s="1261">
        <f t="shared" si="1"/>
        <v>0</v>
      </c>
      <c r="AZ5" s="1261">
        <f t="shared" si="1"/>
        <v>0</v>
      </c>
      <c r="BA5" s="1261">
        <f t="shared" si="1"/>
        <v>0</v>
      </c>
      <c r="BB5" s="1261">
        <f t="shared" si="1"/>
        <v>0</v>
      </c>
      <c r="BC5" s="1261">
        <f t="shared" si="1"/>
        <v>0</v>
      </c>
      <c r="BD5" s="1261">
        <f t="shared" si="1"/>
        <v>0</v>
      </c>
      <c r="BE5" s="1261">
        <f t="shared" si="1"/>
        <v>73833.95</v>
      </c>
      <c r="BF5" s="1261">
        <f t="shared" si="1"/>
        <v>0</v>
      </c>
      <c r="BG5" s="1261">
        <f t="shared" si="1"/>
        <v>133332.18000000002</v>
      </c>
      <c r="BH5" s="1261">
        <f t="shared" si="1"/>
        <v>0</v>
      </c>
      <c r="BI5" s="1261">
        <f t="shared" si="1"/>
        <v>193</v>
      </c>
      <c r="BJ5" s="1261">
        <f t="shared" si="1"/>
        <v>207359.13000000003</v>
      </c>
      <c r="BK5" s="1261">
        <f t="shared" si="1"/>
        <v>2604423.0299999998</v>
      </c>
      <c r="BL5" s="1261">
        <f t="shared" si="1"/>
        <v>0</v>
      </c>
      <c r="BM5" s="1261">
        <f t="shared" si="1"/>
        <v>329894.38000000006</v>
      </c>
      <c r="BN5" s="1261">
        <f t="shared" si="1"/>
        <v>538248.20000000007</v>
      </c>
      <c r="BO5" s="1261">
        <f t="shared" si="1"/>
        <v>21494.060000000016</v>
      </c>
      <c r="BP5" s="1261">
        <f t="shared" ref="BP5:CU5" si="2">SUM(BP6:BP125)</f>
        <v>3494059.67</v>
      </c>
      <c r="BQ5" s="1261">
        <f t="shared" si="2"/>
        <v>20130951.720000003</v>
      </c>
      <c r="BR5" s="1261">
        <f t="shared" si="2"/>
        <v>0</v>
      </c>
      <c r="BS5" s="1261">
        <f t="shared" si="2"/>
        <v>17391760.520000003</v>
      </c>
      <c r="BT5" s="1261">
        <f t="shared" si="2"/>
        <v>2739190.919999999</v>
      </c>
      <c r="BU5" s="1261">
        <f t="shared" si="2"/>
        <v>-17728.369999999984</v>
      </c>
      <c r="BV5" s="1261">
        <f t="shared" si="2"/>
        <v>40244174.789999999</v>
      </c>
      <c r="BW5" s="1261">
        <f t="shared" si="2"/>
        <v>7031186.1499999985</v>
      </c>
      <c r="BX5" s="1261">
        <f t="shared" si="2"/>
        <v>0</v>
      </c>
      <c r="BY5" s="1261">
        <f t="shared" si="2"/>
        <v>4464288.629999999</v>
      </c>
      <c r="BZ5" s="1261">
        <f t="shared" si="2"/>
        <v>2108638.9700000002</v>
      </c>
      <c r="CA5" s="1261">
        <f t="shared" si="2"/>
        <v>32608.590000000004</v>
      </c>
      <c r="CB5" s="1261">
        <f t="shared" si="2"/>
        <v>13636722.339999996</v>
      </c>
      <c r="CC5" s="1261">
        <f t="shared" si="2"/>
        <v>307726.91000000009</v>
      </c>
      <c r="CD5" s="1261">
        <f t="shared" si="2"/>
        <v>0</v>
      </c>
      <c r="CE5" s="1261">
        <f t="shared" si="2"/>
        <v>0</v>
      </c>
      <c r="CF5" s="1261">
        <f t="shared" si="2"/>
        <v>542347.23999999987</v>
      </c>
      <c r="CG5" s="1261">
        <f t="shared" si="2"/>
        <v>50884.540000000008</v>
      </c>
      <c r="CH5" s="1261">
        <f t="shared" si="2"/>
        <v>900958.69</v>
      </c>
      <c r="CI5" s="1261">
        <f t="shared" si="2"/>
        <v>5281.9</v>
      </c>
      <c r="CJ5" s="1261">
        <f t="shared" si="2"/>
        <v>0</v>
      </c>
      <c r="CK5" s="1261">
        <f t="shared" si="2"/>
        <v>0</v>
      </c>
      <c r="CL5" s="1261">
        <f t="shared" si="2"/>
        <v>16544.129999999997</v>
      </c>
      <c r="CM5" s="1261">
        <f t="shared" si="2"/>
        <v>1126.58</v>
      </c>
      <c r="CN5" s="1261">
        <f t="shared" si="2"/>
        <v>22952.609999999997</v>
      </c>
      <c r="CO5" s="1261">
        <f t="shared" si="2"/>
        <v>4349026.42</v>
      </c>
      <c r="CP5" s="1261">
        <f t="shared" si="2"/>
        <v>0</v>
      </c>
      <c r="CQ5" s="1261">
        <f t="shared" si="2"/>
        <v>0</v>
      </c>
      <c r="CR5" s="1261">
        <f t="shared" si="2"/>
        <v>0</v>
      </c>
      <c r="CS5" s="1261">
        <f t="shared" si="2"/>
        <v>36564.620000000003</v>
      </c>
      <c r="CT5" s="1261">
        <f t="shared" si="2"/>
        <v>4385591.04</v>
      </c>
      <c r="CU5" s="1261">
        <f t="shared" si="2"/>
        <v>3236889.98</v>
      </c>
      <c r="CV5" s="1261">
        <f t="shared" ref="CV5:DX5" si="3">SUM(CV6:CV125)</f>
        <v>0</v>
      </c>
      <c r="CW5" s="1261">
        <f t="shared" si="3"/>
        <v>2785098.4299999997</v>
      </c>
      <c r="CX5" s="1261">
        <f t="shared" si="3"/>
        <v>451791.52999999997</v>
      </c>
      <c r="CY5" s="1261">
        <f t="shared" si="3"/>
        <v>10254403.270000001</v>
      </c>
      <c r="CZ5" s="1261">
        <f t="shared" si="3"/>
        <v>16728183.210000001</v>
      </c>
      <c r="DA5" s="1261">
        <f t="shared" si="3"/>
        <v>32368351.039999995</v>
      </c>
      <c r="DB5" s="1261">
        <f t="shared" si="3"/>
        <v>0</v>
      </c>
      <c r="DC5" s="1261">
        <f t="shared" si="3"/>
        <v>0</v>
      </c>
      <c r="DD5" s="1261">
        <f t="shared" si="3"/>
        <v>0</v>
      </c>
      <c r="DE5" s="1261">
        <f t="shared" si="3"/>
        <v>-129327.28</v>
      </c>
      <c r="DF5" s="1261">
        <f t="shared" si="3"/>
        <v>32239023.759999998</v>
      </c>
      <c r="DG5" s="1261">
        <f t="shared" si="3"/>
        <v>585358.85000000021</v>
      </c>
      <c r="DH5" s="1261">
        <f t="shared" si="3"/>
        <v>0</v>
      </c>
      <c r="DI5" s="1261">
        <f t="shared" si="3"/>
        <v>403897.35999999993</v>
      </c>
      <c r="DJ5" s="1261">
        <f t="shared" si="3"/>
        <v>181461.21000000002</v>
      </c>
      <c r="DK5" s="1261">
        <f t="shared" si="3"/>
        <v>528.84000000000015</v>
      </c>
      <c r="DL5" s="1261">
        <f t="shared" si="3"/>
        <v>1171246.2600000002</v>
      </c>
      <c r="DM5" s="1261">
        <f t="shared" si="3"/>
        <v>692907.6</v>
      </c>
      <c r="DN5" s="1261">
        <f t="shared" si="3"/>
        <v>0</v>
      </c>
      <c r="DO5" s="1261">
        <f t="shared" si="3"/>
        <v>4124.4100000000008</v>
      </c>
      <c r="DP5" s="1261">
        <f t="shared" si="3"/>
        <v>127858.10000000005</v>
      </c>
      <c r="DQ5" s="1261">
        <f t="shared" si="3"/>
        <v>71505.510000000009</v>
      </c>
      <c r="DR5" s="1261">
        <f t="shared" si="3"/>
        <v>896395.62000000011</v>
      </c>
      <c r="DS5" s="1261">
        <f t="shared" si="3"/>
        <v>0</v>
      </c>
      <c r="DT5" s="1261">
        <f t="shared" si="3"/>
        <v>0</v>
      </c>
      <c r="DU5" s="1261">
        <f t="shared" si="3"/>
        <v>0</v>
      </c>
      <c r="DV5" s="1261">
        <f t="shared" si="3"/>
        <v>0</v>
      </c>
      <c r="DW5" s="1261">
        <f t="shared" si="3"/>
        <v>0</v>
      </c>
      <c r="DX5" s="1261">
        <f t="shared" si="3"/>
        <v>0</v>
      </c>
    </row>
    <row r="6" spans="1:256" ht="15" customHeight="1">
      <c r="A6" s="1251" t="s">
        <v>10</v>
      </c>
      <c r="B6" s="1234" t="s">
        <v>11</v>
      </c>
      <c r="C6" s="1466" t="s">
        <v>271</v>
      </c>
      <c r="D6" s="1235">
        <f>+I6+J6+O6+P6+U6+V6+AA6+AB6+AG6+AH6+AM6+AN6+AS6+AT6+AY6+AZ6+BE6+BF6+BK6+BL6+BQ6+BR6+BW6+BX6+CC6+CD6+CI6+CJ6+CO6+CP6+CU6+CV6+DA6+DB6+DG6+DH6+DM6+DN6+DS6+DT6</f>
        <v>153140.44999999998</v>
      </c>
      <c r="E6" s="1236">
        <f t="shared" ref="E6:E69" si="4">+K6+Q6+W6+AC6+AI6+AO6+AU6+BA6+BG6+BM6+BS6+BY6+CE6+CK6+CQ6+CW6+DC6+DI6+DO6+DU6</f>
        <v>21998.02</v>
      </c>
      <c r="F6" s="1237">
        <f>+G6+H6</f>
        <v>24472.89</v>
      </c>
      <c r="G6" s="1238">
        <f>+L6+R6+X6+AD6+AJ6+AP6+AV6+BB6+BH6+BN6+BT6+BZ6+CF6+CL6+CR6+CX6+DD6+DJ6+DP6+DV6</f>
        <v>14294.660000000002</v>
      </c>
      <c r="H6" s="1237">
        <f>+M6+S6+Y6+AE6+AK6+AQ6+AW6+BC6+BI6+BO6+BU6+CA6+CG6+CM6+CS6+CY6+DE6+DK6+DQ6+DW6</f>
        <v>10178.229999999998</v>
      </c>
      <c r="I6" s="1244"/>
      <c r="J6" s="1245"/>
      <c r="K6" s="1245"/>
      <c r="L6" s="1245"/>
      <c r="M6" s="1245"/>
      <c r="N6" s="1246"/>
      <c r="O6" s="1252">
        <v>-220</v>
      </c>
      <c r="P6" s="1253">
        <v>0</v>
      </c>
      <c r="Q6" s="1253">
        <v>0</v>
      </c>
      <c r="R6" s="1253">
        <v>-55</v>
      </c>
      <c r="S6" s="1253">
        <v>10178.31</v>
      </c>
      <c r="T6" s="1254">
        <v>9903.31</v>
      </c>
      <c r="U6" s="1252">
        <v>2162.16</v>
      </c>
      <c r="V6" s="1253">
        <v>0</v>
      </c>
      <c r="W6" s="1253">
        <v>12.88</v>
      </c>
      <c r="X6" s="1253">
        <v>398.98</v>
      </c>
      <c r="Y6" s="1253">
        <v>-0.02</v>
      </c>
      <c r="Z6" s="1254">
        <v>2574</v>
      </c>
      <c r="AA6" s="1252">
        <v>25584.14</v>
      </c>
      <c r="AB6" s="1253">
        <v>0</v>
      </c>
      <c r="AC6" s="1253">
        <v>0</v>
      </c>
      <c r="AD6" s="1253">
        <v>6396.03</v>
      </c>
      <c r="AE6" s="1253">
        <v>0</v>
      </c>
      <c r="AF6" s="1254">
        <v>31980.17</v>
      </c>
      <c r="AG6" s="1244"/>
      <c r="AH6" s="1245"/>
      <c r="AI6" s="1245"/>
      <c r="AJ6" s="1245"/>
      <c r="AK6" s="1245"/>
      <c r="AL6" s="1246"/>
      <c r="AM6" s="1244"/>
      <c r="AN6" s="1245"/>
      <c r="AO6" s="1245"/>
      <c r="AP6" s="1245"/>
      <c r="AQ6" s="1245"/>
      <c r="AR6" s="1246"/>
      <c r="AS6" s="1252">
        <v>113.78</v>
      </c>
      <c r="AT6" s="1253">
        <v>0</v>
      </c>
      <c r="AU6" s="1253">
        <v>28.45</v>
      </c>
      <c r="AV6" s="1253">
        <v>0</v>
      </c>
      <c r="AW6" s="1253">
        <v>0</v>
      </c>
      <c r="AX6" s="1254">
        <v>142.22999999999999</v>
      </c>
      <c r="AY6" s="1244"/>
      <c r="AZ6" s="1245"/>
      <c r="BA6" s="1245"/>
      <c r="BB6" s="1245"/>
      <c r="BC6" s="1245"/>
      <c r="BD6" s="1246"/>
      <c r="BE6" s="1244"/>
      <c r="BF6" s="1245"/>
      <c r="BG6" s="1245"/>
      <c r="BH6" s="1245"/>
      <c r="BI6" s="1245"/>
      <c r="BJ6" s="1246"/>
      <c r="BK6" s="1244"/>
      <c r="BL6" s="1245"/>
      <c r="BM6" s="1245"/>
      <c r="BN6" s="1245"/>
      <c r="BO6" s="1245"/>
      <c r="BP6" s="1246"/>
      <c r="BQ6" s="1252">
        <v>17003</v>
      </c>
      <c r="BR6" s="1253">
        <v>0</v>
      </c>
      <c r="BS6" s="1253">
        <v>14266.1</v>
      </c>
      <c r="BT6" s="1253">
        <v>2736.9</v>
      </c>
      <c r="BU6" s="1253">
        <v>0</v>
      </c>
      <c r="BV6" s="1254">
        <v>34006</v>
      </c>
      <c r="BW6" s="1252">
        <v>5974.61</v>
      </c>
      <c r="BX6" s="1253">
        <v>0</v>
      </c>
      <c r="BY6" s="1253">
        <v>4105.58</v>
      </c>
      <c r="BZ6" s="1253">
        <v>1849.03</v>
      </c>
      <c r="CA6" s="1253">
        <v>-0.02</v>
      </c>
      <c r="CB6" s="1254">
        <v>11929.2</v>
      </c>
      <c r="CC6" s="1252">
        <v>158.25</v>
      </c>
      <c r="CD6" s="1253">
        <v>0</v>
      </c>
      <c r="CE6" s="1253">
        <v>0</v>
      </c>
      <c r="CF6" s="1253">
        <v>278.92</v>
      </c>
      <c r="CG6" s="1253">
        <v>0</v>
      </c>
      <c r="CH6" s="1254">
        <v>437.17</v>
      </c>
      <c r="CI6" s="1244"/>
      <c r="CJ6" s="1245"/>
      <c r="CK6" s="1245"/>
      <c r="CL6" s="1245"/>
      <c r="CM6" s="1245"/>
      <c r="CN6" s="1246"/>
      <c r="CO6" s="1252">
        <v>17141</v>
      </c>
      <c r="CP6" s="1253">
        <v>0</v>
      </c>
      <c r="CQ6" s="1253">
        <v>0</v>
      </c>
      <c r="CR6" s="1253">
        <v>0</v>
      </c>
      <c r="CS6" s="1253">
        <v>0</v>
      </c>
      <c r="CT6" s="1254">
        <v>17141</v>
      </c>
      <c r="CU6" s="1244"/>
      <c r="CV6" s="1245"/>
      <c r="CW6" s="1245"/>
      <c r="CX6" s="1245"/>
      <c r="CY6" s="1245"/>
      <c r="CZ6" s="1246"/>
      <c r="DA6" s="1252">
        <v>74144.800000000003</v>
      </c>
      <c r="DB6" s="1253">
        <v>0</v>
      </c>
      <c r="DC6" s="1253">
        <v>0</v>
      </c>
      <c r="DD6" s="1253">
        <v>0</v>
      </c>
      <c r="DE6" s="1253">
        <v>0</v>
      </c>
      <c r="DF6" s="1254">
        <v>74144.800000000003</v>
      </c>
      <c r="DG6" s="1252">
        <v>5144.46</v>
      </c>
      <c r="DH6" s="1253">
        <v>0</v>
      </c>
      <c r="DI6" s="1253">
        <v>3549.67</v>
      </c>
      <c r="DJ6" s="1253">
        <v>1594.77</v>
      </c>
      <c r="DK6" s="1253">
        <v>0</v>
      </c>
      <c r="DL6" s="1254">
        <v>10288.9</v>
      </c>
      <c r="DM6" s="1252">
        <v>5934.25</v>
      </c>
      <c r="DN6" s="1253">
        <v>0</v>
      </c>
      <c r="DO6" s="1253">
        <v>35.340000000000003</v>
      </c>
      <c r="DP6" s="1253">
        <v>1095.03</v>
      </c>
      <c r="DQ6" s="1253">
        <v>-0.04</v>
      </c>
      <c r="DR6" s="1254">
        <v>7064.58</v>
      </c>
      <c r="DS6" s="1244"/>
      <c r="DT6" s="1245"/>
      <c r="DU6" s="1245"/>
      <c r="DV6" s="1245"/>
      <c r="DW6" s="1245"/>
      <c r="DX6" s="1246"/>
    </row>
    <row r="7" spans="1:256" ht="15" customHeight="1">
      <c r="A7" s="1092" t="s">
        <v>12</v>
      </c>
      <c r="B7" s="1239" t="s">
        <v>13</v>
      </c>
      <c r="C7" s="1467" t="s">
        <v>272</v>
      </c>
      <c r="D7" s="1240">
        <f t="shared" ref="D7:D70" si="5">+I7+J7+O7+P7+U7+V7+AA7+AB7+AG7+AH7+AM7+AN7+AS7+AT7+AY7+AZ7+BE7+BF7+BK7+BL7+BQ7+BR7+BW7+BX7+CC7+CD7+CI7+CJ7+CO7+CP7+CU7+CV7+DA7+DB7+DG7+DH7+DM7+DN7+DS7+DT7</f>
        <v>573670.55000000005</v>
      </c>
      <c r="E7" s="1241">
        <f t="shared" si="4"/>
        <v>97243.209999999992</v>
      </c>
      <c r="F7" s="1242">
        <f t="shared" ref="F7:F70" si="6">+G7+H7</f>
        <v>61308.770000000004</v>
      </c>
      <c r="G7" s="1243">
        <f t="shared" ref="G7:H69" si="7">+L7+R7+X7+AD7+AJ7+AP7+AV7+BB7+BH7+BN7+BT7+BZ7+CF7+CL7+CR7+CX7+DD7+DJ7+DP7+DV7</f>
        <v>35503.32</v>
      </c>
      <c r="H7" s="1242">
        <f t="shared" si="7"/>
        <v>25805.450000000004</v>
      </c>
      <c r="I7" s="1244"/>
      <c r="J7" s="1245"/>
      <c r="K7" s="1245"/>
      <c r="L7" s="1245"/>
      <c r="M7" s="1245"/>
      <c r="N7" s="1246"/>
      <c r="O7" s="1244"/>
      <c r="P7" s="1245"/>
      <c r="Q7" s="1245"/>
      <c r="R7" s="1245"/>
      <c r="S7" s="1245"/>
      <c r="T7" s="1246"/>
      <c r="U7" s="1247">
        <v>7490.69</v>
      </c>
      <c r="V7" s="1248">
        <v>0</v>
      </c>
      <c r="W7" s="1248">
        <v>44.59</v>
      </c>
      <c r="X7" s="1248">
        <v>1382.2</v>
      </c>
      <c r="Y7" s="1248">
        <v>0</v>
      </c>
      <c r="Z7" s="1249">
        <v>8917.48</v>
      </c>
      <c r="AA7" s="1247">
        <v>32281.599999999999</v>
      </c>
      <c r="AB7" s="1248">
        <v>0</v>
      </c>
      <c r="AC7" s="1248">
        <v>0</v>
      </c>
      <c r="AD7" s="1248">
        <v>8070.4</v>
      </c>
      <c r="AE7" s="1248">
        <v>61264.79</v>
      </c>
      <c r="AF7" s="1249">
        <v>101616.79</v>
      </c>
      <c r="AG7" s="1244"/>
      <c r="AH7" s="1245"/>
      <c r="AI7" s="1245"/>
      <c r="AJ7" s="1245"/>
      <c r="AK7" s="1245"/>
      <c r="AL7" s="1246"/>
      <c r="AM7" s="1247">
        <v>16785.62</v>
      </c>
      <c r="AN7" s="1248">
        <v>0</v>
      </c>
      <c r="AO7" s="1248">
        <v>4196.38</v>
      </c>
      <c r="AP7" s="1248">
        <v>0</v>
      </c>
      <c r="AQ7" s="1248">
        <v>881.71</v>
      </c>
      <c r="AR7" s="1249">
        <v>21863.71</v>
      </c>
      <c r="AS7" s="1247">
        <v>16037.77</v>
      </c>
      <c r="AT7" s="1248">
        <v>0</v>
      </c>
      <c r="AU7" s="1248">
        <v>4009.47</v>
      </c>
      <c r="AV7" s="1248">
        <v>0</v>
      </c>
      <c r="AW7" s="1248">
        <v>0</v>
      </c>
      <c r="AX7" s="1249">
        <v>20047.240000000002</v>
      </c>
      <c r="AY7" s="1244"/>
      <c r="AZ7" s="1245"/>
      <c r="BA7" s="1245"/>
      <c r="BB7" s="1245"/>
      <c r="BC7" s="1245"/>
      <c r="BD7" s="1246"/>
      <c r="BE7" s="1247">
        <v>1210.68</v>
      </c>
      <c r="BF7" s="1248">
        <v>0</v>
      </c>
      <c r="BG7" s="1248">
        <v>2186.3200000000002</v>
      </c>
      <c r="BH7" s="1248">
        <v>0</v>
      </c>
      <c r="BI7" s="1248">
        <v>13</v>
      </c>
      <c r="BJ7" s="1249">
        <v>3410</v>
      </c>
      <c r="BK7" s="1244"/>
      <c r="BL7" s="1245"/>
      <c r="BM7" s="1245"/>
      <c r="BN7" s="1245"/>
      <c r="BO7" s="1245"/>
      <c r="BP7" s="1246"/>
      <c r="BQ7" s="1247">
        <v>66087.03</v>
      </c>
      <c r="BR7" s="1248">
        <v>0</v>
      </c>
      <c r="BS7" s="1248">
        <v>53905.81</v>
      </c>
      <c r="BT7" s="1248">
        <v>12181.22</v>
      </c>
      <c r="BU7" s="1248">
        <v>22780.19</v>
      </c>
      <c r="BV7" s="1249">
        <v>154954.25</v>
      </c>
      <c r="BW7" s="1247">
        <v>29440.77</v>
      </c>
      <c r="BX7" s="1248">
        <v>0</v>
      </c>
      <c r="BY7" s="1248">
        <v>20314.11</v>
      </c>
      <c r="BZ7" s="1248">
        <v>9126.64</v>
      </c>
      <c r="CA7" s="1248">
        <v>1297.94</v>
      </c>
      <c r="CB7" s="1249">
        <v>60179.46</v>
      </c>
      <c r="CC7" s="1244"/>
      <c r="CD7" s="1245"/>
      <c r="CE7" s="1245"/>
      <c r="CF7" s="1245"/>
      <c r="CG7" s="1245"/>
      <c r="CH7" s="1246"/>
      <c r="CI7" s="1244"/>
      <c r="CJ7" s="1245"/>
      <c r="CK7" s="1245"/>
      <c r="CL7" s="1245"/>
      <c r="CM7" s="1245"/>
      <c r="CN7" s="1246"/>
      <c r="CO7" s="1244"/>
      <c r="CP7" s="1245"/>
      <c r="CQ7" s="1245"/>
      <c r="CR7" s="1245"/>
      <c r="CS7" s="1245"/>
      <c r="CT7" s="1246"/>
      <c r="CU7" s="1247">
        <v>4766</v>
      </c>
      <c r="CV7" s="1248">
        <v>0</v>
      </c>
      <c r="CW7" s="1248">
        <v>3917.8</v>
      </c>
      <c r="CX7" s="1248">
        <v>848.2</v>
      </c>
      <c r="CY7" s="1248">
        <v>0</v>
      </c>
      <c r="CZ7" s="1249">
        <v>9532</v>
      </c>
      <c r="DA7" s="1247">
        <v>387007</v>
      </c>
      <c r="DB7" s="1248">
        <v>0</v>
      </c>
      <c r="DC7" s="1248">
        <v>0</v>
      </c>
      <c r="DD7" s="1248">
        <v>0</v>
      </c>
      <c r="DE7" s="1248">
        <v>-60432.18</v>
      </c>
      <c r="DF7" s="1249">
        <v>326574.82</v>
      </c>
      <c r="DG7" s="1247">
        <v>12563.39</v>
      </c>
      <c r="DH7" s="1248">
        <v>0</v>
      </c>
      <c r="DI7" s="1248">
        <v>8668.73</v>
      </c>
      <c r="DJ7" s="1248">
        <v>3894.66</v>
      </c>
      <c r="DK7" s="1248">
        <v>0</v>
      </c>
      <c r="DL7" s="1249">
        <v>25126.78</v>
      </c>
      <c r="DM7" s="1244"/>
      <c r="DN7" s="1245"/>
      <c r="DO7" s="1245"/>
      <c r="DP7" s="1245"/>
      <c r="DQ7" s="1245"/>
      <c r="DR7" s="1246"/>
      <c r="DS7" s="1244"/>
      <c r="DT7" s="1245"/>
      <c r="DU7" s="1245"/>
      <c r="DV7" s="1245"/>
      <c r="DW7" s="1245"/>
      <c r="DX7" s="1246"/>
    </row>
    <row r="8" spans="1:256" ht="15" customHeight="1">
      <c r="A8" s="1092" t="s">
        <v>16</v>
      </c>
      <c r="B8" s="1239" t="s">
        <v>307</v>
      </c>
      <c r="C8" s="1467" t="s">
        <v>272</v>
      </c>
      <c r="D8" s="1240">
        <f t="shared" si="5"/>
        <v>173620.58000000002</v>
      </c>
      <c r="E8" s="1241">
        <f t="shared" si="4"/>
        <v>37367.33</v>
      </c>
      <c r="F8" s="1242">
        <f t="shared" si="6"/>
        <v>28956.519999999997</v>
      </c>
      <c r="G8" s="1243">
        <f t="shared" si="7"/>
        <v>28956.589999999997</v>
      </c>
      <c r="H8" s="1242">
        <f t="shared" si="7"/>
        <v>-7.0000000000000007E-2</v>
      </c>
      <c r="I8" s="1244"/>
      <c r="J8" s="1245"/>
      <c r="K8" s="1245"/>
      <c r="L8" s="1245"/>
      <c r="M8" s="1245"/>
      <c r="N8" s="1246"/>
      <c r="O8" s="1244"/>
      <c r="P8" s="1245"/>
      <c r="Q8" s="1245"/>
      <c r="R8" s="1245"/>
      <c r="S8" s="1245"/>
      <c r="T8" s="1246"/>
      <c r="U8" s="1247">
        <v>5126.05</v>
      </c>
      <c r="V8" s="1248">
        <v>0</v>
      </c>
      <c r="W8" s="1248">
        <v>30.53</v>
      </c>
      <c r="X8" s="1248">
        <v>945.89999999999986</v>
      </c>
      <c r="Y8" s="1248">
        <v>-0.03</v>
      </c>
      <c r="Z8" s="1249">
        <v>6102.4500000000007</v>
      </c>
      <c r="AA8" s="1247">
        <v>45248.44</v>
      </c>
      <c r="AB8" s="1248">
        <v>0</v>
      </c>
      <c r="AC8" s="1248">
        <v>0</v>
      </c>
      <c r="AD8" s="1248">
        <v>11312.03</v>
      </c>
      <c r="AE8" s="1248">
        <v>0</v>
      </c>
      <c r="AF8" s="1249">
        <v>56560.47</v>
      </c>
      <c r="AG8" s="1244"/>
      <c r="AH8" s="1245"/>
      <c r="AI8" s="1245"/>
      <c r="AJ8" s="1245"/>
      <c r="AK8" s="1245"/>
      <c r="AL8" s="1246"/>
      <c r="AM8" s="1247">
        <v>2689.83</v>
      </c>
      <c r="AN8" s="1248">
        <v>0</v>
      </c>
      <c r="AO8" s="1248">
        <v>672.44</v>
      </c>
      <c r="AP8" s="1248">
        <v>0</v>
      </c>
      <c r="AQ8" s="1248">
        <v>0</v>
      </c>
      <c r="AR8" s="1249">
        <v>3362.27</v>
      </c>
      <c r="AS8" s="1247">
        <v>3771.18</v>
      </c>
      <c r="AT8" s="1248">
        <v>0</v>
      </c>
      <c r="AU8" s="1248">
        <v>942.8</v>
      </c>
      <c r="AV8" s="1248">
        <v>0</v>
      </c>
      <c r="AW8" s="1248">
        <v>0</v>
      </c>
      <c r="AX8" s="1249">
        <v>4713.9799999999996</v>
      </c>
      <c r="AY8" s="1244"/>
      <c r="AZ8" s="1245"/>
      <c r="BA8" s="1245"/>
      <c r="BB8" s="1245"/>
      <c r="BC8" s="1245"/>
      <c r="BD8" s="1246"/>
      <c r="BE8" s="1244"/>
      <c r="BF8" s="1245"/>
      <c r="BG8" s="1245"/>
      <c r="BH8" s="1245"/>
      <c r="BI8" s="1245"/>
      <c r="BJ8" s="1246"/>
      <c r="BK8" s="1247">
        <v>5376.08</v>
      </c>
      <c r="BL8" s="1248">
        <v>0</v>
      </c>
      <c r="BM8" s="1248">
        <v>681</v>
      </c>
      <c r="BN8" s="1248">
        <v>1111.0900000000001</v>
      </c>
      <c r="BO8" s="1248">
        <v>-7.0000000000000007E-2</v>
      </c>
      <c r="BP8" s="1249">
        <v>7168.1</v>
      </c>
      <c r="BQ8" s="1247">
        <v>22328.2</v>
      </c>
      <c r="BR8" s="1248">
        <v>0</v>
      </c>
      <c r="BS8" s="1248">
        <v>18967.060000000001</v>
      </c>
      <c r="BT8" s="1248">
        <v>3361.14</v>
      </c>
      <c r="BU8" s="1248">
        <v>0</v>
      </c>
      <c r="BV8" s="1249">
        <v>44656.4</v>
      </c>
      <c r="BW8" s="1247">
        <v>22061.56</v>
      </c>
      <c r="BX8" s="1248">
        <v>0</v>
      </c>
      <c r="BY8" s="1248">
        <v>9008.49</v>
      </c>
      <c r="BZ8" s="1248">
        <v>5699.23</v>
      </c>
      <c r="CA8" s="1248">
        <v>0</v>
      </c>
      <c r="CB8" s="1249">
        <v>36769.279999999999</v>
      </c>
      <c r="CC8" s="1247">
        <v>485.46</v>
      </c>
      <c r="CD8" s="1248">
        <v>0</v>
      </c>
      <c r="CE8" s="1248">
        <v>0</v>
      </c>
      <c r="CF8" s="1248">
        <v>855.61</v>
      </c>
      <c r="CG8" s="1248">
        <v>0</v>
      </c>
      <c r="CH8" s="1249">
        <v>1341.07</v>
      </c>
      <c r="CI8" s="1244"/>
      <c r="CJ8" s="1245"/>
      <c r="CK8" s="1245"/>
      <c r="CL8" s="1245"/>
      <c r="CM8" s="1245"/>
      <c r="CN8" s="1246"/>
      <c r="CO8" s="1247">
        <v>-875</v>
      </c>
      <c r="CP8" s="1248">
        <v>0</v>
      </c>
      <c r="CQ8" s="1248">
        <v>0</v>
      </c>
      <c r="CR8" s="1248">
        <v>0</v>
      </c>
      <c r="CS8" s="1248">
        <v>0</v>
      </c>
      <c r="CT8" s="1249">
        <v>-875</v>
      </c>
      <c r="CU8" s="1244"/>
      <c r="CV8" s="1245"/>
      <c r="CW8" s="1245"/>
      <c r="CX8" s="1245"/>
      <c r="CY8" s="1245"/>
      <c r="CZ8" s="1246"/>
      <c r="DA8" s="1247">
        <v>43554.400000000001</v>
      </c>
      <c r="DB8" s="1248">
        <v>0</v>
      </c>
      <c r="DC8" s="1248">
        <v>0</v>
      </c>
      <c r="DD8" s="1248">
        <v>0</v>
      </c>
      <c r="DE8" s="1248">
        <v>0</v>
      </c>
      <c r="DF8" s="1249">
        <v>43554.400000000001</v>
      </c>
      <c r="DG8" s="1247">
        <v>10120.73</v>
      </c>
      <c r="DH8" s="1248">
        <v>0</v>
      </c>
      <c r="DI8" s="1248">
        <v>6983.3</v>
      </c>
      <c r="DJ8" s="1248">
        <v>3137.42</v>
      </c>
      <c r="DK8" s="1248">
        <v>-0.02</v>
      </c>
      <c r="DL8" s="1249">
        <v>20241.43</v>
      </c>
      <c r="DM8" s="1247">
        <v>13733.65</v>
      </c>
      <c r="DN8" s="1248">
        <v>0</v>
      </c>
      <c r="DO8" s="1248">
        <v>81.710000000000008</v>
      </c>
      <c r="DP8" s="1248">
        <v>2534.17</v>
      </c>
      <c r="DQ8" s="1248">
        <v>0.05</v>
      </c>
      <c r="DR8" s="1249">
        <v>16349.579999999998</v>
      </c>
      <c r="DS8" s="1244"/>
      <c r="DT8" s="1245"/>
      <c r="DU8" s="1245"/>
      <c r="DV8" s="1245"/>
      <c r="DW8" s="1245"/>
      <c r="DX8" s="1246"/>
    </row>
    <row r="9" spans="1:256" ht="15" customHeight="1">
      <c r="A9" s="1092" t="s">
        <v>18</v>
      </c>
      <c r="B9" s="1239" t="s">
        <v>19</v>
      </c>
      <c r="C9" s="1467" t="s">
        <v>273</v>
      </c>
      <c r="D9" s="1240">
        <f t="shared" si="5"/>
        <v>68241.340000000011</v>
      </c>
      <c r="E9" s="1241">
        <f t="shared" si="4"/>
        <v>30982.770000000004</v>
      </c>
      <c r="F9" s="1242">
        <f t="shared" si="6"/>
        <v>11830.050000000003</v>
      </c>
      <c r="G9" s="1243">
        <f t="shared" si="7"/>
        <v>11783.430000000002</v>
      </c>
      <c r="H9" s="1242">
        <f t="shared" si="7"/>
        <v>46.62</v>
      </c>
      <c r="I9" s="1244"/>
      <c r="J9" s="1245"/>
      <c r="K9" s="1245"/>
      <c r="L9" s="1245"/>
      <c r="M9" s="1245"/>
      <c r="N9" s="1246"/>
      <c r="O9" s="1247">
        <v>0</v>
      </c>
      <c r="P9" s="1248">
        <v>0</v>
      </c>
      <c r="Q9" s="1248">
        <v>0</v>
      </c>
      <c r="R9" s="1248">
        <v>0</v>
      </c>
      <c r="S9" s="1248">
        <v>46.68</v>
      </c>
      <c r="T9" s="1249">
        <v>46.68</v>
      </c>
      <c r="U9" s="1247">
        <v>1096.2</v>
      </c>
      <c r="V9" s="1248">
        <v>0</v>
      </c>
      <c r="W9" s="1248">
        <v>6.53</v>
      </c>
      <c r="X9" s="1248">
        <v>202.28</v>
      </c>
      <c r="Y9" s="1248">
        <v>-0.01</v>
      </c>
      <c r="Z9" s="1249">
        <v>1305</v>
      </c>
      <c r="AA9" s="1247">
        <v>8416.7900000000009</v>
      </c>
      <c r="AB9" s="1248">
        <v>0</v>
      </c>
      <c r="AC9" s="1248">
        <v>0</v>
      </c>
      <c r="AD9" s="1248">
        <v>2104.17</v>
      </c>
      <c r="AE9" s="1248">
        <v>0</v>
      </c>
      <c r="AF9" s="1249">
        <v>10520.96</v>
      </c>
      <c r="AG9" s="1244"/>
      <c r="AH9" s="1245"/>
      <c r="AI9" s="1245"/>
      <c r="AJ9" s="1245"/>
      <c r="AK9" s="1245"/>
      <c r="AL9" s="1246"/>
      <c r="AM9" s="1247">
        <v>4000</v>
      </c>
      <c r="AN9" s="1248">
        <v>0</v>
      </c>
      <c r="AO9" s="1248">
        <v>1000</v>
      </c>
      <c r="AP9" s="1248">
        <v>0</v>
      </c>
      <c r="AQ9" s="1248">
        <v>0</v>
      </c>
      <c r="AR9" s="1249">
        <v>5000</v>
      </c>
      <c r="AS9" s="1247">
        <v>843.04</v>
      </c>
      <c r="AT9" s="1248">
        <v>0</v>
      </c>
      <c r="AU9" s="1248">
        <v>210.76</v>
      </c>
      <c r="AV9" s="1248">
        <v>0</v>
      </c>
      <c r="AW9" s="1248">
        <v>0</v>
      </c>
      <c r="AX9" s="1249">
        <v>1053.8</v>
      </c>
      <c r="AY9" s="1244"/>
      <c r="AZ9" s="1245"/>
      <c r="BA9" s="1245"/>
      <c r="BB9" s="1245"/>
      <c r="BC9" s="1245"/>
      <c r="BD9" s="1246"/>
      <c r="BE9" s="1244"/>
      <c r="BF9" s="1245"/>
      <c r="BG9" s="1245"/>
      <c r="BH9" s="1245"/>
      <c r="BI9" s="1245"/>
      <c r="BJ9" s="1246"/>
      <c r="BK9" s="1247">
        <v>11002.45</v>
      </c>
      <c r="BL9" s="1248">
        <v>0</v>
      </c>
      <c r="BM9" s="1248">
        <v>1393.64</v>
      </c>
      <c r="BN9" s="1248">
        <v>2273.84</v>
      </c>
      <c r="BO9" s="1248">
        <v>-0.01</v>
      </c>
      <c r="BP9" s="1249">
        <v>14669.92</v>
      </c>
      <c r="BQ9" s="1247">
        <v>20544</v>
      </c>
      <c r="BR9" s="1248">
        <v>0</v>
      </c>
      <c r="BS9" s="1248">
        <v>17676.900000000001</v>
      </c>
      <c r="BT9" s="1248">
        <v>2867.1</v>
      </c>
      <c r="BU9" s="1248">
        <v>0</v>
      </c>
      <c r="BV9" s="1249">
        <v>41088</v>
      </c>
      <c r="BW9" s="1247">
        <v>8168.79</v>
      </c>
      <c r="BX9" s="1248">
        <v>0</v>
      </c>
      <c r="BY9" s="1248">
        <v>5431.64</v>
      </c>
      <c r="BZ9" s="1248">
        <v>2494.7399999999998</v>
      </c>
      <c r="CA9" s="1248">
        <v>-0.03</v>
      </c>
      <c r="CB9" s="1249">
        <v>16095.14</v>
      </c>
      <c r="CC9" s="1244"/>
      <c r="CD9" s="1245"/>
      <c r="CE9" s="1245"/>
      <c r="CF9" s="1245"/>
      <c r="CG9" s="1245"/>
      <c r="CH9" s="1246"/>
      <c r="CI9" s="1244"/>
      <c r="CJ9" s="1245"/>
      <c r="CK9" s="1245"/>
      <c r="CL9" s="1245"/>
      <c r="CM9" s="1245"/>
      <c r="CN9" s="1246"/>
      <c r="CO9" s="1247">
        <v>4664</v>
      </c>
      <c r="CP9" s="1248">
        <v>0</v>
      </c>
      <c r="CQ9" s="1248">
        <v>0</v>
      </c>
      <c r="CR9" s="1248">
        <v>0</v>
      </c>
      <c r="CS9" s="1248">
        <v>0</v>
      </c>
      <c r="CT9" s="1249">
        <v>4664</v>
      </c>
      <c r="CU9" s="1247">
        <v>2799</v>
      </c>
      <c r="CV9" s="1248">
        <v>0</v>
      </c>
      <c r="CW9" s="1248">
        <v>2411.4</v>
      </c>
      <c r="CX9" s="1248">
        <v>387.6</v>
      </c>
      <c r="CY9" s="1248">
        <v>0</v>
      </c>
      <c r="CZ9" s="1249">
        <v>5598</v>
      </c>
      <c r="DA9" s="1247">
        <v>1634</v>
      </c>
      <c r="DB9" s="1248">
        <v>0</v>
      </c>
      <c r="DC9" s="1248">
        <v>0</v>
      </c>
      <c r="DD9" s="1248">
        <v>0</v>
      </c>
      <c r="DE9" s="1248">
        <v>0</v>
      </c>
      <c r="DF9" s="1249">
        <v>1634</v>
      </c>
      <c r="DG9" s="1247">
        <v>4125</v>
      </c>
      <c r="DH9" s="1248">
        <v>0</v>
      </c>
      <c r="DI9" s="1248">
        <v>2846.26</v>
      </c>
      <c r="DJ9" s="1248">
        <v>1278.76</v>
      </c>
      <c r="DK9" s="1248">
        <v>-0.02</v>
      </c>
      <c r="DL9" s="1249">
        <v>8250</v>
      </c>
      <c r="DM9" s="1247">
        <v>948.07</v>
      </c>
      <c r="DN9" s="1248">
        <v>0</v>
      </c>
      <c r="DO9" s="1248">
        <v>5.64</v>
      </c>
      <c r="DP9" s="1248">
        <v>174.94</v>
      </c>
      <c r="DQ9" s="1248">
        <v>0.01</v>
      </c>
      <c r="DR9" s="1249">
        <v>1128.6600000000001</v>
      </c>
      <c r="DS9" s="1244"/>
      <c r="DT9" s="1245"/>
      <c r="DU9" s="1245"/>
      <c r="DV9" s="1245"/>
      <c r="DW9" s="1245"/>
      <c r="DX9" s="1246"/>
    </row>
    <row r="10" spans="1:256" ht="15" customHeight="1">
      <c r="A10" s="1092" t="s">
        <v>20</v>
      </c>
      <c r="B10" s="1239" t="s">
        <v>21</v>
      </c>
      <c r="C10" s="1467" t="s">
        <v>272</v>
      </c>
      <c r="D10" s="1240">
        <f t="shared" si="5"/>
        <v>214279.97999999998</v>
      </c>
      <c r="E10" s="1241">
        <f t="shared" si="4"/>
        <v>49189.100000000006</v>
      </c>
      <c r="F10" s="1242">
        <f t="shared" si="6"/>
        <v>20859.010000000002</v>
      </c>
      <c r="G10" s="1243">
        <f t="shared" si="7"/>
        <v>20859.18</v>
      </c>
      <c r="H10" s="1242">
        <f t="shared" si="7"/>
        <v>-0.17</v>
      </c>
      <c r="I10" s="1244"/>
      <c r="J10" s="1245"/>
      <c r="K10" s="1245"/>
      <c r="L10" s="1245"/>
      <c r="M10" s="1245"/>
      <c r="N10" s="1246"/>
      <c r="O10" s="1244"/>
      <c r="P10" s="1245"/>
      <c r="Q10" s="1245"/>
      <c r="R10" s="1245"/>
      <c r="S10" s="1245"/>
      <c r="T10" s="1246"/>
      <c r="U10" s="1247">
        <v>1429.95</v>
      </c>
      <c r="V10" s="1248">
        <v>0</v>
      </c>
      <c r="W10" s="1248">
        <v>8.51</v>
      </c>
      <c r="X10" s="1248">
        <v>263.87</v>
      </c>
      <c r="Y10" s="1248">
        <v>-0.01</v>
      </c>
      <c r="Z10" s="1249">
        <v>1702.32</v>
      </c>
      <c r="AA10" s="1247">
        <v>21779.19</v>
      </c>
      <c r="AB10" s="1248">
        <v>0</v>
      </c>
      <c r="AC10" s="1248">
        <v>0</v>
      </c>
      <c r="AD10" s="1248">
        <v>5444.81</v>
      </c>
      <c r="AE10" s="1248">
        <v>0</v>
      </c>
      <c r="AF10" s="1249">
        <v>27224</v>
      </c>
      <c r="AG10" s="1244"/>
      <c r="AH10" s="1245"/>
      <c r="AI10" s="1245"/>
      <c r="AJ10" s="1245"/>
      <c r="AK10" s="1245"/>
      <c r="AL10" s="1246"/>
      <c r="AM10" s="1244"/>
      <c r="AN10" s="1245"/>
      <c r="AO10" s="1245"/>
      <c r="AP10" s="1245"/>
      <c r="AQ10" s="1245"/>
      <c r="AR10" s="1246"/>
      <c r="AS10" s="1247">
        <v>1326.52</v>
      </c>
      <c r="AT10" s="1248">
        <v>0</v>
      </c>
      <c r="AU10" s="1248">
        <v>331.63</v>
      </c>
      <c r="AV10" s="1248">
        <v>0</v>
      </c>
      <c r="AW10" s="1248">
        <v>0</v>
      </c>
      <c r="AX10" s="1249">
        <v>1658.15</v>
      </c>
      <c r="AY10" s="1244"/>
      <c r="AZ10" s="1245"/>
      <c r="BA10" s="1245"/>
      <c r="BB10" s="1245"/>
      <c r="BC10" s="1245"/>
      <c r="BD10" s="1246"/>
      <c r="BE10" s="1247">
        <v>62.37</v>
      </c>
      <c r="BF10" s="1248">
        <v>0</v>
      </c>
      <c r="BG10" s="1248">
        <v>112.63</v>
      </c>
      <c r="BH10" s="1248">
        <v>0</v>
      </c>
      <c r="BI10" s="1248">
        <v>0</v>
      </c>
      <c r="BJ10" s="1249">
        <v>175</v>
      </c>
      <c r="BK10" s="1247">
        <v>11738.08</v>
      </c>
      <c r="BL10" s="1248">
        <v>0</v>
      </c>
      <c r="BM10" s="1248">
        <v>1486.83</v>
      </c>
      <c r="BN10" s="1248">
        <v>2425.88</v>
      </c>
      <c r="BO10" s="1248">
        <v>-0.04</v>
      </c>
      <c r="BP10" s="1249">
        <v>15650.75</v>
      </c>
      <c r="BQ10" s="1247">
        <v>34707.599999999999</v>
      </c>
      <c r="BR10" s="1248">
        <v>0</v>
      </c>
      <c r="BS10" s="1248">
        <v>28938.74</v>
      </c>
      <c r="BT10" s="1248">
        <v>5768.86</v>
      </c>
      <c r="BU10" s="1248">
        <v>0</v>
      </c>
      <c r="BV10" s="1249">
        <v>69415.199999999997</v>
      </c>
      <c r="BW10" s="1247">
        <v>15601.77</v>
      </c>
      <c r="BX10" s="1248">
        <v>0</v>
      </c>
      <c r="BY10" s="1248">
        <v>10755.45</v>
      </c>
      <c r="BZ10" s="1248">
        <v>4834.7700000000004</v>
      </c>
      <c r="CA10" s="1248">
        <v>-0.11</v>
      </c>
      <c r="CB10" s="1249">
        <v>31191.88</v>
      </c>
      <c r="CC10" s="1244"/>
      <c r="CD10" s="1245"/>
      <c r="CE10" s="1245"/>
      <c r="CF10" s="1245"/>
      <c r="CG10" s="1245"/>
      <c r="CH10" s="1246"/>
      <c r="CI10" s="1244"/>
      <c r="CJ10" s="1245"/>
      <c r="CK10" s="1245"/>
      <c r="CL10" s="1245"/>
      <c r="CM10" s="1245"/>
      <c r="CN10" s="1246"/>
      <c r="CO10" s="1247">
        <v>23892</v>
      </c>
      <c r="CP10" s="1248">
        <v>0</v>
      </c>
      <c r="CQ10" s="1248">
        <v>0</v>
      </c>
      <c r="CR10" s="1248">
        <v>0</v>
      </c>
      <c r="CS10" s="1248">
        <v>0</v>
      </c>
      <c r="CT10" s="1249">
        <v>23892</v>
      </c>
      <c r="CU10" s="1247">
        <v>7344.5</v>
      </c>
      <c r="CV10" s="1248">
        <v>0</v>
      </c>
      <c r="CW10" s="1248">
        <v>6062.5</v>
      </c>
      <c r="CX10" s="1248">
        <v>1282</v>
      </c>
      <c r="CY10" s="1248">
        <v>0</v>
      </c>
      <c r="CZ10" s="1249">
        <v>14689</v>
      </c>
      <c r="DA10" s="1247">
        <v>93317</v>
      </c>
      <c r="DB10" s="1248">
        <v>0</v>
      </c>
      <c r="DC10" s="1248">
        <v>0</v>
      </c>
      <c r="DD10" s="1248">
        <v>0</v>
      </c>
      <c r="DE10" s="1248">
        <v>0</v>
      </c>
      <c r="DF10" s="1249">
        <v>93317</v>
      </c>
      <c r="DG10" s="1247">
        <v>2155.5</v>
      </c>
      <c r="DH10" s="1248">
        <v>0</v>
      </c>
      <c r="DI10" s="1248">
        <v>1487.3</v>
      </c>
      <c r="DJ10" s="1248">
        <v>668.21</v>
      </c>
      <c r="DK10" s="1248">
        <v>-0.01</v>
      </c>
      <c r="DL10" s="1249">
        <v>4311</v>
      </c>
      <c r="DM10" s="1247">
        <v>925.5</v>
      </c>
      <c r="DN10" s="1248">
        <v>0</v>
      </c>
      <c r="DO10" s="1248">
        <v>5.51</v>
      </c>
      <c r="DP10" s="1248">
        <v>170.78</v>
      </c>
      <c r="DQ10" s="1248">
        <v>0</v>
      </c>
      <c r="DR10" s="1249">
        <v>1101.79</v>
      </c>
      <c r="DS10" s="1244"/>
      <c r="DT10" s="1245"/>
      <c r="DU10" s="1245"/>
      <c r="DV10" s="1245"/>
      <c r="DW10" s="1245"/>
      <c r="DX10" s="1246"/>
    </row>
    <row r="11" spans="1:256" ht="15" customHeight="1">
      <c r="A11" s="1092" t="s">
        <v>22</v>
      </c>
      <c r="B11" s="1239" t="s">
        <v>23</v>
      </c>
      <c r="C11" s="1467" t="s">
        <v>272</v>
      </c>
      <c r="D11" s="1240">
        <f t="shared" si="5"/>
        <v>87254.87</v>
      </c>
      <c r="E11" s="1241">
        <f t="shared" si="4"/>
        <v>27950.47</v>
      </c>
      <c r="F11" s="1242">
        <f t="shared" si="6"/>
        <v>13255.53</v>
      </c>
      <c r="G11" s="1243">
        <f t="shared" si="7"/>
        <v>13255.6</v>
      </c>
      <c r="H11" s="1242">
        <f t="shared" si="7"/>
        <v>-7.0000000000000007E-2</v>
      </c>
      <c r="I11" s="1244"/>
      <c r="J11" s="1245"/>
      <c r="K11" s="1245"/>
      <c r="L11" s="1245"/>
      <c r="M11" s="1245"/>
      <c r="N11" s="1246"/>
      <c r="O11" s="1244"/>
      <c r="P11" s="1245"/>
      <c r="Q11" s="1245"/>
      <c r="R11" s="1245"/>
      <c r="S11" s="1245"/>
      <c r="T11" s="1246"/>
      <c r="U11" s="1247">
        <v>516.57000000000005</v>
      </c>
      <c r="V11" s="1248">
        <v>0</v>
      </c>
      <c r="W11" s="1248">
        <v>3.08</v>
      </c>
      <c r="X11" s="1248">
        <v>95.33</v>
      </c>
      <c r="Y11" s="1248">
        <v>-0.01</v>
      </c>
      <c r="Z11" s="1249">
        <v>614.97</v>
      </c>
      <c r="AA11" s="1247">
        <v>4896.1000000000004</v>
      </c>
      <c r="AB11" s="1248">
        <v>0</v>
      </c>
      <c r="AC11" s="1248">
        <v>0</v>
      </c>
      <c r="AD11" s="1248">
        <v>1224.03</v>
      </c>
      <c r="AE11" s="1248">
        <v>0</v>
      </c>
      <c r="AF11" s="1249">
        <v>6120.13</v>
      </c>
      <c r="AG11" s="1244"/>
      <c r="AH11" s="1245"/>
      <c r="AI11" s="1245"/>
      <c r="AJ11" s="1245"/>
      <c r="AK11" s="1245"/>
      <c r="AL11" s="1246"/>
      <c r="AM11" s="1244"/>
      <c r="AN11" s="1245"/>
      <c r="AO11" s="1245"/>
      <c r="AP11" s="1245"/>
      <c r="AQ11" s="1245"/>
      <c r="AR11" s="1246"/>
      <c r="AS11" s="1247">
        <v>1419.02</v>
      </c>
      <c r="AT11" s="1248">
        <v>0</v>
      </c>
      <c r="AU11" s="1248">
        <v>354.75</v>
      </c>
      <c r="AV11" s="1248">
        <v>0</v>
      </c>
      <c r="AW11" s="1248">
        <v>0</v>
      </c>
      <c r="AX11" s="1249">
        <v>1773.77</v>
      </c>
      <c r="AY11" s="1244"/>
      <c r="AZ11" s="1245"/>
      <c r="BA11" s="1245"/>
      <c r="BB11" s="1245"/>
      <c r="BC11" s="1245"/>
      <c r="BD11" s="1246"/>
      <c r="BE11" s="1244"/>
      <c r="BF11" s="1245"/>
      <c r="BG11" s="1245"/>
      <c r="BH11" s="1245"/>
      <c r="BI11" s="1245"/>
      <c r="BJ11" s="1246"/>
      <c r="BK11" s="1247">
        <v>11091</v>
      </c>
      <c r="BL11" s="1248">
        <v>0</v>
      </c>
      <c r="BM11" s="1248">
        <v>1404.86</v>
      </c>
      <c r="BN11" s="1248">
        <v>2292.14</v>
      </c>
      <c r="BO11" s="1248">
        <v>0</v>
      </c>
      <c r="BP11" s="1249">
        <v>14788</v>
      </c>
      <c r="BQ11" s="1247">
        <v>11610.35</v>
      </c>
      <c r="BR11" s="1248">
        <v>0</v>
      </c>
      <c r="BS11" s="1248">
        <v>9511.3799999999992</v>
      </c>
      <c r="BT11" s="1248">
        <v>2098.9699999999998</v>
      </c>
      <c r="BU11" s="1248">
        <v>0</v>
      </c>
      <c r="BV11" s="1249">
        <v>23220.7</v>
      </c>
      <c r="BW11" s="1247">
        <v>20744.29</v>
      </c>
      <c r="BX11" s="1248">
        <v>0</v>
      </c>
      <c r="BY11" s="1248">
        <v>14114.79</v>
      </c>
      <c r="BZ11" s="1248">
        <v>6394.27</v>
      </c>
      <c r="CA11" s="1248">
        <v>-0.04</v>
      </c>
      <c r="CB11" s="1249">
        <v>41253.31</v>
      </c>
      <c r="CC11" s="1244"/>
      <c r="CD11" s="1245"/>
      <c r="CE11" s="1245"/>
      <c r="CF11" s="1245"/>
      <c r="CG11" s="1245"/>
      <c r="CH11" s="1246"/>
      <c r="CI11" s="1244"/>
      <c r="CJ11" s="1245"/>
      <c r="CK11" s="1245"/>
      <c r="CL11" s="1245"/>
      <c r="CM11" s="1245"/>
      <c r="CN11" s="1246"/>
      <c r="CO11" s="1244"/>
      <c r="CP11" s="1245"/>
      <c r="CQ11" s="1245"/>
      <c r="CR11" s="1245"/>
      <c r="CS11" s="1245"/>
      <c r="CT11" s="1246"/>
      <c r="CU11" s="1244"/>
      <c r="CV11" s="1245"/>
      <c r="CW11" s="1245"/>
      <c r="CX11" s="1245"/>
      <c r="CY11" s="1245"/>
      <c r="CZ11" s="1246"/>
      <c r="DA11" s="1247">
        <v>33265</v>
      </c>
      <c r="DB11" s="1248">
        <v>0</v>
      </c>
      <c r="DC11" s="1248">
        <v>0</v>
      </c>
      <c r="DD11" s="1248">
        <v>0</v>
      </c>
      <c r="DE11" s="1248">
        <v>0</v>
      </c>
      <c r="DF11" s="1249">
        <v>33265</v>
      </c>
      <c r="DG11" s="1247">
        <v>3712.54</v>
      </c>
      <c r="DH11" s="1248">
        <v>0</v>
      </c>
      <c r="DI11" s="1248">
        <v>2561.61</v>
      </c>
      <c r="DJ11" s="1248">
        <v>1150.8599999999999</v>
      </c>
      <c r="DK11" s="1248">
        <v>-0.02</v>
      </c>
      <c r="DL11" s="1249">
        <v>7424.99</v>
      </c>
      <c r="DM11" s="1244"/>
      <c r="DN11" s="1245"/>
      <c r="DO11" s="1245"/>
      <c r="DP11" s="1245"/>
      <c r="DQ11" s="1245"/>
      <c r="DR11" s="1246"/>
      <c r="DS11" s="1244"/>
      <c r="DT11" s="1245"/>
      <c r="DU11" s="1245"/>
      <c r="DV11" s="1245"/>
      <c r="DW11" s="1245"/>
      <c r="DX11" s="1246"/>
    </row>
    <row r="12" spans="1:256" ht="15" customHeight="1">
      <c r="A12" s="1092" t="s">
        <v>24</v>
      </c>
      <c r="B12" s="1239" t="s">
        <v>25</v>
      </c>
      <c r="C12" s="1467" t="s">
        <v>274</v>
      </c>
      <c r="D12" s="1240">
        <f t="shared" si="5"/>
        <v>2313306.4300000002</v>
      </c>
      <c r="E12" s="1241">
        <f t="shared" si="4"/>
        <v>471261.24000000005</v>
      </c>
      <c r="F12" s="1242">
        <f t="shared" si="6"/>
        <v>1156357.2099999997</v>
      </c>
      <c r="G12" s="1243">
        <f t="shared" si="7"/>
        <v>87674.4</v>
      </c>
      <c r="H12" s="1242">
        <f t="shared" si="7"/>
        <v>1068682.8099999998</v>
      </c>
      <c r="I12" s="1244"/>
      <c r="J12" s="1245"/>
      <c r="K12" s="1245"/>
      <c r="L12" s="1245"/>
      <c r="M12" s="1245"/>
      <c r="N12" s="1246"/>
      <c r="O12" s="1244"/>
      <c r="P12" s="1245"/>
      <c r="Q12" s="1245"/>
      <c r="R12" s="1245"/>
      <c r="S12" s="1245"/>
      <c r="T12" s="1246"/>
      <c r="U12" s="1247">
        <v>2051.87</v>
      </c>
      <c r="V12" s="1248">
        <v>0</v>
      </c>
      <c r="W12" s="1248">
        <v>12.21</v>
      </c>
      <c r="X12" s="1248">
        <v>378.62</v>
      </c>
      <c r="Y12" s="1248">
        <v>0</v>
      </c>
      <c r="Z12" s="1249">
        <v>2442.6999999999998</v>
      </c>
      <c r="AA12" s="1247">
        <v>73742.399999999994</v>
      </c>
      <c r="AB12" s="1248">
        <v>0</v>
      </c>
      <c r="AC12" s="1248">
        <v>0</v>
      </c>
      <c r="AD12" s="1248">
        <v>18435.599999999999</v>
      </c>
      <c r="AE12" s="1248">
        <v>1057009.3400000001</v>
      </c>
      <c r="AF12" s="1249">
        <v>1149187.3400000001</v>
      </c>
      <c r="AG12" s="1247">
        <v>8984.8700000000008</v>
      </c>
      <c r="AH12" s="1248">
        <v>0</v>
      </c>
      <c r="AI12" s="1248">
        <v>2987.53</v>
      </c>
      <c r="AJ12" s="1248">
        <v>2196.12</v>
      </c>
      <c r="AK12" s="1248">
        <v>554.16</v>
      </c>
      <c r="AL12" s="1249">
        <v>14722.68</v>
      </c>
      <c r="AM12" s="1247">
        <v>21350.03</v>
      </c>
      <c r="AN12" s="1248">
        <v>0</v>
      </c>
      <c r="AO12" s="1248">
        <v>5337.52</v>
      </c>
      <c r="AP12" s="1248">
        <v>0</v>
      </c>
      <c r="AQ12" s="1248">
        <v>0</v>
      </c>
      <c r="AR12" s="1249">
        <v>26687.55</v>
      </c>
      <c r="AS12" s="1247">
        <v>8948.4500000000007</v>
      </c>
      <c r="AT12" s="1248">
        <v>0</v>
      </c>
      <c r="AU12" s="1248">
        <v>2237.12</v>
      </c>
      <c r="AV12" s="1248">
        <v>0</v>
      </c>
      <c r="AW12" s="1248">
        <v>0</v>
      </c>
      <c r="AX12" s="1249">
        <v>11185.57</v>
      </c>
      <c r="AY12" s="1244"/>
      <c r="AZ12" s="1245"/>
      <c r="BA12" s="1245"/>
      <c r="BB12" s="1245"/>
      <c r="BC12" s="1245"/>
      <c r="BD12" s="1246"/>
      <c r="BE12" s="1247">
        <v>1251.67</v>
      </c>
      <c r="BF12" s="1248">
        <v>0</v>
      </c>
      <c r="BG12" s="1248">
        <v>2260.33</v>
      </c>
      <c r="BH12" s="1248">
        <v>0</v>
      </c>
      <c r="BI12" s="1248">
        <v>0</v>
      </c>
      <c r="BJ12" s="1249">
        <v>3512</v>
      </c>
      <c r="BK12" s="1247">
        <v>14008.5</v>
      </c>
      <c r="BL12" s="1248">
        <v>0</v>
      </c>
      <c r="BM12" s="1248">
        <v>1774.43</v>
      </c>
      <c r="BN12" s="1248">
        <v>2895.11</v>
      </c>
      <c r="BO12" s="1248">
        <v>9822.43</v>
      </c>
      <c r="BP12" s="1249">
        <v>28500.47</v>
      </c>
      <c r="BQ12" s="1247">
        <v>236727.8</v>
      </c>
      <c r="BR12" s="1248">
        <v>0</v>
      </c>
      <c r="BS12" s="1248">
        <v>202499.01</v>
      </c>
      <c r="BT12" s="1248">
        <v>34228.79</v>
      </c>
      <c r="BU12" s="1248">
        <v>0</v>
      </c>
      <c r="BV12" s="1249">
        <v>473455.6</v>
      </c>
      <c r="BW12" s="1247">
        <v>25619.32</v>
      </c>
      <c r="BX12" s="1248">
        <v>0</v>
      </c>
      <c r="BY12" s="1248">
        <v>15455.17</v>
      </c>
      <c r="BZ12" s="1248">
        <v>7534.37</v>
      </c>
      <c r="CA12" s="1248">
        <v>-0.01</v>
      </c>
      <c r="CB12" s="1249">
        <v>48608.85</v>
      </c>
      <c r="CC12" s="1247">
        <v>8155.71</v>
      </c>
      <c r="CD12" s="1248">
        <v>0</v>
      </c>
      <c r="CE12" s="1248">
        <v>0</v>
      </c>
      <c r="CF12" s="1248">
        <v>14373.87</v>
      </c>
      <c r="CG12" s="1248">
        <v>0</v>
      </c>
      <c r="CH12" s="1249">
        <v>22529.58</v>
      </c>
      <c r="CI12" s="1247">
        <v>968</v>
      </c>
      <c r="CJ12" s="1248">
        <v>0</v>
      </c>
      <c r="CK12" s="1248">
        <v>0</v>
      </c>
      <c r="CL12" s="1248">
        <v>3032</v>
      </c>
      <c r="CM12" s="1248">
        <v>1126.58</v>
      </c>
      <c r="CN12" s="1249">
        <v>5126.58</v>
      </c>
      <c r="CO12" s="1247">
        <v>497188.55</v>
      </c>
      <c r="CP12" s="1248">
        <v>0</v>
      </c>
      <c r="CQ12" s="1248">
        <v>0</v>
      </c>
      <c r="CR12" s="1248">
        <v>0</v>
      </c>
      <c r="CS12" s="1248">
        <v>0</v>
      </c>
      <c r="CT12" s="1249">
        <v>497188.55</v>
      </c>
      <c r="CU12" s="1247">
        <v>232728.1</v>
      </c>
      <c r="CV12" s="1248">
        <v>0</v>
      </c>
      <c r="CW12" s="1248">
        <v>232728.1</v>
      </c>
      <c r="CX12" s="1248">
        <v>0</v>
      </c>
      <c r="CY12" s="1248">
        <v>-0.03</v>
      </c>
      <c r="CZ12" s="1249">
        <v>465456.17</v>
      </c>
      <c r="DA12" s="1247">
        <v>1162474</v>
      </c>
      <c r="DB12" s="1248">
        <v>0</v>
      </c>
      <c r="DC12" s="1248">
        <v>0</v>
      </c>
      <c r="DD12" s="1248">
        <v>0</v>
      </c>
      <c r="DE12" s="1248">
        <v>0</v>
      </c>
      <c r="DF12" s="1249">
        <v>1162474</v>
      </c>
      <c r="DG12" s="1247">
        <v>8560.94</v>
      </c>
      <c r="DH12" s="1248">
        <v>0</v>
      </c>
      <c r="DI12" s="1248">
        <v>5907.06</v>
      </c>
      <c r="DJ12" s="1248">
        <v>2653.9</v>
      </c>
      <c r="DK12" s="1248">
        <v>-0.05</v>
      </c>
      <c r="DL12" s="1249">
        <v>17121.849999999999</v>
      </c>
      <c r="DM12" s="1247">
        <v>10546.22</v>
      </c>
      <c r="DN12" s="1248">
        <v>0</v>
      </c>
      <c r="DO12" s="1248">
        <v>62.76</v>
      </c>
      <c r="DP12" s="1248">
        <v>1946.02</v>
      </c>
      <c r="DQ12" s="1248">
        <v>170.39</v>
      </c>
      <c r="DR12" s="1249">
        <v>12725.39</v>
      </c>
      <c r="DS12" s="1244"/>
      <c r="DT12" s="1245"/>
      <c r="DU12" s="1245"/>
      <c r="DV12" s="1245"/>
      <c r="DW12" s="1245"/>
      <c r="DX12" s="1246"/>
    </row>
    <row r="13" spans="1:256" ht="15" customHeight="1">
      <c r="A13" s="1092" t="s">
        <v>26</v>
      </c>
      <c r="B13" s="1239" t="s">
        <v>908</v>
      </c>
      <c r="C13" s="1467" t="s">
        <v>272</v>
      </c>
      <c r="D13" s="1240">
        <f t="shared" si="5"/>
        <v>884626.26000000013</v>
      </c>
      <c r="E13" s="1241">
        <f t="shared" si="4"/>
        <v>347024.61000000004</v>
      </c>
      <c r="F13" s="1242">
        <f t="shared" si="6"/>
        <v>136595.01999999999</v>
      </c>
      <c r="G13" s="1243">
        <f t="shared" si="7"/>
        <v>136595.54999999999</v>
      </c>
      <c r="H13" s="1242">
        <f t="shared" si="7"/>
        <v>-0.53</v>
      </c>
      <c r="I13" s="1244"/>
      <c r="J13" s="1245"/>
      <c r="K13" s="1245"/>
      <c r="L13" s="1245"/>
      <c r="M13" s="1245"/>
      <c r="N13" s="1246"/>
      <c r="O13" s="1244"/>
      <c r="P13" s="1245"/>
      <c r="Q13" s="1245"/>
      <c r="R13" s="1245"/>
      <c r="S13" s="1245"/>
      <c r="T13" s="1246"/>
      <c r="U13" s="1247">
        <v>12765.31</v>
      </c>
      <c r="V13" s="1248">
        <v>0</v>
      </c>
      <c r="W13" s="1248">
        <v>76.009999999999991</v>
      </c>
      <c r="X13" s="1248">
        <v>2355.54</v>
      </c>
      <c r="Y13" s="1248">
        <v>-0.05</v>
      </c>
      <c r="Z13" s="1249">
        <v>15196.81</v>
      </c>
      <c r="AA13" s="1247">
        <v>51501.380000000005</v>
      </c>
      <c r="AB13" s="1248">
        <v>0</v>
      </c>
      <c r="AC13" s="1248">
        <v>0</v>
      </c>
      <c r="AD13" s="1248">
        <v>12875.38</v>
      </c>
      <c r="AE13" s="1248">
        <v>0</v>
      </c>
      <c r="AF13" s="1249">
        <v>64376.76</v>
      </c>
      <c r="AG13" s="1244"/>
      <c r="AH13" s="1245"/>
      <c r="AI13" s="1245"/>
      <c r="AJ13" s="1245"/>
      <c r="AK13" s="1245"/>
      <c r="AL13" s="1246"/>
      <c r="AM13" s="1247">
        <v>8034.28</v>
      </c>
      <c r="AN13" s="1248">
        <v>0</v>
      </c>
      <c r="AO13" s="1248">
        <v>2008.57</v>
      </c>
      <c r="AP13" s="1248">
        <v>0</v>
      </c>
      <c r="AQ13" s="1248">
        <v>0</v>
      </c>
      <c r="AR13" s="1249">
        <v>10042.85</v>
      </c>
      <c r="AS13" s="1247">
        <v>17646.3</v>
      </c>
      <c r="AT13" s="1248">
        <v>0</v>
      </c>
      <c r="AU13" s="1248">
        <v>4411.5600000000004</v>
      </c>
      <c r="AV13" s="1248">
        <v>0</v>
      </c>
      <c r="AW13" s="1248">
        <v>0</v>
      </c>
      <c r="AX13" s="1249">
        <v>22057.86</v>
      </c>
      <c r="AY13" s="1244"/>
      <c r="AZ13" s="1245"/>
      <c r="BA13" s="1245"/>
      <c r="BB13" s="1245"/>
      <c r="BC13" s="1245"/>
      <c r="BD13" s="1246"/>
      <c r="BE13" s="1247">
        <v>2351.35</v>
      </c>
      <c r="BF13" s="1248">
        <v>0</v>
      </c>
      <c r="BG13" s="1248">
        <v>4246.1499999999996</v>
      </c>
      <c r="BH13" s="1248">
        <v>0</v>
      </c>
      <c r="BI13" s="1248">
        <v>0</v>
      </c>
      <c r="BJ13" s="1249">
        <v>6597.5</v>
      </c>
      <c r="BK13" s="1247">
        <v>20487.78</v>
      </c>
      <c r="BL13" s="1248">
        <v>0</v>
      </c>
      <c r="BM13" s="1248">
        <v>2595.16</v>
      </c>
      <c r="BN13" s="1248">
        <v>4234.17</v>
      </c>
      <c r="BO13" s="1248">
        <v>-0.11</v>
      </c>
      <c r="BP13" s="1249">
        <v>27317</v>
      </c>
      <c r="BQ13" s="1247">
        <v>193057.93</v>
      </c>
      <c r="BR13" s="1248">
        <v>0</v>
      </c>
      <c r="BS13" s="1248">
        <v>159644.94</v>
      </c>
      <c r="BT13" s="1248">
        <v>33412.979999999996</v>
      </c>
      <c r="BU13" s="1248">
        <v>-6.9999999999999993E-2</v>
      </c>
      <c r="BV13" s="1249">
        <v>386115.77999999997</v>
      </c>
      <c r="BW13" s="1247">
        <v>240528.83</v>
      </c>
      <c r="BX13" s="1248">
        <v>0</v>
      </c>
      <c r="BY13" s="1248">
        <v>164919.17000000001</v>
      </c>
      <c r="BZ13" s="1248">
        <v>74372.13</v>
      </c>
      <c r="CA13" s="1248">
        <v>-0.22999999999999998</v>
      </c>
      <c r="CB13" s="1249">
        <v>479819.9</v>
      </c>
      <c r="CC13" s="1247">
        <v>2529.4299999999998</v>
      </c>
      <c r="CD13" s="1248">
        <v>0</v>
      </c>
      <c r="CE13" s="1248">
        <v>0</v>
      </c>
      <c r="CF13" s="1248">
        <v>4457.92</v>
      </c>
      <c r="CG13" s="1248">
        <v>0</v>
      </c>
      <c r="CH13" s="1249">
        <v>6987.35</v>
      </c>
      <c r="CI13" s="1244"/>
      <c r="CJ13" s="1245"/>
      <c r="CK13" s="1245"/>
      <c r="CL13" s="1245"/>
      <c r="CM13" s="1245"/>
      <c r="CN13" s="1246"/>
      <c r="CO13" s="1247">
        <v>6747</v>
      </c>
      <c r="CP13" s="1248">
        <v>0</v>
      </c>
      <c r="CQ13" s="1248">
        <v>0</v>
      </c>
      <c r="CR13" s="1248">
        <v>0</v>
      </c>
      <c r="CS13" s="1248">
        <v>0</v>
      </c>
      <c r="CT13" s="1249">
        <v>6747</v>
      </c>
      <c r="CU13" s="1244"/>
      <c r="CV13" s="1245"/>
      <c r="CW13" s="1245"/>
      <c r="CX13" s="1245"/>
      <c r="CY13" s="1245"/>
      <c r="CZ13" s="1246"/>
      <c r="DA13" s="1247">
        <v>311455.27999999997</v>
      </c>
      <c r="DB13" s="1248">
        <v>0</v>
      </c>
      <c r="DC13" s="1248">
        <v>0</v>
      </c>
      <c r="DD13" s="1248">
        <v>0</v>
      </c>
      <c r="DE13" s="1248">
        <v>0</v>
      </c>
      <c r="DF13" s="1249">
        <v>311455.27999999997</v>
      </c>
      <c r="DG13" s="1247">
        <v>13184.47</v>
      </c>
      <c r="DH13" s="1248">
        <v>0</v>
      </c>
      <c r="DI13" s="1248">
        <v>9097.24</v>
      </c>
      <c r="DJ13" s="1248">
        <v>4087.16</v>
      </c>
      <c r="DK13" s="1248">
        <v>-7.0000000000000007E-2</v>
      </c>
      <c r="DL13" s="1249">
        <v>26368.799999999999</v>
      </c>
      <c r="DM13" s="1247">
        <v>4336.92</v>
      </c>
      <c r="DN13" s="1248">
        <v>0</v>
      </c>
      <c r="DO13" s="1248">
        <v>25.81</v>
      </c>
      <c r="DP13" s="1248">
        <v>800.27</v>
      </c>
      <c r="DQ13" s="1248">
        <v>0</v>
      </c>
      <c r="DR13" s="1249">
        <v>5163</v>
      </c>
      <c r="DS13" s="1244"/>
      <c r="DT13" s="1245"/>
      <c r="DU13" s="1245"/>
      <c r="DV13" s="1245"/>
      <c r="DW13" s="1245"/>
      <c r="DX13" s="1246"/>
    </row>
    <row r="14" spans="1:256" ht="15" customHeight="1">
      <c r="A14" s="1092" t="s">
        <v>27</v>
      </c>
      <c r="B14" s="1239" t="s">
        <v>28</v>
      </c>
      <c r="C14" s="1467" t="s">
        <v>272</v>
      </c>
      <c r="D14" s="1240">
        <f t="shared" si="5"/>
        <v>14172.51</v>
      </c>
      <c r="E14" s="1241">
        <f t="shared" si="4"/>
        <v>1102.81</v>
      </c>
      <c r="F14" s="1242">
        <f t="shared" si="6"/>
        <v>2740.98</v>
      </c>
      <c r="G14" s="1243">
        <f t="shared" si="7"/>
        <v>2741.03</v>
      </c>
      <c r="H14" s="1242">
        <f t="shared" si="7"/>
        <v>-0.05</v>
      </c>
      <c r="I14" s="1244"/>
      <c r="J14" s="1245"/>
      <c r="K14" s="1245"/>
      <c r="L14" s="1245"/>
      <c r="M14" s="1245"/>
      <c r="N14" s="1246"/>
      <c r="O14" s="1244"/>
      <c r="P14" s="1245"/>
      <c r="Q14" s="1245"/>
      <c r="R14" s="1245"/>
      <c r="S14" s="1245"/>
      <c r="T14" s="1246"/>
      <c r="U14" s="1247">
        <v>58.3</v>
      </c>
      <c r="V14" s="1248">
        <v>0</v>
      </c>
      <c r="W14" s="1248">
        <v>0.35</v>
      </c>
      <c r="X14" s="1248">
        <v>10.76</v>
      </c>
      <c r="Y14" s="1248">
        <v>-0.01</v>
      </c>
      <c r="Z14" s="1249">
        <v>69.400000000000006</v>
      </c>
      <c r="AA14" s="1247">
        <v>7308.77</v>
      </c>
      <c r="AB14" s="1248">
        <v>0</v>
      </c>
      <c r="AC14" s="1248">
        <v>0</v>
      </c>
      <c r="AD14" s="1248">
        <v>1827.21</v>
      </c>
      <c r="AE14" s="1248">
        <v>0</v>
      </c>
      <c r="AF14" s="1249">
        <v>9135.98</v>
      </c>
      <c r="AG14" s="1244"/>
      <c r="AH14" s="1245"/>
      <c r="AI14" s="1245"/>
      <c r="AJ14" s="1245"/>
      <c r="AK14" s="1245"/>
      <c r="AL14" s="1246"/>
      <c r="AM14" s="1244"/>
      <c r="AN14" s="1245"/>
      <c r="AO14" s="1245"/>
      <c r="AP14" s="1245"/>
      <c r="AQ14" s="1245"/>
      <c r="AR14" s="1246"/>
      <c r="AS14" s="1244"/>
      <c r="AT14" s="1245"/>
      <c r="AU14" s="1245"/>
      <c r="AV14" s="1245"/>
      <c r="AW14" s="1245"/>
      <c r="AX14" s="1246"/>
      <c r="AY14" s="1244"/>
      <c r="AZ14" s="1245"/>
      <c r="BA14" s="1245"/>
      <c r="BB14" s="1245"/>
      <c r="BC14" s="1245"/>
      <c r="BD14" s="1246"/>
      <c r="BE14" s="1244"/>
      <c r="BF14" s="1245"/>
      <c r="BG14" s="1245"/>
      <c r="BH14" s="1245"/>
      <c r="BI14" s="1245"/>
      <c r="BJ14" s="1246"/>
      <c r="BK14" s="1247">
        <v>3412.44</v>
      </c>
      <c r="BL14" s="1248">
        <v>0</v>
      </c>
      <c r="BM14" s="1248">
        <v>432.25</v>
      </c>
      <c r="BN14" s="1248">
        <v>705.25</v>
      </c>
      <c r="BO14" s="1248">
        <v>-0.02</v>
      </c>
      <c r="BP14" s="1249">
        <v>4549.92</v>
      </c>
      <c r="BQ14" s="1247">
        <v>648</v>
      </c>
      <c r="BR14" s="1248">
        <v>0</v>
      </c>
      <c r="BS14" s="1248">
        <v>518.4</v>
      </c>
      <c r="BT14" s="1248">
        <v>129.6</v>
      </c>
      <c r="BU14" s="1248">
        <v>0</v>
      </c>
      <c r="BV14" s="1249">
        <v>1296</v>
      </c>
      <c r="BW14" s="1247">
        <v>220</v>
      </c>
      <c r="BX14" s="1248">
        <v>0</v>
      </c>
      <c r="BY14" s="1248">
        <v>151.81</v>
      </c>
      <c r="BZ14" s="1248">
        <v>68.209999999999994</v>
      </c>
      <c r="CA14" s="1248">
        <v>-0.02</v>
      </c>
      <c r="CB14" s="1249">
        <v>440</v>
      </c>
      <c r="CC14" s="1244"/>
      <c r="CD14" s="1245"/>
      <c r="CE14" s="1245"/>
      <c r="CF14" s="1245"/>
      <c r="CG14" s="1245"/>
      <c r="CH14" s="1246"/>
      <c r="CI14" s="1244"/>
      <c r="CJ14" s="1245"/>
      <c r="CK14" s="1245"/>
      <c r="CL14" s="1245"/>
      <c r="CM14" s="1245"/>
      <c r="CN14" s="1246"/>
      <c r="CO14" s="1244"/>
      <c r="CP14" s="1245"/>
      <c r="CQ14" s="1245"/>
      <c r="CR14" s="1245"/>
      <c r="CS14" s="1245"/>
      <c r="CT14" s="1246"/>
      <c r="CU14" s="1244"/>
      <c r="CV14" s="1245"/>
      <c r="CW14" s="1245"/>
      <c r="CX14" s="1245"/>
      <c r="CY14" s="1245"/>
      <c r="CZ14" s="1246"/>
      <c r="DA14" s="1247">
        <v>2525</v>
      </c>
      <c r="DB14" s="1248">
        <v>0</v>
      </c>
      <c r="DC14" s="1248">
        <v>0</v>
      </c>
      <c r="DD14" s="1248">
        <v>0</v>
      </c>
      <c r="DE14" s="1248">
        <v>0</v>
      </c>
      <c r="DF14" s="1249">
        <v>2525</v>
      </c>
      <c r="DG14" s="1244"/>
      <c r="DH14" s="1245"/>
      <c r="DI14" s="1245"/>
      <c r="DJ14" s="1245"/>
      <c r="DK14" s="1245"/>
      <c r="DL14" s="1246"/>
      <c r="DM14" s="1244"/>
      <c r="DN14" s="1245"/>
      <c r="DO14" s="1245"/>
      <c r="DP14" s="1245"/>
      <c r="DQ14" s="1245"/>
      <c r="DR14" s="1246"/>
      <c r="DS14" s="1244"/>
      <c r="DT14" s="1245"/>
      <c r="DU14" s="1245"/>
      <c r="DV14" s="1245"/>
      <c r="DW14" s="1245"/>
      <c r="DX14" s="1246"/>
    </row>
    <row r="15" spans="1:256" ht="15" customHeight="1">
      <c r="A15" s="1092" t="s">
        <v>29</v>
      </c>
      <c r="B15" s="1239" t="s">
        <v>329</v>
      </c>
      <c r="C15" s="1467" t="s">
        <v>272</v>
      </c>
      <c r="D15" s="1240">
        <f t="shared" si="5"/>
        <v>396672.47</v>
      </c>
      <c r="E15" s="1241">
        <f t="shared" si="4"/>
        <v>76865.539999999994</v>
      </c>
      <c r="F15" s="1242">
        <f t="shared" si="6"/>
        <v>43198.250000000007</v>
      </c>
      <c r="G15" s="1243">
        <f t="shared" si="7"/>
        <v>43198.350000000006</v>
      </c>
      <c r="H15" s="1242">
        <f t="shared" si="7"/>
        <v>-9.9999999999999992E-2</v>
      </c>
      <c r="I15" s="1244"/>
      <c r="J15" s="1245"/>
      <c r="K15" s="1245"/>
      <c r="L15" s="1245"/>
      <c r="M15" s="1245"/>
      <c r="N15" s="1246"/>
      <c r="O15" s="1244"/>
      <c r="P15" s="1245"/>
      <c r="Q15" s="1245"/>
      <c r="R15" s="1245"/>
      <c r="S15" s="1245"/>
      <c r="T15" s="1246"/>
      <c r="U15" s="1247">
        <v>6147</v>
      </c>
      <c r="V15" s="1248">
        <v>0</v>
      </c>
      <c r="W15" s="1248">
        <v>36.619999999999997</v>
      </c>
      <c r="X15" s="1248">
        <v>1134.26</v>
      </c>
      <c r="Y15" s="1248">
        <v>-0.03</v>
      </c>
      <c r="Z15" s="1249">
        <v>7317.85</v>
      </c>
      <c r="AA15" s="1247">
        <v>20972.06</v>
      </c>
      <c r="AB15" s="1248">
        <v>0</v>
      </c>
      <c r="AC15" s="1248">
        <v>0</v>
      </c>
      <c r="AD15" s="1248">
        <v>5243.03</v>
      </c>
      <c r="AE15" s="1248">
        <v>0</v>
      </c>
      <c r="AF15" s="1249">
        <v>26215.09</v>
      </c>
      <c r="AG15" s="1244"/>
      <c r="AH15" s="1245"/>
      <c r="AI15" s="1245"/>
      <c r="AJ15" s="1245"/>
      <c r="AK15" s="1245"/>
      <c r="AL15" s="1246"/>
      <c r="AM15" s="1247">
        <v>7335.21</v>
      </c>
      <c r="AN15" s="1248">
        <v>0</v>
      </c>
      <c r="AO15" s="1248">
        <v>1833.79</v>
      </c>
      <c r="AP15" s="1248">
        <v>0</v>
      </c>
      <c r="AQ15" s="1248">
        <v>0</v>
      </c>
      <c r="AR15" s="1249">
        <v>9169</v>
      </c>
      <c r="AS15" s="1247">
        <v>8013.62</v>
      </c>
      <c r="AT15" s="1248">
        <v>0</v>
      </c>
      <c r="AU15" s="1248">
        <v>2003.38</v>
      </c>
      <c r="AV15" s="1248">
        <v>0</v>
      </c>
      <c r="AW15" s="1248">
        <v>0</v>
      </c>
      <c r="AX15" s="1249">
        <v>10017</v>
      </c>
      <c r="AY15" s="1244"/>
      <c r="AZ15" s="1245"/>
      <c r="BA15" s="1245"/>
      <c r="BB15" s="1245"/>
      <c r="BC15" s="1245"/>
      <c r="BD15" s="1246"/>
      <c r="BE15" s="1247">
        <v>1082.3900000000001</v>
      </c>
      <c r="BF15" s="1248">
        <v>0</v>
      </c>
      <c r="BG15" s="1248">
        <v>1954.61</v>
      </c>
      <c r="BH15" s="1248">
        <v>0</v>
      </c>
      <c r="BI15" s="1248">
        <v>0</v>
      </c>
      <c r="BJ15" s="1249">
        <v>3037</v>
      </c>
      <c r="BK15" s="1247">
        <v>30000.02</v>
      </c>
      <c r="BL15" s="1248">
        <v>0</v>
      </c>
      <c r="BM15" s="1248">
        <v>3800.02</v>
      </c>
      <c r="BN15" s="1248">
        <v>6200.02</v>
      </c>
      <c r="BO15" s="1248">
        <v>-0.06</v>
      </c>
      <c r="BP15" s="1249">
        <v>40000</v>
      </c>
      <c r="BQ15" s="1247">
        <v>41518.75</v>
      </c>
      <c r="BR15" s="1248">
        <v>0</v>
      </c>
      <c r="BS15" s="1248">
        <v>34286</v>
      </c>
      <c r="BT15" s="1248">
        <v>7232.75</v>
      </c>
      <c r="BU15" s="1248">
        <v>0</v>
      </c>
      <c r="BV15" s="1249">
        <v>83037.5</v>
      </c>
      <c r="BW15" s="1247">
        <v>70062</v>
      </c>
      <c r="BX15" s="1248">
        <v>0</v>
      </c>
      <c r="BY15" s="1248">
        <v>29862.05</v>
      </c>
      <c r="BZ15" s="1248">
        <v>18329.27</v>
      </c>
      <c r="CA15" s="1248">
        <v>-0.01</v>
      </c>
      <c r="CB15" s="1249">
        <v>118253.31</v>
      </c>
      <c r="CC15" s="1247">
        <v>1507.39</v>
      </c>
      <c r="CD15" s="1248">
        <v>0</v>
      </c>
      <c r="CE15" s="1248">
        <v>0</v>
      </c>
      <c r="CF15" s="1248">
        <v>2656.68</v>
      </c>
      <c r="CG15" s="1248">
        <v>0</v>
      </c>
      <c r="CH15" s="1249">
        <v>4164.07</v>
      </c>
      <c r="CI15" s="1244"/>
      <c r="CJ15" s="1245"/>
      <c r="CK15" s="1245"/>
      <c r="CL15" s="1245"/>
      <c r="CM15" s="1245"/>
      <c r="CN15" s="1246"/>
      <c r="CO15" s="1247">
        <v>2574</v>
      </c>
      <c r="CP15" s="1248">
        <v>0</v>
      </c>
      <c r="CQ15" s="1248">
        <v>0</v>
      </c>
      <c r="CR15" s="1248">
        <v>0</v>
      </c>
      <c r="CS15" s="1248">
        <v>0</v>
      </c>
      <c r="CT15" s="1249">
        <v>2574</v>
      </c>
      <c r="CU15" s="1247">
        <v>-2.84</v>
      </c>
      <c r="CV15" s="1248">
        <v>0</v>
      </c>
      <c r="CW15" s="1248">
        <v>-2.84</v>
      </c>
      <c r="CX15" s="1248">
        <v>0</v>
      </c>
      <c r="CY15" s="1248">
        <v>0.01</v>
      </c>
      <c r="CZ15" s="1249">
        <v>-5.67</v>
      </c>
      <c r="DA15" s="1247">
        <v>197458.08</v>
      </c>
      <c r="DB15" s="1248">
        <v>0</v>
      </c>
      <c r="DC15" s="1248">
        <v>0</v>
      </c>
      <c r="DD15" s="1248">
        <v>0</v>
      </c>
      <c r="DE15" s="1248">
        <v>0</v>
      </c>
      <c r="DF15" s="1249">
        <v>197458.08</v>
      </c>
      <c r="DG15" s="1247">
        <v>4433.04</v>
      </c>
      <c r="DH15" s="1248">
        <v>0</v>
      </c>
      <c r="DI15" s="1248">
        <v>3058.76</v>
      </c>
      <c r="DJ15" s="1248">
        <v>1374.23</v>
      </c>
      <c r="DK15" s="1248">
        <v>-0.03</v>
      </c>
      <c r="DL15" s="1249">
        <v>8866</v>
      </c>
      <c r="DM15" s="1247">
        <v>5571.75</v>
      </c>
      <c r="DN15" s="1248">
        <v>0</v>
      </c>
      <c r="DO15" s="1248">
        <v>33.15</v>
      </c>
      <c r="DP15" s="1248">
        <v>1028.1099999999999</v>
      </c>
      <c r="DQ15" s="1248">
        <v>0.02</v>
      </c>
      <c r="DR15" s="1249">
        <v>6633.03</v>
      </c>
      <c r="DS15" s="1244"/>
      <c r="DT15" s="1245"/>
      <c r="DU15" s="1245"/>
      <c r="DV15" s="1245"/>
      <c r="DW15" s="1245"/>
      <c r="DX15" s="1246"/>
    </row>
    <row r="16" spans="1:256" ht="15" customHeight="1">
      <c r="A16" s="1092" t="s">
        <v>31</v>
      </c>
      <c r="B16" s="1239" t="s">
        <v>32</v>
      </c>
      <c r="C16" s="1467" t="s">
        <v>275</v>
      </c>
      <c r="D16" s="1240">
        <f t="shared" si="5"/>
        <v>26366.23</v>
      </c>
      <c r="E16" s="1241">
        <f t="shared" si="4"/>
        <v>4131.21</v>
      </c>
      <c r="F16" s="1242">
        <f t="shared" si="6"/>
        <v>5935.3799999999992</v>
      </c>
      <c r="G16" s="1243">
        <f t="shared" si="7"/>
        <v>5935.4499999999989</v>
      </c>
      <c r="H16" s="1242">
        <f t="shared" si="7"/>
        <v>-6.9999999999999993E-2</v>
      </c>
      <c r="I16" s="1244"/>
      <c r="J16" s="1245"/>
      <c r="K16" s="1245"/>
      <c r="L16" s="1245"/>
      <c r="M16" s="1245"/>
      <c r="N16" s="1246"/>
      <c r="O16" s="1244"/>
      <c r="P16" s="1245"/>
      <c r="Q16" s="1245"/>
      <c r="R16" s="1245"/>
      <c r="S16" s="1245"/>
      <c r="T16" s="1246"/>
      <c r="U16" s="1244"/>
      <c r="V16" s="1245"/>
      <c r="W16" s="1245"/>
      <c r="X16" s="1245"/>
      <c r="Y16" s="1245"/>
      <c r="Z16" s="1246"/>
      <c r="AA16" s="1247">
        <v>15096.06</v>
      </c>
      <c r="AB16" s="1248">
        <v>0</v>
      </c>
      <c r="AC16" s="1248">
        <v>0</v>
      </c>
      <c r="AD16" s="1248">
        <v>3774.02</v>
      </c>
      <c r="AE16" s="1248">
        <v>0</v>
      </c>
      <c r="AF16" s="1249">
        <v>18870.080000000002</v>
      </c>
      <c r="AG16" s="1244"/>
      <c r="AH16" s="1245"/>
      <c r="AI16" s="1245"/>
      <c r="AJ16" s="1245"/>
      <c r="AK16" s="1245"/>
      <c r="AL16" s="1246"/>
      <c r="AM16" s="1244"/>
      <c r="AN16" s="1245"/>
      <c r="AO16" s="1245"/>
      <c r="AP16" s="1245"/>
      <c r="AQ16" s="1245"/>
      <c r="AR16" s="1246"/>
      <c r="AS16" s="1247">
        <v>232.82</v>
      </c>
      <c r="AT16" s="1248">
        <v>0</v>
      </c>
      <c r="AU16" s="1248">
        <v>58.2</v>
      </c>
      <c r="AV16" s="1248">
        <v>0</v>
      </c>
      <c r="AW16" s="1248">
        <v>0</v>
      </c>
      <c r="AX16" s="1249">
        <v>291.02</v>
      </c>
      <c r="AY16" s="1244"/>
      <c r="AZ16" s="1245"/>
      <c r="BA16" s="1245"/>
      <c r="BB16" s="1245"/>
      <c r="BC16" s="1245"/>
      <c r="BD16" s="1246"/>
      <c r="BE16" s="1247">
        <v>33.549999999999997</v>
      </c>
      <c r="BF16" s="1248">
        <v>0</v>
      </c>
      <c r="BG16" s="1248">
        <v>60.59</v>
      </c>
      <c r="BH16" s="1248">
        <v>0</v>
      </c>
      <c r="BI16" s="1248">
        <v>0</v>
      </c>
      <c r="BJ16" s="1249">
        <v>94.14</v>
      </c>
      <c r="BK16" s="1247">
        <v>2405.64</v>
      </c>
      <c r="BL16" s="1248">
        <v>0</v>
      </c>
      <c r="BM16" s="1248">
        <v>304.73</v>
      </c>
      <c r="BN16" s="1248">
        <v>497.18</v>
      </c>
      <c r="BO16" s="1248">
        <v>-0.04</v>
      </c>
      <c r="BP16" s="1249">
        <v>3207.51</v>
      </c>
      <c r="BQ16" s="1244"/>
      <c r="BR16" s="1245"/>
      <c r="BS16" s="1245"/>
      <c r="BT16" s="1245"/>
      <c r="BU16" s="1245"/>
      <c r="BV16" s="1246"/>
      <c r="BW16" s="1247">
        <v>2549.6999999999998</v>
      </c>
      <c r="BX16" s="1248">
        <v>0</v>
      </c>
      <c r="BY16" s="1248">
        <v>1759.29</v>
      </c>
      <c r="BZ16" s="1248">
        <v>790.41</v>
      </c>
      <c r="CA16" s="1248">
        <v>-0.04</v>
      </c>
      <c r="CB16" s="1249">
        <v>5099.3599999999997</v>
      </c>
      <c r="CC16" s="1244"/>
      <c r="CD16" s="1245"/>
      <c r="CE16" s="1245"/>
      <c r="CF16" s="1245"/>
      <c r="CG16" s="1245"/>
      <c r="CH16" s="1246"/>
      <c r="CI16" s="1244"/>
      <c r="CJ16" s="1245"/>
      <c r="CK16" s="1245"/>
      <c r="CL16" s="1245"/>
      <c r="CM16" s="1245"/>
      <c r="CN16" s="1246"/>
      <c r="CO16" s="1244"/>
      <c r="CP16" s="1245"/>
      <c r="CQ16" s="1245"/>
      <c r="CR16" s="1245"/>
      <c r="CS16" s="1245"/>
      <c r="CT16" s="1246"/>
      <c r="CU16" s="1244"/>
      <c r="CV16" s="1245"/>
      <c r="CW16" s="1245"/>
      <c r="CX16" s="1245"/>
      <c r="CY16" s="1245"/>
      <c r="CZ16" s="1246"/>
      <c r="DA16" s="1247">
        <v>3233</v>
      </c>
      <c r="DB16" s="1248">
        <v>0</v>
      </c>
      <c r="DC16" s="1248">
        <v>0</v>
      </c>
      <c r="DD16" s="1248">
        <v>0</v>
      </c>
      <c r="DE16" s="1248">
        <v>0</v>
      </c>
      <c r="DF16" s="1249">
        <v>3233</v>
      </c>
      <c r="DG16" s="1247">
        <v>2823.86</v>
      </c>
      <c r="DH16" s="1248">
        <v>0</v>
      </c>
      <c r="DI16" s="1248">
        <v>1948.46</v>
      </c>
      <c r="DJ16" s="1248">
        <v>875.4</v>
      </c>
      <c r="DK16" s="1248">
        <v>-0.01</v>
      </c>
      <c r="DL16" s="1249">
        <v>5647.71</v>
      </c>
      <c r="DM16" s="1247">
        <v>-8.4</v>
      </c>
      <c r="DN16" s="1248">
        <v>0</v>
      </c>
      <c r="DO16" s="1248">
        <v>-0.06</v>
      </c>
      <c r="DP16" s="1248">
        <v>-1.56</v>
      </c>
      <c r="DQ16" s="1248">
        <v>0.02</v>
      </c>
      <c r="DR16" s="1249">
        <v>-10</v>
      </c>
      <c r="DS16" s="1244"/>
      <c r="DT16" s="1245"/>
      <c r="DU16" s="1245"/>
      <c r="DV16" s="1245"/>
      <c r="DW16" s="1245"/>
      <c r="DX16" s="1246"/>
    </row>
    <row r="17" spans="1:128" ht="15" customHeight="1">
      <c r="A17" s="1092" t="s">
        <v>33</v>
      </c>
      <c r="B17" s="1239" t="s">
        <v>34</v>
      </c>
      <c r="C17" s="1467" t="s">
        <v>272</v>
      </c>
      <c r="D17" s="1240">
        <f t="shared" si="5"/>
        <v>165062.72999999998</v>
      </c>
      <c r="E17" s="1241">
        <f t="shared" si="4"/>
        <v>27342.799999999999</v>
      </c>
      <c r="F17" s="1242">
        <f t="shared" si="6"/>
        <v>14744.14</v>
      </c>
      <c r="G17" s="1243">
        <f t="shared" si="7"/>
        <v>14744.15</v>
      </c>
      <c r="H17" s="1242">
        <f t="shared" si="7"/>
        <v>-9.9999999999999985E-3</v>
      </c>
      <c r="I17" s="1244"/>
      <c r="J17" s="1245"/>
      <c r="K17" s="1245"/>
      <c r="L17" s="1245"/>
      <c r="M17" s="1245"/>
      <c r="N17" s="1246"/>
      <c r="O17" s="1244"/>
      <c r="P17" s="1245"/>
      <c r="Q17" s="1245"/>
      <c r="R17" s="1245"/>
      <c r="S17" s="1245"/>
      <c r="T17" s="1246"/>
      <c r="U17" s="1247">
        <v>2302.9699999999998</v>
      </c>
      <c r="V17" s="1248">
        <v>0</v>
      </c>
      <c r="W17" s="1248">
        <v>13.71</v>
      </c>
      <c r="X17" s="1248">
        <v>424.95</v>
      </c>
      <c r="Y17" s="1248">
        <v>0</v>
      </c>
      <c r="Z17" s="1249">
        <v>2741.63</v>
      </c>
      <c r="AA17" s="1247">
        <v>17448.34</v>
      </c>
      <c r="AB17" s="1248">
        <v>0</v>
      </c>
      <c r="AC17" s="1248">
        <v>0</v>
      </c>
      <c r="AD17" s="1248">
        <v>4362.05</v>
      </c>
      <c r="AE17" s="1248">
        <v>0</v>
      </c>
      <c r="AF17" s="1249">
        <v>21810.39</v>
      </c>
      <c r="AG17" s="1244"/>
      <c r="AH17" s="1245"/>
      <c r="AI17" s="1245"/>
      <c r="AJ17" s="1245"/>
      <c r="AK17" s="1245"/>
      <c r="AL17" s="1246"/>
      <c r="AM17" s="1247">
        <v>2272.7800000000002</v>
      </c>
      <c r="AN17" s="1248">
        <v>0</v>
      </c>
      <c r="AO17" s="1248">
        <v>568.20000000000005</v>
      </c>
      <c r="AP17" s="1248">
        <v>0</v>
      </c>
      <c r="AQ17" s="1248">
        <v>0</v>
      </c>
      <c r="AR17" s="1249">
        <v>2840.98</v>
      </c>
      <c r="AS17" s="1247">
        <v>2058.67</v>
      </c>
      <c r="AT17" s="1248">
        <v>0</v>
      </c>
      <c r="AU17" s="1248">
        <v>514.66999999999996</v>
      </c>
      <c r="AV17" s="1248">
        <v>0</v>
      </c>
      <c r="AW17" s="1248">
        <v>0</v>
      </c>
      <c r="AX17" s="1249">
        <v>2573.34</v>
      </c>
      <c r="AY17" s="1244"/>
      <c r="AZ17" s="1245"/>
      <c r="BA17" s="1245"/>
      <c r="BB17" s="1245"/>
      <c r="BC17" s="1245"/>
      <c r="BD17" s="1246"/>
      <c r="BE17" s="1244"/>
      <c r="BF17" s="1245"/>
      <c r="BG17" s="1245"/>
      <c r="BH17" s="1245"/>
      <c r="BI17" s="1245"/>
      <c r="BJ17" s="1246"/>
      <c r="BK17" s="1247">
        <v>11872.56</v>
      </c>
      <c r="BL17" s="1248">
        <v>0</v>
      </c>
      <c r="BM17" s="1248">
        <v>1503.85</v>
      </c>
      <c r="BN17" s="1248">
        <v>2453.67</v>
      </c>
      <c r="BO17" s="1248">
        <v>-0.01</v>
      </c>
      <c r="BP17" s="1249">
        <v>15830.07</v>
      </c>
      <c r="BQ17" s="1247">
        <v>24589</v>
      </c>
      <c r="BR17" s="1248">
        <v>0</v>
      </c>
      <c r="BS17" s="1248">
        <v>20245.599999999999</v>
      </c>
      <c r="BT17" s="1248">
        <v>4343.3999999999996</v>
      </c>
      <c r="BU17" s="1248">
        <v>0</v>
      </c>
      <c r="BV17" s="1249">
        <v>49178</v>
      </c>
      <c r="BW17" s="1247">
        <v>4529.91</v>
      </c>
      <c r="BX17" s="1248">
        <v>0</v>
      </c>
      <c r="BY17" s="1248">
        <v>3125.63</v>
      </c>
      <c r="BZ17" s="1248">
        <v>1404.26</v>
      </c>
      <c r="CA17" s="1248">
        <v>-0.02</v>
      </c>
      <c r="CB17" s="1249">
        <v>9059.7800000000007</v>
      </c>
      <c r="CC17" s="1244"/>
      <c r="CD17" s="1245"/>
      <c r="CE17" s="1245"/>
      <c r="CF17" s="1245"/>
      <c r="CG17" s="1245"/>
      <c r="CH17" s="1246"/>
      <c r="CI17" s="1244"/>
      <c r="CJ17" s="1245"/>
      <c r="CK17" s="1245"/>
      <c r="CL17" s="1245"/>
      <c r="CM17" s="1245"/>
      <c r="CN17" s="1246"/>
      <c r="CO17" s="1247">
        <v>260</v>
      </c>
      <c r="CP17" s="1248">
        <v>0</v>
      </c>
      <c r="CQ17" s="1248">
        <v>0</v>
      </c>
      <c r="CR17" s="1248">
        <v>0</v>
      </c>
      <c r="CS17" s="1248">
        <v>0</v>
      </c>
      <c r="CT17" s="1249">
        <v>260</v>
      </c>
      <c r="CU17" s="1247">
        <v>1656.5</v>
      </c>
      <c r="CV17" s="1248">
        <v>0</v>
      </c>
      <c r="CW17" s="1248">
        <v>1325.2</v>
      </c>
      <c r="CX17" s="1248">
        <v>331.3</v>
      </c>
      <c r="CY17" s="1248">
        <v>0</v>
      </c>
      <c r="CZ17" s="1249">
        <v>3313</v>
      </c>
      <c r="DA17" s="1247">
        <v>90352</v>
      </c>
      <c r="DB17" s="1248">
        <v>0</v>
      </c>
      <c r="DC17" s="1248">
        <v>0</v>
      </c>
      <c r="DD17" s="1248">
        <v>0</v>
      </c>
      <c r="DE17" s="1248">
        <v>0</v>
      </c>
      <c r="DF17" s="1249">
        <v>90352</v>
      </c>
      <c r="DG17" s="1244"/>
      <c r="DH17" s="1245"/>
      <c r="DI17" s="1245"/>
      <c r="DJ17" s="1245"/>
      <c r="DK17" s="1245"/>
      <c r="DL17" s="1246"/>
      <c r="DM17" s="1247">
        <v>7720</v>
      </c>
      <c r="DN17" s="1248">
        <v>0</v>
      </c>
      <c r="DO17" s="1248">
        <v>45.94</v>
      </c>
      <c r="DP17" s="1248">
        <v>1424.52</v>
      </c>
      <c r="DQ17" s="1248">
        <v>0.02</v>
      </c>
      <c r="DR17" s="1249">
        <v>9190.48</v>
      </c>
      <c r="DS17" s="1244"/>
      <c r="DT17" s="1245"/>
      <c r="DU17" s="1245"/>
      <c r="DV17" s="1245"/>
      <c r="DW17" s="1245"/>
      <c r="DX17" s="1246"/>
    </row>
    <row r="18" spans="1:128" ht="15" customHeight="1">
      <c r="A18" s="1092" t="s">
        <v>37</v>
      </c>
      <c r="B18" s="1239" t="s">
        <v>38</v>
      </c>
      <c r="C18" s="1467" t="s">
        <v>271</v>
      </c>
      <c r="D18" s="1240">
        <f t="shared" si="5"/>
        <v>143308.88</v>
      </c>
      <c r="E18" s="1241">
        <f t="shared" si="4"/>
        <v>29817.74</v>
      </c>
      <c r="F18" s="1242">
        <f t="shared" si="6"/>
        <v>22122.770000000004</v>
      </c>
      <c r="G18" s="1243">
        <f t="shared" si="7"/>
        <v>22122.930000000004</v>
      </c>
      <c r="H18" s="1242">
        <f t="shared" si="7"/>
        <v>-0.15999999999999998</v>
      </c>
      <c r="I18" s="1244"/>
      <c r="J18" s="1245"/>
      <c r="K18" s="1245"/>
      <c r="L18" s="1245"/>
      <c r="M18" s="1245"/>
      <c r="N18" s="1246"/>
      <c r="O18" s="1244"/>
      <c r="P18" s="1245"/>
      <c r="Q18" s="1245"/>
      <c r="R18" s="1245"/>
      <c r="S18" s="1245"/>
      <c r="T18" s="1246"/>
      <c r="U18" s="1247">
        <v>4569.8</v>
      </c>
      <c r="V18" s="1248">
        <v>0</v>
      </c>
      <c r="W18" s="1248">
        <v>27.19</v>
      </c>
      <c r="X18" s="1248">
        <v>843.24</v>
      </c>
      <c r="Y18" s="1248">
        <v>0.02</v>
      </c>
      <c r="Z18" s="1249">
        <v>5440.25</v>
      </c>
      <c r="AA18" s="1247">
        <v>39445.68</v>
      </c>
      <c r="AB18" s="1248">
        <v>0</v>
      </c>
      <c r="AC18" s="1248">
        <v>0</v>
      </c>
      <c r="AD18" s="1248">
        <v>9861.44</v>
      </c>
      <c r="AE18" s="1248">
        <v>0</v>
      </c>
      <c r="AF18" s="1249">
        <v>49307.12</v>
      </c>
      <c r="AG18" s="1247">
        <v>5096</v>
      </c>
      <c r="AH18" s="1248">
        <v>0</v>
      </c>
      <c r="AI18" s="1248">
        <v>3516.26</v>
      </c>
      <c r="AJ18" s="1248">
        <v>1579.78</v>
      </c>
      <c r="AK18" s="1248">
        <v>-0.04</v>
      </c>
      <c r="AL18" s="1249">
        <v>10192</v>
      </c>
      <c r="AM18" s="1247">
        <v>4980</v>
      </c>
      <c r="AN18" s="1248">
        <v>0</v>
      </c>
      <c r="AO18" s="1248">
        <v>1245</v>
      </c>
      <c r="AP18" s="1248">
        <v>0</v>
      </c>
      <c r="AQ18" s="1248">
        <v>0</v>
      </c>
      <c r="AR18" s="1249">
        <v>6225</v>
      </c>
      <c r="AS18" s="1247">
        <v>1550.15</v>
      </c>
      <c r="AT18" s="1248">
        <v>0</v>
      </c>
      <c r="AU18" s="1248">
        <v>387.53</v>
      </c>
      <c r="AV18" s="1248">
        <v>0</v>
      </c>
      <c r="AW18" s="1248">
        <v>0</v>
      </c>
      <c r="AX18" s="1249">
        <v>1937.68</v>
      </c>
      <c r="AY18" s="1244"/>
      <c r="AZ18" s="1245"/>
      <c r="BA18" s="1245"/>
      <c r="BB18" s="1245"/>
      <c r="BC18" s="1245"/>
      <c r="BD18" s="1246"/>
      <c r="BE18" s="1247">
        <v>30.19</v>
      </c>
      <c r="BF18" s="1248">
        <v>0</v>
      </c>
      <c r="BG18" s="1248">
        <v>54.51</v>
      </c>
      <c r="BH18" s="1248">
        <v>0</v>
      </c>
      <c r="BI18" s="1248">
        <v>0</v>
      </c>
      <c r="BJ18" s="1249">
        <v>84.7</v>
      </c>
      <c r="BK18" s="1247">
        <v>10350</v>
      </c>
      <c r="BL18" s="1248">
        <v>0</v>
      </c>
      <c r="BM18" s="1248">
        <v>1311</v>
      </c>
      <c r="BN18" s="1248">
        <v>2139</v>
      </c>
      <c r="BO18" s="1248">
        <v>0</v>
      </c>
      <c r="BP18" s="1249">
        <v>13800</v>
      </c>
      <c r="BQ18" s="1247">
        <v>12556</v>
      </c>
      <c r="BR18" s="1248">
        <v>0</v>
      </c>
      <c r="BS18" s="1248">
        <v>11130.3</v>
      </c>
      <c r="BT18" s="1248">
        <v>1425.7</v>
      </c>
      <c r="BU18" s="1248">
        <v>0</v>
      </c>
      <c r="BV18" s="1249">
        <v>25112</v>
      </c>
      <c r="BW18" s="1247">
        <v>15285.61</v>
      </c>
      <c r="BX18" s="1248">
        <v>0</v>
      </c>
      <c r="BY18" s="1248">
        <v>10547.11</v>
      </c>
      <c r="BZ18" s="1248">
        <v>4738.57</v>
      </c>
      <c r="CA18" s="1248">
        <v>-0.12</v>
      </c>
      <c r="CB18" s="1249">
        <v>30571.17</v>
      </c>
      <c r="CC18" s="1244"/>
      <c r="CD18" s="1245"/>
      <c r="CE18" s="1245"/>
      <c r="CF18" s="1245"/>
      <c r="CG18" s="1245"/>
      <c r="CH18" s="1246"/>
      <c r="CI18" s="1244"/>
      <c r="CJ18" s="1245"/>
      <c r="CK18" s="1245"/>
      <c r="CL18" s="1245"/>
      <c r="CM18" s="1245"/>
      <c r="CN18" s="1246"/>
      <c r="CO18" s="1244"/>
      <c r="CP18" s="1245"/>
      <c r="CQ18" s="1245"/>
      <c r="CR18" s="1245"/>
      <c r="CS18" s="1245"/>
      <c r="CT18" s="1246"/>
      <c r="CU18" s="1244"/>
      <c r="CV18" s="1245"/>
      <c r="CW18" s="1245"/>
      <c r="CX18" s="1245"/>
      <c r="CY18" s="1245"/>
      <c r="CZ18" s="1246"/>
      <c r="DA18" s="1247">
        <v>42675</v>
      </c>
      <c r="DB18" s="1248">
        <v>0</v>
      </c>
      <c r="DC18" s="1248">
        <v>0</v>
      </c>
      <c r="DD18" s="1248">
        <v>0</v>
      </c>
      <c r="DE18" s="1248">
        <v>0</v>
      </c>
      <c r="DF18" s="1249">
        <v>42675</v>
      </c>
      <c r="DG18" s="1247">
        <v>2278.42</v>
      </c>
      <c r="DH18" s="1248">
        <v>0</v>
      </c>
      <c r="DI18" s="1248">
        <v>1572.1</v>
      </c>
      <c r="DJ18" s="1248">
        <v>706.31</v>
      </c>
      <c r="DK18" s="1248">
        <v>0</v>
      </c>
      <c r="DL18" s="1249">
        <v>4556.83</v>
      </c>
      <c r="DM18" s="1247">
        <v>4492.03</v>
      </c>
      <c r="DN18" s="1248">
        <v>0</v>
      </c>
      <c r="DO18" s="1248">
        <v>26.74</v>
      </c>
      <c r="DP18" s="1248">
        <v>828.89</v>
      </c>
      <c r="DQ18" s="1248">
        <v>-0.02</v>
      </c>
      <c r="DR18" s="1249">
        <v>5347.64</v>
      </c>
      <c r="DS18" s="1244"/>
      <c r="DT18" s="1245"/>
      <c r="DU18" s="1245"/>
      <c r="DV18" s="1245"/>
      <c r="DW18" s="1245"/>
      <c r="DX18" s="1246"/>
    </row>
    <row r="19" spans="1:128" ht="15" customHeight="1">
      <c r="A19" s="1092" t="s">
        <v>39</v>
      </c>
      <c r="B19" s="1239" t="s">
        <v>40</v>
      </c>
      <c r="C19" s="1467" t="s">
        <v>275</v>
      </c>
      <c r="D19" s="1240">
        <f t="shared" si="5"/>
        <v>194890.58</v>
      </c>
      <c r="E19" s="1241">
        <f t="shared" si="4"/>
        <v>17080.190000000002</v>
      </c>
      <c r="F19" s="1242">
        <f t="shared" si="6"/>
        <v>33941.39</v>
      </c>
      <c r="G19" s="1243">
        <f t="shared" si="7"/>
        <v>33941.61</v>
      </c>
      <c r="H19" s="1242">
        <f t="shared" si="7"/>
        <v>-0.22</v>
      </c>
      <c r="I19" s="1244"/>
      <c r="J19" s="1245"/>
      <c r="K19" s="1245"/>
      <c r="L19" s="1245"/>
      <c r="M19" s="1245"/>
      <c r="N19" s="1246"/>
      <c r="O19" s="1244"/>
      <c r="P19" s="1245"/>
      <c r="Q19" s="1245"/>
      <c r="R19" s="1245"/>
      <c r="S19" s="1245"/>
      <c r="T19" s="1246"/>
      <c r="U19" s="1247">
        <v>9487.7199999999993</v>
      </c>
      <c r="V19" s="1248">
        <v>0</v>
      </c>
      <c r="W19" s="1248">
        <v>56.48</v>
      </c>
      <c r="X19" s="1248">
        <v>1750.72</v>
      </c>
      <c r="Y19" s="1248">
        <v>-0.01</v>
      </c>
      <c r="Z19" s="1249">
        <v>11294.91</v>
      </c>
      <c r="AA19" s="1247">
        <v>96681.52</v>
      </c>
      <c r="AB19" s="1248">
        <v>0</v>
      </c>
      <c r="AC19" s="1248">
        <v>0</v>
      </c>
      <c r="AD19" s="1248">
        <v>24170.400000000001</v>
      </c>
      <c r="AE19" s="1248">
        <v>0</v>
      </c>
      <c r="AF19" s="1249">
        <v>120851.92</v>
      </c>
      <c r="AG19" s="1244"/>
      <c r="AH19" s="1245"/>
      <c r="AI19" s="1245"/>
      <c r="AJ19" s="1245"/>
      <c r="AK19" s="1245"/>
      <c r="AL19" s="1246"/>
      <c r="AM19" s="1247">
        <v>3260.8</v>
      </c>
      <c r="AN19" s="1248">
        <v>0</v>
      </c>
      <c r="AO19" s="1248">
        <v>815.2</v>
      </c>
      <c r="AP19" s="1248">
        <v>0</v>
      </c>
      <c r="AQ19" s="1248">
        <v>0</v>
      </c>
      <c r="AR19" s="1249">
        <v>4076</v>
      </c>
      <c r="AS19" s="1247">
        <v>8966.61</v>
      </c>
      <c r="AT19" s="1248">
        <v>0</v>
      </c>
      <c r="AU19" s="1248">
        <v>2241.66</v>
      </c>
      <c r="AV19" s="1248">
        <v>0</v>
      </c>
      <c r="AW19" s="1248">
        <v>0</v>
      </c>
      <c r="AX19" s="1249">
        <v>11208.27</v>
      </c>
      <c r="AY19" s="1244"/>
      <c r="AZ19" s="1245"/>
      <c r="BA19" s="1245"/>
      <c r="BB19" s="1245"/>
      <c r="BC19" s="1245"/>
      <c r="BD19" s="1246"/>
      <c r="BE19" s="1247">
        <v>765.54</v>
      </c>
      <c r="BF19" s="1248">
        <v>0</v>
      </c>
      <c r="BG19" s="1248">
        <v>1382.46</v>
      </c>
      <c r="BH19" s="1248">
        <v>0</v>
      </c>
      <c r="BI19" s="1248">
        <v>0</v>
      </c>
      <c r="BJ19" s="1249">
        <v>2148</v>
      </c>
      <c r="BK19" s="1247">
        <v>16686.09</v>
      </c>
      <c r="BL19" s="1248">
        <v>0</v>
      </c>
      <c r="BM19" s="1248">
        <v>2113.61</v>
      </c>
      <c r="BN19" s="1248">
        <v>3448.51</v>
      </c>
      <c r="BO19" s="1248">
        <v>-0.1</v>
      </c>
      <c r="BP19" s="1249">
        <v>22248.11</v>
      </c>
      <c r="BQ19" s="1247">
        <v>3603</v>
      </c>
      <c r="BR19" s="1248">
        <v>0</v>
      </c>
      <c r="BS19" s="1248">
        <v>3215.1</v>
      </c>
      <c r="BT19" s="1248">
        <v>387.9</v>
      </c>
      <c r="BU19" s="1248">
        <v>0</v>
      </c>
      <c r="BV19" s="1249">
        <v>7206</v>
      </c>
      <c r="BW19" s="1247">
        <v>10650.27</v>
      </c>
      <c r="BX19" s="1248">
        <v>0</v>
      </c>
      <c r="BY19" s="1248">
        <v>7152.28</v>
      </c>
      <c r="BZ19" s="1248">
        <v>3265.56</v>
      </c>
      <c r="CA19" s="1248">
        <v>-0.11</v>
      </c>
      <c r="CB19" s="1249">
        <v>21068</v>
      </c>
      <c r="CC19" s="1244"/>
      <c r="CD19" s="1245"/>
      <c r="CE19" s="1245"/>
      <c r="CF19" s="1245"/>
      <c r="CG19" s="1245"/>
      <c r="CH19" s="1246"/>
      <c r="CI19" s="1244"/>
      <c r="CJ19" s="1245"/>
      <c r="CK19" s="1245"/>
      <c r="CL19" s="1245"/>
      <c r="CM19" s="1245"/>
      <c r="CN19" s="1246"/>
      <c r="CO19" s="1247">
        <v>7270</v>
      </c>
      <c r="CP19" s="1248">
        <v>0</v>
      </c>
      <c r="CQ19" s="1248">
        <v>0</v>
      </c>
      <c r="CR19" s="1248">
        <v>0</v>
      </c>
      <c r="CS19" s="1248">
        <v>0</v>
      </c>
      <c r="CT19" s="1249">
        <v>7270</v>
      </c>
      <c r="CU19" s="1244"/>
      <c r="CV19" s="1245"/>
      <c r="CW19" s="1245"/>
      <c r="CX19" s="1245"/>
      <c r="CY19" s="1245"/>
      <c r="CZ19" s="1246"/>
      <c r="DA19" s="1247">
        <v>32615</v>
      </c>
      <c r="DB19" s="1248">
        <v>0</v>
      </c>
      <c r="DC19" s="1248">
        <v>0</v>
      </c>
      <c r="DD19" s="1248">
        <v>0</v>
      </c>
      <c r="DE19" s="1248">
        <v>0</v>
      </c>
      <c r="DF19" s="1249">
        <v>32615</v>
      </c>
      <c r="DG19" s="1247">
        <v>108.5</v>
      </c>
      <c r="DH19" s="1248">
        <v>0</v>
      </c>
      <c r="DI19" s="1248">
        <v>74.86</v>
      </c>
      <c r="DJ19" s="1248">
        <v>33.630000000000003</v>
      </c>
      <c r="DK19" s="1248">
        <v>0</v>
      </c>
      <c r="DL19" s="1249">
        <v>216.99</v>
      </c>
      <c r="DM19" s="1247">
        <v>4795.53</v>
      </c>
      <c r="DN19" s="1248">
        <v>0</v>
      </c>
      <c r="DO19" s="1248">
        <v>28.54</v>
      </c>
      <c r="DP19" s="1248">
        <v>884.89</v>
      </c>
      <c r="DQ19" s="1248">
        <v>0</v>
      </c>
      <c r="DR19" s="1249">
        <v>5708.96</v>
      </c>
      <c r="DS19" s="1244"/>
      <c r="DT19" s="1245"/>
      <c r="DU19" s="1245"/>
      <c r="DV19" s="1245"/>
      <c r="DW19" s="1245"/>
      <c r="DX19" s="1246"/>
    </row>
    <row r="20" spans="1:128" ht="15" customHeight="1">
      <c r="A20" s="1092" t="s">
        <v>41</v>
      </c>
      <c r="B20" s="1239" t="s">
        <v>42</v>
      </c>
      <c r="C20" s="1467" t="s">
        <v>273</v>
      </c>
      <c r="D20" s="1240">
        <f t="shared" si="5"/>
        <v>134748.97999999998</v>
      </c>
      <c r="E20" s="1241">
        <f t="shared" si="4"/>
        <v>26267.339999999997</v>
      </c>
      <c r="F20" s="1242">
        <f t="shared" si="6"/>
        <v>16696.599999999999</v>
      </c>
      <c r="G20" s="1243">
        <f t="shared" si="7"/>
        <v>16696.719999999998</v>
      </c>
      <c r="H20" s="1242">
        <f t="shared" si="7"/>
        <v>-0.12</v>
      </c>
      <c r="I20" s="1244"/>
      <c r="J20" s="1245"/>
      <c r="K20" s="1245"/>
      <c r="L20" s="1245"/>
      <c r="M20" s="1245"/>
      <c r="N20" s="1246"/>
      <c r="O20" s="1244"/>
      <c r="P20" s="1245"/>
      <c r="Q20" s="1245"/>
      <c r="R20" s="1245"/>
      <c r="S20" s="1245"/>
      <c r="T20" s="1246"/>
      <c r="U20" s="1244"/>
      <c r="V20" s="1245"/>
      <c r="W20" s="1245"/>
      <c r="X20" s="1245"/>
      <c r="Y20" s="1245"/>
      <c r="Z20" s="1246"/>
      <c r="AA20" s="1247">
        <v>16652.09</v>
      </c>
      <c r="AB20" s="1248">
        <v>0</v>
      </c>
      <c r="AC20" s="1248">
        <v>0</v>
      </c>
      <c r="AD20" s="1248">
        <v>4163.1000000000004</v>
      </c>
      <c r="AE20" s="1248">
        <v>0</v>
      </c>
      <c r="AF20" s="1249">
        <v>20815.189999999999</v>
      </c>
      <c r="AG20" s="1244"/>
      <c r="AH20" s="1245"/>
      <c r="AI20" s="1245"/>
      <c r="AJ20" s="1245"/>
      <c r="AK20" s="1245"/>
      <c r="AL20" s="1246"/>
      <c r="AM20" s="1244"/>
      <c r="AN20" s="1245"/>
      <c r="AO20" s="1245"/>
      <c r="AP20" s="1245"/>
      <c r="AQ20" s="1245"/>
      <c r="AR20" s="1246"/>
      <c r="AS20" s="1247">
        <v>193.96</v>
      </c>
      <c r="AT20" s="1248">
        <v>0</v>
      </c>
      <c r="AU20" s="1248">
        <v>48.49</v>
      </c>
      <c r="AV20" s="1248">
        <v>0</v>
      </c>
      <c r="AW20" s="1248">
        <v>0</v>
      </c>
      <c r="AX20" s="1249">
        <v>242.45</v>
      </c>
      <c r="AY20" s="1244"/>
      <c r="AZ20" s="1245"/>
      <c r="BA20" s="1245"/>
      <c r="BB20" s="1245"/>
      <c r="BC20" s="1245"/>
      <c r="BD20" s="1246"/>
      <c r="BE20" s="1244"/>
      <c r="BF20" s="1245"/>
      <c r="BG20" s="1245"/>
      <c r="BH20" s="1245"/>
      <c r="BI20" s="1245"/>
      <c r="BJ20" s="1246"/>
      <c r="BK20" s="1247">
        <v>11259.75</v>
      </c>
      <c r="BL20" s="1248">
        <v>0</v>
      </c>
      <c r="BM20" s="1248">
        <v>1426.24</v>
      </c>
      <c r="BN20" s="1248">
        <v>2327.02</v>
      </c>
      <c r="BO20" s="1248">
        <v>-0.01</v>
      </c>
      <c r="BP20" s="1249">
        <v>15013</v>
      </c>
      <c r="BQ20" s="1247">
        <v>1591.5</v>
      </c>
      <c r="BR20" s="1248">
        <v>0</v>
      </c>
      <c r="BS20" s="1248">
        <v>1426.8</v>
      </c>
      <c r="BT20" s="1248">
        <v>164.7</v>
      </c>
      <c r="BU20" s="1248">
        <v>0</v>
      </c>
      <c r="BV20" s="1249">
        <v>3183</v>
      </c>
      <c r="BW20" s="1247">
        <v>28715.43</v>
      </c>
      <c r="BX20" s="1248">
        <v>0</v>
      </c>
      <c r="BY20" s="1248">
        <v>19813.64</v>
      </c>
      <c r="BZ20" s="1248">
        <v>8901.82</v>
      </c>
      <c r="CA20" s="1248">
        <v>-0.1</v>
      </c>
      <c r="CB20" s="1249">
        <v>57430.79</v>
      </c>
      <c r="CC20" s="1244"/>
      <c r="CD20" s="1245"/>
      <c r="CE20" s="1245"/>
      <c r="CF20" s="1245"/>
      <c r="CG20" s="1245"/>
      <c r="CH20" s="1246"/>
      <c r="CI20" s="1244"/>
      <c r="CJ20" s="1245"/>
      <c r="CK20" s="1245"/>
      <c r="CL20" s="1245"/>
      <c r="CM20" s="1245"/>
      <c r="CN20" s="1246"/>
      <c r="CO20" s="1244"/>
      <c r="CP20" s="1245"/>
      <c r="CQ20" s="1245"/>
      <c r="CR20" s="1245"/>
      <c r="CS20" s="1245"/>
      <c r="CT20" s="1246"/>
      <c r="CU20" s="1247">
        <v>1382</v>
      </c>
      <c r="CV20" s="1248">
        <v>0</v>
      </c>
      <c r="CW20" s="1248">
        <v>1268.0999999999999</v>
      </c>
      <c r="CX20" s="1248">
        <v>113.9</v>
      </c>
      <c r="CY20" s="1248">
        <v>0</v>
      </c>
      <c r="CZ20" s="1249">
        <v>2764</v>
      </c>
      <c r="DA20" s="1247">
        <v>71644</v>
      </c>
      <c r="DB20" s="1248">
        <v>0</v>
      </c>
      <c r="DC20" s="1248">
        <v>0</v>
      </c>
      <c r="DD20" s="1248">
        <v>0</v>
      </c>
      <c r="DE20" s="1248">
        <v>0</v>
      </c>
      <c r="DF20" s="1249">
        <v>71644</v>
      </c>
      <c r="DG20" s="1247">
        <v>3310.25</v>
      </c>
      <c r="DH20" s="1248">
        <v>0</v>
      </c>
      <c r="DI20" s="1248">
        <v>2284.0700000000002</v>
      </c>
      <c r="DJ20" s="1248">
        <v>1026.18</v>
      </c>
      <c r="DK20" s="1248">
        <v>-0.01</v>
      </c>
      <c r="DL20" s="1249">
        <v>6620.49</v>
      </c>
      <c r="DM20" s="1244"/>
      <c r="DN20" s="1245"/>
      <c r="DO20" s="1245"/>
      <c r="DP20" s="1245"/>
      <c r="DQ20" s="1245"/>
      <c r="DR20" s="1246"/>
      <c r="DS20" s="1244"/>
      <c r="DT20" s="1245"/>
      <c r="DU20" s="1245"/>
      <c r="DV20" s="1245"/>
      <c r="DW20" s="1245"/>
      <c r="DX20" s="1246"/>
    </row>
    <row r="21" spans="1:128" ht="15" customHeight="1">
      <c r="A21" s="1092" t="s">
        <v>43</v>
      </c>
      <c r="B21" s="1239" t="s">
        <v>44</v>
      </c>
      <c r="C21" s="1467" t="s">
        <v>272</v>
      </c>
      <c r="D21" s="1240">
        <f t="shared" si="5"/>
        <v>373640.03</v>
      </c>
      <c r="E21" s="1241">
        <f t="shared" si="4"/>
        <v>134293.68999999997</v>
      </c>
      <c r="F21" s="1242">
        <f t="shared" si="6"/>
        <v>158133.78000000003</v>
      </c>
      <c r="G21" s="1243">
        <f t="shared" si="7"/>
        <v>81186.740000000005</v>
      </c>
      <c r="H21" s="1242">
        <f t="shared" si="7"/>
        <v>76947.040000000008</v>
      </c>
      <c r="I21" s="1244"/>
      <c r="J21" s="1245"/>
      <c r="K21" s="1245"/>
      <c r="L21" s="1245"/>
      <c r="M21" s="1245"/>
      <c r="N21" s="1246"/>
      <c r="O21" s="1247">
        <v>0</v>
      </c>
      <c r="P21" s="1248">
        <v>0</v>
      </c>
      <c r="Q21" s="1248">
        <v>0</v>
      </c>
      <c r="R21" s="1248">
        <v>0</v>
      </c>
      <c r="S21" s="1248">
        <v>32440.68</v>
      </c>
      <c r="T21" s="1249">
        <v>32440.68</v>
      </c>
      <c r="U21" s="1247">
        <v>7226.51</v>
      </c>
      <c r="V21" s="1248">
        <v>0</v>
      </c>
      <c r="W21" s="1248">
        <v>43.02</v>
      </c>
      <c r="X21" s="1248">
        <v>1333.46</v>
      </c>
      <c r="Y21" s="1248">
        <v>0.01</v>
      </c>
      <c r="Z21" s="1249">
        <v>8603</v>
      </c>
      <c r="AA21" s="1247">
        <v>84688</v>
      </c>
      <c r="AB21" s="1248">
        <v>0</v>
      </c>
      <c r="AC21" s="1248">
        <v>0</v>
      </c>
      <c r="AD21" s="1248">
        <v>21172</v>
      </c>
      <c r="AE21" s="1248">
        <v>44506.54</v>
      </c>
      <c r="AF21" s="1249">
        <v>150366.54</v>
      </c>
      <c r="AG21" s="1244"/>
      <c r="AH21" s="1245"/>
      <c r="AI21" s="1245"/>
      <c r="AJ21" s="1245"/>
      <c r="AK21" s="1245"/>
      <c r="AL21" s="1246"/>
      <c r="AM21" s="1247">
        <v>2075.1999999999998</v>
      </c>
      <c r="AN21" s="1248">
        <v>0</v>
      </c>
      <c r="AO21" s="1248">
        <v>518.79999999999995</v>
      </c>
      <c r="AP21" s="1248">
        <v>0</v>
      </c>
      <c r="AQ21" s="1248">
        <v>0</v>
      </c>
      <c r="AR21" s="1249">
        <v>2594</v>
      </c>
      <c r="AS21" s="1247">
        <v>5428.8</v>
      </c>
      <c r="AT21" s="1248">
        <v>0</v>
      </c>
      <c r="AU21" s="1248">
        <v>1357.2</v>
      </c>
      <c r="AV21" s="1248">
        <v>0</v>
      </c>
      <c r="AW21" s="1248">
        <v>0</v>
      </c>
      <c r="AX21" s="1249">
        <v>6786</v>
      </c>
      <c r="AY21" s="1244"/>
      <c r="AZ21" s="1245"/>
      <c r="BA21" s="1245"/>
      <c r="BB21" s="1245"/>
      <c r="BC21" s="1245"/>
      <c r="BD21" s="1246"/>
      <c r="BE21" s="1247">
        <v>839.33</v>
      </c>
      <c r="BF21" s="1248">
        <v>0</v>
      </c>
      <c r="BG21" s="1248">
        <v>1515.67</v>
      </c>
      <c r="BH21" s="1248">
        <v>0</v>
      </c>
      <c r="BI21" s="1248">
        <v>0</v>
      </c>
      <c r="BJ21" s="1249">
        <v>2355</v>
      </c>
      <c r="BK21" s="1247">
        <v>32896.51</v>
      </c>
      <c r="BL21" s="1248">
        <v>0</v>
      </c>
      <c r="BM21" s="1248">
        <v>4166.8999999999996</v>
      </c>
      <c r="BN21" s="1248">
        <v>6798.63</v>
      </c>
      <c r="BO21" s="1248">
        <v>-0.04</v>
      </c>
      <c r="BP21" s="1249">
        <v>43862</v>
      </c>
      <c r="BQ21" s="1247">
        <v>35762.9</v>
      </c>
      <c r="BR21" s="1248">
        <v>0</v>
      </c>
      <c r="BS21" s="1248">
        <v>29786.720000000001</v>
      </c>
      <c r="BT21" s="1248">
        <v>5976.18</v>
      </c>
      <c r="BU21" s="1248">
        <v>0</v>
      </c>
      <c r="BV21" s="1249">
        <v>71525.8</v>
      </c>
      <c r="BW21" s="1247">
        <v>115414.87</v>
      </c>
      <c r="BX21" s="1248">
        <v>0</v>
      </c>
      <c r="BY21" s="1248">
        <v>79564.429999999993</v>
      </c>
      <c r="BZ21" s="1248">
        <v>35765.480000000003</v>
      </c>
      <c r="CA21" s="1248">
        <v>-0.14000000000000001</v>
      </c>
      <c r="CB21" s="1249">
        <v>230744.64</v>
      </c>
      <c r="CC21" s="1247">
        <v>1140.71</v>
      </c>
      <c r="CD21" s="1248">
        <v>0</v>
      </c>
      <c r="CE21" s="1248">
        <v>0</v>
      </c>
      <c r="CF21" s="1248">
        <v>2010.39</v>
      </c>
      <c r="CG21" s="1248">
        <v>0</v>
      </c>
      <c r="CH21" s="1249">
        <v>3151.1</v>
      </c>
      <c r="CI21" s="1244"/>
      <c r="CJ21" s="1245"/>
      <c r="CK21" s="1245"/>
      <c r="CL21" s="1245"/>
      <c r="CM21" s="1245"/>
      <c r="CN21" s="1246"/>
      <c r="CO21" s="1247">
        <v>715</v>
      </c>
      <c r="CP21" s="1248">
        <v>0</v>
      </c>
      <c r="CQ21" s="1248">
        <v>0</v>
      </c>
      <c r="CR21" s="1248">
        <v>0</v>
      </c>
      <c r="CS21" s="1248">
        <v>0</v>
      </c>
      <c r="CT21" s="1249">
        <v>715</v>
      </c>
      <c r="CU21" s="1247">
        <v>16720.830000000002</v>
      </c>
      <c r="CV21" s="1248">
        <v>0</v>
      </c>
      <c r="CW21" s="1248">
        <v>13444.36</v>
      </c>
      <c r="CX21" s="1248">
        <v>3276.47</v>
      </c>
      <c r="CY21" s="1248">
        <v>-0.01</v>
      </c>
      <c r="CZ21" s="1249">
        <v>33441.65</v>
      </c>
      <c r="DA21" s="1247">
        <v>48165.09</v>
      </c>
      <c r="DB21" s="1248">
        <v>0</v>
      </c>
      <c r="DC21" s="1248">
        <v>0</v>
      </c>
      <c r="DD21" s="1248">
        <v>0</v>
      </c>
      <c r="DE21" s="1248">
        <v>0</v>
      </c>
      <c r="DF21" s="1249">
        <v>48165.09</v>
      </c>
      <c r="DG21" s="1247">
        <v>5500.01</v>
      </c>
      <c r="DH21" s="1248">
        <v>0</v>
      </c>
      <c r="DI21" s="1248">
        <v>3795</v>
      </c>
      <c r="DJ21" s="1248">
        <v>1705</v>
      </c>
      <c r="DK21" s="1248">
        <v>-0.01</v>
      </c>
      <c r="DL21" s="1249">
        <v>11000</v>
      </c>
      <c r="DM21" s="1247">
        <v>17066.27</v>
      </c>
      <c r="DN21" s="1248">
        <v>0</v>
      </c>
      <c r="DO21" s="1248">
        <v>101.59</v>
      </c>
      <c r="DP21" s="1248">
        <v>3149.13</v>
      </c>
      <c r="DQ21" s="1248">
        <v>0.01</v>
      </c>
      <c r="DR21" s="1249">
        <v>20317</v>
      </c>
      <c r="DS21" s="1244"/>
      <c r="DT21" s="1245"/>
      <c r="DU21" s="1245"/>
      <c r="DV21" s="1245"/>
      <c r="DW21" s="1245"/>
      <c r="DX21" s="1246"/>
    </row>
    <row r="22" spans="1:128" ht="15" customHeight="1">
      <c r="A22" s="1092" t="s">
        <v>45</v>
      </c>
      <c r="B22" s="1239" t="s">
        <v>46</v>
      </c>
      <c r="C22" s="1467" t="s">
        <v>273</v>
      </c>
      <c r="D22" s="1240">
        <f t="shared" si="5"/>
        <v>324110.77</v>
      </c>
      <c r="E22" s="1241">
        <f t="shared" si="4"/>
        <v>79022.89</v>
      </c>
      <c r="F22" s="1242">
        <f t="shared" si="6"/>
        <v>31434.1</v>
      </c>
      <c r="G22" s="1243">
        <f t="shared" si="7"/>
        <v>31434.17</v>
      </c>
      <c r="H22" s="1242">
        <f t="shared" si="7"/>
        <v>-6.9999999999999993E-2</v>
      </c>
      <c r="I22" s="1244"/>
      <c r="J22" s="1245"/>
      <c r="K22" s="1245"/>
      <c r="L22" s="1245"/>
      <c r="M22" s="1245"/>
      <c r="N22" s="1246"/>
      <c r="O22" s="1244"/>
      <c r="P22" s="1245"/>
      <c r="Q22" s="1245"/>
      <c r="R22" s="1245"/>
      <c r="S22" s="1245"/>
      <c r="T22" s="1246"/>
      <c r="U22" s="1247">
        <v>3001.27</v>
      </c>
      <c r="V22" s="1248">
        <v>0</v>
      </c>
      <c r="W22" s="1248">
        <v>17.86</v>
      </c>
      <c r="X22" s="1248">
        <v>553.79999999999995</v>
      </c>
      <c r="Y22" s="1248">
        <v>0.02</v>
      </c>
      <c r="Z22" s="1249">
        <v>3572.95</v>
      </c>
      <c r="AA22" s="1247">
        <v>17516.07</v>
      </c>
      <c r="AB22" s="1248">
        <v>0</v>
      </c>
      <c r="AC22" s="1248">
        <v>0</v>
      </c>
      <c r="AD22" s="1248">
        <v>4379.0600000000004</v>
      </c>
      <c r="AE22" s="1248">
        <v>0</v>
      </c>
      <c r="AF22" s="1249">
        <v>21895.13</v>
      </c>
      <c r="AG22" s="1244"/>
      <c r="AH22" s="1245"/>
      <c r="AI22" s="1245"/>
      <c r="AJ22" s="1245"/>
      <c r="AK22" s="1245"/>
      <c r="AL22" s="1246"/>
      <c r="AM22" s="1247">
        <v>753.16</v>
      </c>
      <c r="AN22" s="1248">
        <v>0</v>
      </c>
      <c r="AO22" s="1248">
        <v>188.29</v>
      </c>
      <c r="AP22" s="1248">
        <v>0</v>
      </c>
      <c r="AQ22" s="1248">
        <v>0</v>
      </c>
      <c r="AR22" s="1249">
        <v>941.45</v>
      </c>
      <c r="AS22" s="1247">
        <v>2221</v>
      </c>
      <c r="AT22" s="1248">
        <v>0</v>
      </c>
      <c r="AU22" s="1248">
        <v>555.25</v>
      </c>
      <c r="AV22" s="1248">
        <v>0</v>
      </c>
      <c r="AW22" s="1248">
        <v>0</v>
      </c>
      <c r="AX22" s="1249">
        <v>2776.25</v>
      </c>
      <c r="AY22" s="1244"/>
      <c r="AZ22" s="1245"/>
      <c r="BA22" s="1245"/>
      <c r="BB22" s="1245"/>
      <c r="BC22" s="1245"/>
      <c r="BD22" s="1246"/>
      <c r="BE22" s="1244"/>
      <c r="BF22" s="1245"/>
      <c r="BG22" s="1245"/>
      <c r="BH22" s="1245"/>
      <c r="BI22" s="1245"/>
      <c r="BJ22" s="1246"/>
      <c r="BK22" s="1247">
        <v>13978.34</v>
      </c>
      <c r="BL22" s="1248">
        <v>0</v>
      </c>
      <c r="BM22" s="1248">
        <v>1770.6</v>
      </c>
      <c r="BN22" s="1248">
        <v>2888.84</v>
      </c>
      <c r="BO22" s="1248">
        <v>0</v>
      </c>
      <c r="BP22" s="1249">
        <v>18637.78</v>
      </c>
      <c r="BQ22" s="1247">
        <v>48449.38</v>
      </c>
      <c r="BR22" s="1248">
        <v>0</v>
      </c>
      <c r="BS22" s="1248">
        <v>41823.599999999999</v>
      </c>
      <c r="BT22" s="1248">
        <v>6625.78</v>
      </c>
      <c r="BU22" s="1248">
        <v>0</v>
      </c>
      <c r="BV22" s="1249">
        <v>96898.76</v>
      </c>
      <c r="BW22" s="1247">
        <v>46482.23</v>
      </c>
      <c r="BX22" s="1248">
        <v>0</v>
      </c>
      <c r="BY22" s="1248">
        <v>30366.55</v>
      </c>
      <c r="BZ22" s="1248">
        <v>14096.51</v>
      </c>
      <c r="CA22" s="1248">
        <v>-0.06</v>
      </c>
      <c r="CB22" s="1249">
        <v>90945.23</v>
      </c>
      <c r="CC22" s="1244"/>
      <c r="CD22" s="1245"/>
      <c r="CE22" s="1245"/>
      <c r="CF22" s="1245"/>
      <c r="CG22" s="1245"/>
      <c r="CH22" s="1246"/>
      <c r="CI22" s="1244"/>
      <c r="CJ22" s="1245"/>
      <c r="CK22" s="1245"/>
      <c r="CL22" s="1245"/>
      <c r="CM22" s="1245"/>
      <c r="CN22" s="1246"/>
      <c r="CO22" s="1247">
        <v>30216</v>
      </c>
      <c r="CP22" s="1248">
        <v>0</v>
      </c>
      <c r="CQ22" s="1248">
        <v>0</v>
      </c>
      <c r="CR22" s="1248">
        <v>0</v>
      </c>
      <c r="CS22" s="1248">
        <v>0</v>
      </c>
      <c r="CT22" s="1249">
        <v>30216</v>
      </c>
      <c r="CU22" s="1244"/>
      <c r="CV22" s="1245"/>
      <c r="CW22" s="1245"/>
      <c r="CX22" s="1245"/>
      <c r="CY22" s="1245"/>
      <c r="CZ22" s="1246"/>
      <c r="DA22" s="1247">
        <v>150037.92000000001</v>
      </c>
      <c r="DB22" s="1248">
        <v>0</v>
      </c>
      <c r="DC22" s="1248">
        <v>0</v>
      </c>
      <c r="DD22" s="1248">
        <v>0</v>
      </c>
      <c r="DE22" s="1248">
        <v>0</v>
      </c>
      <c r="DF22" s="1249">
        <v>150037.92000000001</v>
      </c>
      <c r="DG22" s="1247">
        <v>6187.5</v>
      </c>
      <c r="DH22" s="1248">
        <v>0</v>
      </c>
      <c r="DI22" s="1248">
        <v>4269.38</v>
      </c>
      <c r="DJ22" s="1248">
        <v>1918.13</v>
      </c>
      <c r="DK22" s="1248">
        <v>-0.01</v>
      </c>
      <c r="DL22" s="1249">
        <v>12375</v>
      </c>
      <c r="DM22" s="1247">
        <v>5267.9</v>
      </c>
      <c r="DN22" s="1248">
        <v>0</v>
      </c>
      <c r="DO22" s="1248">
        <v>31.36</v>
      </c>
      <c r="DP22" s="1248">
        <v>972.05</v>
      </c>
      <c r="DQ22" s="1248">
        <v>-0.02</v>
      </c>
      <c r="DR22" s="1249">
        <v>6271.29</v>
      </c>
      <c r="DS22" s="1244"/>
      <c r="DT22" s="1245"/>
      <c r="DU22" s="1245"/>
      <c r="DV22" s="1245"/>
      <c r="DW22" s="1245"/>
      <c r="DX22" s="1246"/>
    </row>
    <row r="23" spans="1:128" ht="15" customHeight="1">
      <c r="A23" s="1092" t="s">
        <v>47</v>
      </c>
      <c r="B23" s="1239" t="s">
        <v>48</v>
      </c>
      <c r="C23" s="1467" t="s">
        <v>275</v>
      </c>
      <c r="D23" s="1240">
        <f t="shared" si="5"/>
        <v>222146.2</v>
      </c>
      <c r="E23" s="1241">
        <f t="shared" si="4"/>
        <v>74673.7</v>
      </c>
      <c r="F23" s="1242">
        <f t="shared" si="6"/>
        <v>40313.79</v>
      </c>
      <c r="G23" s="1243">
        <f t="shared" si="7"/>
        <v>40314.06</v>
      </c>
      <c r="H23" s="1242">
        <f t="shared" si="7"/>
        <v>-0.27</v>
      </c>
      <c r="I23" s="1244"/>
      <c r="J23" s="1245"/>
      <c r="K23" s="1245"/>
      <c r="L23" s="1245"/>
      <c r="M23" s="1245"/>
      <c r="N23" s="1246"/>
      <c r="O23" s="1244"/>
      <c r="P23" s="1245"/>
      <c r="Q23" s="1245"/>
      <c r="R23" s="1245"/>
      <c r="S23" s="1245"/>
      <c r="T23" s="1246"/>
      <c r="U23" s="1247">
        <v>4182.04</v>
      </c>
      <c r="V23" s="1248">
        <v>0</v>
      </c>
      <c r="W23" s="1248">
        <v>24.9</v>
      </c>
      <c r="X23" s="1248">
        <v>771.69</v>
      </c>
      <c r="Y23" s="1248">
        <v>-0.01</v>
      </c>
      <c r="Z23" s="1249">
        <v>4978.62</v>
      </c>
      <c r="AA23" s="1247">
        <v>41857.71</v>
      </c>
      <c r="AB23" s="1248">
        <v>0</v>
      </c>
      <c r="AC23" s="1248">
        <v>0</v>
      </c>
      <c r="AD23" s="1248">
        <v>10464.49</v>
      </c>
      <c r="AE23" s="1248">
        <v>0</v>
      </c>
      <c r="AF23" s="1249">
        <v>52322.2</v>
      </c>
      <c r="AG23" s="1244"/>
      <c r="AH23" s="1245"/>
      <c r="AI23" s="1245"/>
      <c r="AJ23" s="1245"/>
      <c r="AK23" s="1245"/>
      <c r="AL23" s="1246"/>
      <c r="AM23" s="1247">
        <v>364.1</v>
      </c>
      <c r="AN23" s="1248">
        <v>0</v>
      </c>
      <c r="AO23" s="1248">
        <v>91.03</v>
      </c>
      <c r="AP23" s="1248">
        <v>0</v>
      </c>
      <c r="AQ23" s="1248">
        <v>0</v>
      </c>
      <c r="AR23" s="1249">
        <v>455.13</v>
      </c>
      <c r="AS23" s="1247">
        <v>3524.77</v>
      </c>
      <c r="AT23" s="1248">
        <v>0</v>
      </c>
      <c r="AU23" s="1248">
        <v>881.2</v>
      </c>
      <c r="AV23" s="1248">
        <v>0</v>
      </c>
      <c r="AW23" s="1248">
        <v>0</v>
      </c>
      <c r="AX23" s="1249">
        <v>4405.97</v>
      </c>
      <c r="AY23" s="1244"/>
      <c r="AZ23" s="1245"/>
      <c r="BA23" s="1245"/>
      <c r="BB23" s="1245"/>
      <c r="BC23" s="1245"/>
      <c r="BD23" s="1246"/>
      <c r="BE23" s="1244"/>
      <c r="BF23" s="1245"/>
      <c r="BG23" s="1245"/>
      <c r="BH23" s="1245"/>
      <c r="BI23" s="1245"/>
      <c r="BJ23" s="1246"/>
      <c r="BK23" s="1247">
        <v>15466.51</v>
      </c>
      <c r="BL23" s="1248">
        <v>0</v>
      </c>
      <c r="BM23" s="1248">
        <v>1959.14</v>
      </c>
      <c r="BN23" s="1248">
        <v>3196.46</v>
      </c>
      <c r="BO23" s="1248">
        <v>-0.11</v>
      </c>
      <c r="BP23" s="1249">
        <v>20622</v>
      </c>
      <c r="BQ23" s="1247">
        <v>35840.5</v>
      </c>
      <c r="BR23" s="1248">
        <v>0</v>
      </c>
      <c r="BS23" s="1248">
        <v>29593</v>
      </c>
      <c r="BT23" s="1248">
        <v>6247.5</v>
      </c>
      <c r="BU23" s="1248">
        <v>0</v>
      </c>
      <c r="BV23" s="1249">
        <v>71681</v>
      </c>
      <c r="BW23" s="1247">
        <v>53566.85</v>
      </c>
      <c r="BX23" s="1248">
        <v>0</v>
      </c>
      <c r="BY23" s="1248">
        <v>36473.019999999997</v>
      </c>
      <c r="BZ23" s="1248">
        <v>16516.189999999999</v>
      </c>
      <c r="CA23" s="1248">
        <v>-0.15</v>
      </c>
      <c r="CB23" s="1249">
        <v>106555.91</v>
      </c>
      <c r="CC23" s="1244"/>
      <c r="CD23" s="1245"/>
      <c r="CE23" s="1245"/>
      <c r="CF23" s="1245"/>
      <c r="CG23" s="1245"/>
      <c r="CH23" s="1246"/>
      <c r="CI23" s="1244"/>
      <c r="CJ23" s="1245"/>
      <c r="CK23" s="1245"/>
      <c r="CL23" s="1245"/>
      <c r="CM23" s="1245"/>
      <c r="CN23" s="1246"/>
      <c r="CO23" s="1247">
        <v>6061</v>
      </c>
      <c r="CP23" s="1248">
        <v>0</v>
      </c>
      <c r="CQ23" s="1248">
        <v>0</v>
      </c>
      <c r="CR23" s="1248">
        <v>0</v>
      </c>
      <c r="CS23" s="1248">
        <v>0</v>
      </c>
      <c r="CT23" s="1249">
        <v>6061</v>
      </c>
      <c r="CU23" s="1247">
        <v>3114.5</v>
      </c>
      <c r="CV23" s="1248">
        <v>0</v>
      </c>
      <c r="CW23" s="1248">
        <v>2600.9</v>
      </c>
      <c r="CX23" s="1248">
        <v>513.6</v>
      </c>
      <c r="CY23" s="1248">
        <v>0</v>
      </c>
      <c r="CZ23" s="1249">
        <v>6229</v>
      </c>
      <c r="DA23" s="1247">
        <v>47022</v>
      </c>
      <c r="DB23" s="1248">
        <v>0</v>
      </c>
      <c r="DC23" s="1248">
        <v>0</v>
      </c>
      <c r="DD23" s="1248">
        <v>0</v>
      </c>
      <c r="DE23" s="1248">
        <v>0</v>
      </c>
      <c r="DF23" s="1249">
        <v>47022</v>
      </c>
      <c r="DG23" s="1247">
        <v>4362.5</v>
      </c>
      <c r="DH23" s="1248">
        <v>0</v>
      </c>
      <c r="DI23" s="1248">
        <v>3010.13</v>
      </c>
      <c r="DJ23" s="1248">
        <v>1352.38</v>
      </c>
      <c r="DK23" s="1248">
        <v>-0.01</v>
      </c>
      <c r="DL23" s="1249">
        <v>8725</v>
      </c>
      <c r="DM23" s="1247">
        <v>6783.72</v>
      </c>
      <c r="DN23" s="1248">
        <v>0</v>
      </c>
      <c r="DO23" s="1248">
        <v>40.380000000000003</v>
      </c>
      <c r="DP23" s="1248">
        <v>1251.75</v>
      </c>
      <c r="DQ23" s="1248">
        <v>0.01</v>
      </c>
      <c r="DR23" s="1249">
        <v>8075.86</v>
      </c>
      <c r="DS23" s="1244"/>
      <c r="DT23" s="1245"/>
      <c r="DU23" s="1245"/>
      <c r="DV23" s="1245"/>
      <c r="DW23" s="1245"/>
      <c r="DX23" s="1246"/>
    </row>
    <row r="24" spans="1:128" ht="15" customHeight="1">
      <c r="A24" s="1092" t="s">
        <v>49</v>
      </c>
      <c r="B24" s="1239" t="s">
        <v>276</v>
      </c>
      <c r="C24" s="1467" t="s">
        <v>273</v>
      </c>
      <c r="D24" s="1240">
        <f t="shared" si="5"/>
        <v>86287.31</v>
      </c>
      <c r="E24" s="1241">
        <f t="shared" si="4"/>
        <v>12217.07</v>
      </c>
      <c r="F24" s="1242">
        <f t="shared" si="6"/>
        <v>17352</v>
      </c>
      <c r="G24" s="1243">
        <f t="shared" si="7"/>
        <v>8235.7100000000009</v>
      </c>
      <c r="H24" s="1242">
        <f t="shared" si="7"/>
        <v>9116.2900000000009</v>
      </c>
      <c r="I24" s="1244"/>
      <c r="J24" s="1245"/>
      <c r="K24" s="1245"/>
      <c r="L24" s="1245"/>
      <c r="M24" s="1245"/>
      <c r="N24" s="1246"/>
      <c r="O24" s="1244"/>
      <c r="P24" s="1245"/>
      <c r="Q24" s="1245"/>
      <c r="R24" s="1245"/>
      <c r="S24" s="1245"/>
      <c r="T24" s="1246"/>
      <c r="U24" s="1247">
        <v>1460.76</v>
      </c>
      <c r="V24" s="1248">
        <v>0</v>
      </c>
      <c r="W24" s="1248">
        <v>8.6999999999999993</v>
      </c>
      <c r="X24" s="1248">
        <v>269.55</v>
      </c>
      <c r="Y24" s="1248">
        <v>-0.01</v>
      </c>
      <c r="Z24" s="1249">
        <v>1739</v>
      </c>
      <c r="AA24" s="1247">
        <v>13546.41</v>
      </c>
      <c r="AB24" s="1248">
        <v>0</v>
      </c>
      <c r="AC24" s="1248">
        <v>0</v>
      </c>
      <c r="AD24" s="1248">
        <v>3386.59</v>
      </c>
      <c r="AE24" s="1248">
        <v>7264.35</v>
      </c>
      <c r="AF24" s="1249">
        <v>24197.35</v>
      </c>
      <c r="AG24" s="1244"/>
      <c r="AH24" s="1245"/>
      <c r="AI24" s="1245"/>
      <c r="AJ24" s="1245"/>
      <c r="AK24" s="1245"/>
      <c r="AL24" s="1246"/>
      <c r="AM24" s="1244"/>
      <c r="AN24" s="1245"/>
      <c r="AO24" s="1245"/>
      <c r="AP24" s="1245"/>
      <c r="AQ24" s="1245"/>
      <c r="AR24" s="1246"/>
      <c r="AS24" s="1244"/>
      <c r="AT24" s="1245"/>
      <c r="AU24" s="1245"/>
      <c r="AV24" s="1245"/>
      <c r="AW24" s="1245"/>
      <c r="AX24" s="1246"/>
      <c r="AY24" s="1244"/>
      <c r="AZ24" s="1245"/>
      <c r="BA24" s="1245"/>
      <c r="BB24" s="1245"/>
      <c r="BC24" s="1245"/>
      <c r="BD24" s="1246"/>
      <c r="BE24" s="1244"/>
      <c r="BF24" s="1245"/>
      <c r="BG24" s="1245"/>
      <c r="BH24" s="1245"/>
      <c r="BI24" s="1245"/>
      <c r="BJ24" s="1246"/>
      <c r="BK24" s="1247">
        <v>2551.5</v>
      </c>
      <c r="BL24" s="1248">
        <v>0</v>
      </c>
      <c r="BM24" s="1248">
        <v>323.19</v>
      </c>
      <c r="BN24" s="1248">
        <v>527.30999999999995</v>
      </c>
      <c r="BO24" s="1248">
        <v>0</v>
      </c>
      <c r="BP24" s="1249">
        <v>3402</v>
      </c>
      <c r="BQ24" s="1247">
        <v>11608</v>
      </c>
      <c r="BR24" s="1248">
        <v>0</v>
      </c>
      <c r="BS24" s="1248">
        <v>9719.1</v>
      </c>
      <c r="BT24" s="1248">
        <v>1888.9</v>
      </c>
      <c r="BU24" s="1248">
        <v>0</v>
      </c>
      <c r="BV24" s="1249">
        <v>23216</v>
      </c>
      <c r="BW24" s="1247">
        <v>3292.77</v>
      </c>
      <c r="BX24" s="1248">
        <v>0</v>
      </c>
      <c r="BY24" s="1248">
        <v>2128.38</v>
      </c>
      <c r="BZ24" s="1248">
        <v>994.42</v>
      </c>
      <c r="CA24" s="1248">
        <v>-0.05</v>
      </c>
      <c r="CB24" s="1249">
        <v>6415.52</v>
      </c>
      <c r="CC24" s="1244"/>
      <c r="CD24" s="1245"/>
      <c r="CE24" s="1245"/>
      <c r="CF24" s="1245"/>
      <c r="CG24" s="1245"/>
      <c r="CH24" s="1246"/>
      <c r="CI24" s="1244"/>
      <c r="CJ24" s="1245"/>
      <c r="CK24" s="1245"/>
      <c r="CL24" s="1245"/>
      <c r="CM24" s="1245"/>
      <c r="CN24" s="1246"/>
      <c r="CO24" s="1247">
        <v>4634</v>
      </c>
      <c r="CP24" s="1248">
        <v>0</v>
      </c>
      <c r="CQ24" s="1248">
        <v>0</v>
      </c>
      <c r="CR24" s="1248">
        <v>0</v>
      </c>
      <c r="CS24" s="1248">
        <v>0</v>
      </c>
      <c r="CT24" s="1249">
        <v>4634</v>
      </c>
      <c r="CU24" s="1244"/>
      <c r="CV24" s="1245"/>
      <c r="CW24" s="1245"/>
      <c r="CX24" s="1245"/>
      <c r="CY24" s="1245"/>
      <c r="CZ24" s="1246"/>
      <c r="DA24" s="1247">
        <v>42859</v>
      </c>
      <c r="DB24" s="1248">
        <v>0</v>
      </c>
      <c r="DC24" s="1248">
        <v>0</v>
      </c>
      <c r="DD24" s="1248">
        <v>0</v>
      </c>
      <c r="DE24" s="1248">
        <v>1852</v>
      </c>
      <c r="DF24" s="1249">
        <v>44711</v>
      </c>
      <c r="DG24" s="1244"/>
      <c r="DH24" s="1245"/>
      <c r="DI24" s="1245"/>
      <c r="DJ24" s="1245"/>
      <c r="DK24" s="1245"/>
      <c r="DL24" s="1246"/>
      <c r="DM24" s="1247">
        <v>6334.87</v>
      </c>
      <c r="DN24" s="1248">
        <v>0</v>
      </c>
      <c r="DO24" s="1248">
        <v>37.700000000000003</v>
      </c>
      <c r="DP24" s="1248">
        <v>1168.94</v>
      </c>
      <c r="DQ24" s="1248">
        <v>0</v>
      </c>
      <c r="DR24" s="1249">
        <v>7541.51</v>
      </c>
      <c r="DS24" s="1244"/>
      <c r="DT24" s="1245"/>
      <c r="DU24" s="1245"/>
      <c r="DV24" s="1245"/>
      <c r="DW24" s="1245"/>
      <c r="DX24" s="1246"/>
    </row>
    <row r="25" spans="1:128" ht="15" customHeight="1">
      <c r="A25" s="1092" t="s">
        <v>51</v>
      </c>
      <c r="B25" s="1239" t="s">
        <v>52</v>
      </c>
      <c r="C25" s="1467" t="s">
        <v>272</v>
      </c>
      <c r="D25" s="1240">
        <f t="shared" si="5"/>
        <v>94352.170000000013</v>
      </c>
      <c r="E25" s="1241">
        <f t="shared" si="4"/>
        <v>9573.8499999999985</v>
      </c>
      <c r="F25" s="1242">
        <f t="shared" si="6"/>
        <v>16950.480000000003</v>
      </c>
      <c r="G25" s="1243">
        <f t="shared" si="7"/>
        <v>16950.530000000002</v>
      </c>
      <c r="H25" s="1242">
        <f t="shared" si="7"/>
        <v>-4.9999999999999996E-2</v>
      </c>
      <c r="I25" s="1244"/>
      <c r="J25" s="1245"/>
      <c r="K25" s="1245"/>
      <c r="L25" s="1245"/>
      <c r="M25" s="1245"/>
      <c r="N25" s="1246"/>
      <c r="O25" s="1244"/>
      <c r="P25" s="1245"/>
      <c r="Q25" s="1245"/>
      <c r="R25" s="1245"/>
      <c r="S25" s="1245"/>
      <c r="T25" s="1246"/>
      <c r="U25" s="1247">
        <v>1330.56</v>
      </c>
      <c r="V25" s="1248">
        <v>0</v>
      </c>
      <c r="W25" s="1248">
        <v>7.93</v>
      </c>
      <c r="X25" s="1248">
        <v>245.53</v>
      </c>
      <c r="Y25" s="1248">
        <v>-0.02</v>
      </c>
      <c r="Z25" s="1249">
        <v>1584</v>
      </c>
      <c r="AA25" s="1247">
        <v>50055.5</v>
      </c>
      <c r="AB25" s="1248">
        <v>0</v>
      </c>
      <c r="AC25" s="1248">
        <v>0</v>
      </c>
      <c r="AD25" s="1248">
        <v>12513.84</v>
      </c>
      <c r="AE25" s="1248">
        <v>0</v>
      </c>
      <c r="AF25" s="1249">
        <v>62569.34</v>
      </c>
      <c r="AG25" s="1244"/>
      <c r="AH25" s="1245"/>
      <c r="AI25" s="1245"/>
      <c r="AJ25" s="1245"/>
      <c r="AK25" s="1245"/>
      <c r="AL25" s="1246"/>
      <c r="AM25" s="1244"/>
      <c r="AN25" s="1245"/>
      <c r="AO25" s="1245"/>
      <c r="AP25" s="1245"/>
      <c r="AQ25" s="1245"/>
      <c r="AR25" s="1246"/>
      <c r="AS25" s="1247">
        <v>941.9</v>
      </c>
      <c r="AT25" s="1248">
        <v>0</v>
      </c>
      <c r="AU25" s="1248">
        <v>235.48</v>
      </c>
      <c r="AV25" s="1248">
        <v>0</v>
      </c>
      <c r="AW25" s="1248">
        <v>0</v>
      </c>
      <c r="AX25" s="1249">
        <v>1177.3800000000001</v>
      </c>
      <c r="AY25" s="1244"/>
      <c r="AZ25" s="1245"/>
      <c r="BA25" s="1245"/>
      <c r="BB25" s="1245"/>
      <c r="BC25" s="1245"/>
      <c r="BD25" s="1246"/>
      <c r="BE25" s="1244"/>
      <c r="BF25" s="1245"/>
      <c r="BG25" s="1245"/>
      <c r="BH25" s="1245"/>
      <c r="BI25" s="1245"/>
      <c r="BJ25" s="1246"/>
      <c r="BK25" s="1244"/>
      <c r="BL25" s="1245"/>
      <c r="BM25" s="1245"/>
      <c r="BN25" s="1245"/>
      <c r="BO25" s="1245"/>
      <c r="BP25" s="1246"/>
      <c r="BQ25" s="1244"/>
      <c r="BR25" s="1245"/>
      <c r="BS25" s="1245"/>
      <c r="BT25" s="1245"/>
      <c r="BU25" s="1245"/>
      <c r="BV25" s="1246"/>
      <c r="BW25" s="1247">
        <v>9884.67</v>
      </c>
      <c r="BX25" s="1248">
        <v>0</v>
      </c>
      <c r="BY25" s="1248">
        <v>6820.41</v>
      </c>
      <c r="BZ25" s="1248">
        <v>3064.22</v>
      </c>
      <c r="CA25" s="1248">
        <v>-0.02</v>
      </c>
      <c r="CB25" s="1249">
        <v>19769.28</v>
      </c>
      <c r="CC25" s="1244"/>
      <c r="CD25" s="1245"/>
      <c r="CE25" s="1245"/>
      <c r="CF25" s="1245"/>
      <c r="CG25" s="1245"/>
      <c r="CH25" s="1246"/>
      <c r="CI25" s="1244"/>
      <c r="CJ25" s="1245"/>
      <c r="CK25" s="1245"/>
      <c r="CL25" s="1245"/>
      <c r="CM25" s="1245"/>
      <c r="CN25" s="1246"/>
      <c r="CO25" s="1244"/>
      <c r="CP25" s="1245"/>
      <c r="CQ25" s="1245"/>
      <c r="CR25" s="1245"/>
      <c r="CS25" s="1245"/>
      <c r="CT25" s="1246"/>
      <c r="CU25" s="1244"/>
      <c r="CV25" s="1245"/>
      <c r="CW25" s="1245"/>
      <c r="CX25" s="1245"/>
      <c r="CY25" s="1245"/>
      <c r="CZ25" s="1246"/>
      <c r="DA25" s="1247">
        <v>28506</v>
      </c>
      <c r="DB25" s="1248">
        <v>0</v>
      </c>
      <c r="DC25" s="1248">
        <v>0</v>
      </c>
      <c r="DD25" s="1248">
        <v>0</v>
      </c>
      <c r="DE25" s="1248">
        <v>0</v>
      </c>
      <c r="DF25" s="1249">
        <v>28506</v>
      </c>
      <c r="DG25" s="1247">
        <v>3637.74</v>
      </c>
      <c r="DH25" s="1248">
        <v>0</v>
      </c>
      <c r="DI25" s="1248">
        <v>2510.06</v>
      </c>
      <c r="DJ25" s="1248">
        <v>1127.72</v>
      </c>
      <c r="DK25" s="1248">
        <v>-0.02</v>
      </c>
      <c r="DL25" s="1249">
        <v>7275.5</v>
      </c>
      <c r="DM25" s="1247">
        <v>-4.2</v>
      </c>
      <c r="DN25" s="1248">
        <v>0</v>
      </c>
      <c r="DO25" s="1248">
        <v>-0.03</v>
      </c>
      <c r="DP25" s="1248">
        <v>-0.78</v>
      </c>
      <c r="DQ25" s="1248">
        <v>0.01</v>
      </c>
      <c r="DR25" s="1249">
        <v>-5</v>
      </c>
      <c r="DS25" s="1244"/>
      <c r="DT25" s="1245"/>
      <c r="DU25" s="1245"/>
      <c r="DV25" s="1245"/>
      <c r="DW25" s="1245"/>
      <c r="DX25" s="1246"/>
    </row>
    <row r="26" spans="1:128" ht="15" customHeight="1">
      <c r="A26" s="1092" t="s">
        <v>57</v>
      </c>
      <c r="B26" s="1239" t="s">
        <v>305</v>
      </c>
      <c r="C26" s="1467" t="s">
        <v>273</v>
      </c>
      <c r="D26" s="1240">
        <f t="shared" si="5"/>
        <v>1996218.4500000002</v>
      </c>
      <c r="E26" s="1241">
        <f t="shared" si="4"/>
        <v>811309.72000000009</v>
      </c>
      <c r="F26" s="1242">
        <f t="shared" si="6"/>
        <v>226353.69000000003</v>
      </c>
      <c r="G26" s="1243">
        <f t="shared" si="7"/>
        <v>210221.42000000004</v>
      </c>
      <c r="H26" s="1242">
        <f t="shared" si="7"/>
        <v>16132.269999999999</v>
      </c>
      <c r="I26" s="1244"/>
      <c r="J26" s="1245"/>
      <c r="K26" s="1245"/>
      <c r="L26" s="1245"/>
      <c r="M26" s="1245"/>
      <c r="N26" s="1246"/>
      <c r="O26" s="1244"/>
      <c r="P26" s="1245"/>
      <c r="Q26" s="1245"/>
      <c r="R26" s="1245"/>
      <c r="S26" s="1245"/>
      <c r="T26" s="1246"/>
      <c r="U26" s="1247">
        <v>22266.63</v>
      </c>
      <c r="V26" s="1248">
        <v>0</v>
      </c>
      <c r="W26" s="1248">
        <v>132.54</v>
      </c>
      <c r="X26" s="1248">
        <v>4108.72</v>
      </c>
      <c r="Y26" s="1248">
        <v>25.75</v>
      </c>
      <c r="Z26" s="1249">
        <v>26533.64</v>
      </c>
      <c r="AA26" s="1247">
        <v>53976.15</v>
      </c>
      <c r="AB26" s="1248">
        <v>0</v>
      </c>
      <c r="AC26" s="1248">
        <v>0</v>
      </c>
      <c r="AD26" s="1248">
        <v>13494.08</v>
      </c>
      <c r="AE26" s="1248">
        <v>0</v>
      </c>
      <c r="AF26" s="1249">
        <v>67470.23000000001</v>
      </c>
      <c r="AG26" s="1244"/>
      <c r="AH26" s="1245"/>
      <c r="AI26" s="1245"/>
      <c r="AJ26" s="1245"/>
      <c r="AK26" s="1245"/>
      <c r="AL26" s="1246"/>
      <c r="AM26" s="1247">
        <v>6797.56</v>
      </c>
      <c r="AN26" s="1248">
        <v>0</v>
      </c>
      <c r="AO26" s="1248">
        <v>1699.38</v>
      </c>
      <c r="AP26" s="1248">
        <v>0</v>
      </c>
      <c r="AQ26" s="1248">
        <v>0</v>
      </c>
      <c r="AR26" s="1249">
        <v>8496.94</v>
      </c>
      <c r="AS26" s="1247">
        <v>11990.45</v>
      </c>
      <c r="AT26" s="1248">
        <v>0</v>
      </c>
      <c r="AU26" s="1248">
        <v>2997.61</v>
      </c>
      <c r="AV26" s="1248">
        <v>0</v>
      </c>
      <c r="AW26" s="1248">
        <v>0</v>
      </c>
      <c r="AX26" s="1249">
        <v>14988.06</v>
      </c>
      <c r="AY26" s="1244"/>
      <c r="AZ26" s="1245"/>
      <c r="BA26" s="1245"/>
      <c r="BB26" s="1245"/>
      <c r="BC26" s="1245"/>
      <c r="BD26" s="1246"/>
      <c r="BE26" s="1247">
        <v>356.4</v>
      </c>
      <c r="BF26" s="1248">
        <v>0</v>
      </c>
      <c r="BG26" s="1248">
        <v>643.6</v>
      </c>
      <c r="BH26" s="1248">
        <v>0</v>
      </c>
      <c r="BI26" s="1248">
        <v>180</v>
      </c>
      <c r="BJ26" s="1249">
        <v>1180</v>
      </c>
      <c r="BK26" s="1247">
        <v>117977.15000000001</v>
      </c>
      <c r="BL26" s="1248">
        <v>0</v>
      </c>
      <c r="BM26" s="1248">
        <v>14943.78</v>
      </c>
      <c r="BN26" s="1248">
        <v>24381.94</v>
      </c>
      <c r="BO26" s="1248">
        <v>2439.96</v>
      </c>
      <c r="BP26" s="1249">
        <v>159742.83000000002</v>
      </c>
      <c r="BQ26" s="1247">
        <v>690066.25</v>
      </c>
      <c r="BR26" s="1248">
        <v>0</v>
      </c>
      <c r="BS26" s="1248">
        <v>608929.82999999996</v>
      </c>
      <c r="BT26" s="1248">
        <v>81136.399999999994</v>
      </c>
      <c r="BU26" s="1248">
        <v>139.75</v>
      </c>
      <c r="BV26" s="1249">
        <v>1380272.23</v>
      </c>
      <c r="BW26" s="1247">
        <v>251319.26</v>
      </c>
      <c r="BX26" s="1248">
        <v>0</v>
      </c>
      <c r="BY26" s="1248">
        <v>173410.29</v>
      </c>
      <c r="BZ26" s="1248">
        <v>77908.990000000005</v>
      </c>
      <c r="CA26" s="1248">
        <v>12839.8</v>
      </c>
      <c r="CB26" s="1249">
        <v>515478.33999999997</v>
      </c>
      <c r="CC26" s="1247">
        <v>2972.51</v>
      </c>
      <c r="CD26" s="1248">
        <v>0</v>
      </c>
      <c r="CE26" s="1248">
        <v>0</v>
      </c>
      <c r="CF26" s="1248">
        <v>5238.8900000000003</v>
      </c>
      <c r="CG26" s="1248">
        <v>0</v>
      </c>
      <c r="CH26" s="1249">
        <v>8211.4</v>
      </c>
      <c r="CI26" s="1244"/>
      <c r="CJ26" s="1245"/>
      <c r="CK26" s="1245"/>
      <c r="CL26" s="1245"/>
      <c r="CM26" s="1245"/>
      <c r="CN26" s="1246"/>
      <c r="CO26" s="1247">
        <v>42138.400000000001</v>
      </c>
      <c r="CP26" s="1248">
        <v>0</v>
      </c>
      <c r="CQ26" s="1248">
        <v>0</v>
      </c>
      <c r="CR26" s="1248">
        <v>0</v>
      </c>
      <c r="CS26" s="1248">
        <v>351</v>
      </c>
      <c r="CT26" s="1249">
        <v>42489.4</v>
      </c>
      <c r="CU26" s="1247">
        <v>862</v>
      </c>
      <c r="CV26" s="1248">
        <v>0</v>
      </c>
      <c r="CW26" s="1248">
        <v>862</v>
      </c>
      <c r="CX26" s="1248">
        <v>0</v>
      </c>
      <c r="CY26" s="1248">
        <v>0</v>
      </c>
      <c r="CZ26" s="1249">
        <v>1724</v>
      </c>
      <c r="DA26" s="1247">
        <v>781639.34</v>
      </c>
      <c r="DB26" s="1248">
        <v>0</v>
      </c>
      <c r="DC26" s="1248">
        <v>0</v>
      </c>
      <c r="DD26" s="1248">
        <v>0</v>
      </c>
      <c r="DE26" s="1248">
        <v>156</v>
      </c>
      <c r="DF26" s="1249">
        <v>781795.34</v>
      </c>
      <c r="DG26" s="1247">
        <v>11122.34</v>
      </c>
      <c r="DH26" s="1248">
        <v>0</v>
      </c>
      <c r="DI26" s="1248">
        <v>7674.41</v>
      </c>
      <c r="DJ26" s="1248">
        <v>3447.92</v>
      </c>
      <c r="DK26" s="1248">
        <v>0</v>
      </c>
      <c r="DL26" s="1249">
        <v>22244.67</v>
      </c>
      <c r="DM26" s="1247">
        <v>2734.01</v>
      </c>
      <c r="DN26" s="1248">
        <v>0</v>
      </c>
      <c r="DO26" s="1248">
        <v>16.28</v>
      </c>
      <c r="DP26" s="1248">
        <v>504.48</v>
      </c>
      <c r="DQ26" s="1248">
        <v>0.01</v>
      </c>
      <c r="DR26" s="1249">
        <v>3254.78</v>
      </c>
      <c r="DS26" s="1244"/>
      <c r="DT26" s="1245"/>
      <c r="DU26" s="1245"/>
      <c r="DV26" s="1245"/>
      <c r="DW26" s="1245"/>
      <c r="DX26" s="1246"/>
    </row>
    <row r="27" spans="1:128" ht="15" customHeight="1">
      <c r="A27" s="1092" t="s">
        <v>59</v>
      </c>
      <c r="B27" s="1239" t="s">
        <v>60</v>
      </c>
      <c r="C27" s="1467" t="s">
        <v>274</v>
      </c>
      <c r="D27" s="1240">
        <f t="shared" si="5"/>
        <v>140193.01</v>
      </c>
      <c r="E27" s="1241">
        <f t="shared" si="4"/>
        <v>31435.480000000003</v>
      </c>
      <c r="F27" s="1242">
        <f t="shared" si="6"/>
        <v>38212.97</v>
      </c>
      <c r="G27" s="1243">
        <f t="shared" si="7"/>
        <v>33862.29</v>
      </c>
      <c r="H27" s="1242">
        <f t="shared" si="7"/>
        <v>4350.68</v>
      </c>
      <c r="I27" s="1244"/>
      <c r="J27" s="1245"/>
      <c r="K27" s="1245"/>
      <c r="L27" s="1245"/>
      <c r="M27" s="1245"/>
      <c r="N27" s="1246"/>
      <c r="O27" s="1244"/>
      <c r="P27" s="1245"/>
      <c r="Q27" s="1245"/>
      <c r="R27" s="1245"/>
      <c r="S27" s="1245"/>
      <c r="T27" s="1246"/>
      <c r="U27" s="1247">
        <v>1157.72</v>
      </c>
      <c r="V27" s="1248">
        <v>0</v>
      </c>
      <c r="W27" s="1248">
        <v>6.88</v>
      </c>
      <c r="X27" s="1248">
        <v>213.61</v>
      </c>
      <c r="Y27" s="1248">
        <v>0.02</v>
      </c>
      <c r="Z27" s="1249">
        <v>1378.23</v>
      </c>
      <c r="AA27" s="1247">
        <v>7451.5</v>
      </c>
      <c r="AB27" s="1248">
        <v>0</v>
      </c>
      <c r="AC27" s="1248">
        <v>0</v>
      </c>
      <c r="AD27" s="1248">
        <v>1862.87</v>
      </c>
      <c r="AE27" s="1248">
        <v>4266.18</v>
      </c>
      <c r="AF27" s="1249">
        <v>13580.55</v>
      </c>
      <c r="AG27" s="1244"/>
      <c r="AH27" s="1245"/>
      <c r="AI27" s="1245"/>
      <c r="AJ27" s="1245"/>
      <c r="AK27" s="1245"/>
      <c r="AL27" s="1246"/>
      <c r="AM27" s="1244"/>
      <c r="AN27" s="1245"/>
      <c r="AO27" s="1245"/>
      <c r="AP27" s="1245"/>
      <c r="AQ27" s="1245"/>
      <c r="AR27" s="1246"/>
      <c r="AS27" s="1247">
        <v>2326.4</v>
      </c>
      <c r="AT27" s="1248">
        <v>0</v>
      </c>
      <c r="AU27" s="1248">
        <v>581.6</v>
      </c>
      <c r="AV27" s="1248">
        <v>0</v>
      </c>
      <c r="AW27" s="1248">
        <v>0</v>
      </c>
      <c r="AX27" s="1249">
        <v>2908</v>
      </c>
      <c r="AY27" s="1244"/>
      <c r="AZ27" s="1245"/>
      <c r="BA27" s="1245"/>
      <c r="BB27" s="1245"/>
      <c r="BC27" s="1245"/>
      <c r="BD27" s="1246"/>
      <c r="BE27" s="1244"/>
      <c r="BF27" s="1245"/>
      <c r="BG27" s="1245"/>
      <c r="BH27" s="1245"/>
      <c r="BI27" s="1245"/>
      <c r="BJ27" s="1246"/>
      <c r="BK27" s="1247">
        <v>13922.31</v>
      </c>
      <c r="BL27" s="1248">
        <v>0</v>
      </c>
      <c r="BM27" s="1248">
        <v>1763.51</v>
      </c>
      <c r="BN27" s="1248">
        <v>2877.28</v>
      </c>
      <c r="BO27" s="1248">
        <v>-0.05</v>
      </c>
      <c r="BP27" s="1249">
        <v>18563.05</v>
      </c>
      <c r="BQ27" s="1247">
        <v>25380.85</v>
      </c>
      <c r="BR27" s="1248">
        <v>0</v>
      </c>
      <c r="BS27" s="1248">
        <v>22132.12</v>
      </c>
      <c r="BT27" s="1248">
        <v>3248.73</v>
      </c>
      <c r="BU27" s="1248">
        <v>-0.01</v>
      </c>
      <c r="BV27" s="1249">
        <v>50761.69</v>
      </c>
      <c r="BW27" s="1247">
        <v>7110.69</v>
      </c>
      <c r="BX27" s="1248">
        <v>0</v>
      </c>
      <c r="BY27" s="1248">
        <v>4052.65</v>
      </c>
      <c r="BZ27" s="1248">
        <v>2047.71</v>
      </c>
      <c r="CA27" s="1248">
        <v>-0.05</v>
      </c>
      <c r="CB27" s="1249">
        <v>13211</v>
      </c>
      <c r="CC27" s="1247">
        <v>11460.2</v>
      </c>
      <c r="CD27" s="1248">
        <v>0</v>
      </c>
      <c r="CE27" s="1248">
        <v>0</v>
      </c>
      <c r="CF27" s="1248">
        <v>20197.810000000001</v>
      </c>
      <c r="CG27" s="1248">
        <v>84.59</v>
      </c>
      <c r="CH27" s="1249">
        <v>31742.6</v>
      </c>
      <c r="CI27" s="1247">
        <v>162.43</v>
      </c>
      <c r="CJ27" s="1248">
        <v>0</v>
      </c>
      <c r="CK27" s="1248">
        <v>0</v>
      </c>
      <c r="CL27" s="1248">
        <v>508.77</v>
      </c>
      <c r="CM27" s="1248">
        <v>0</v>
      </c>
      <c r="CN27" s="1249">
        <v>671.2</v>
      </c>
      <c r="CO27" s="1244"/>
      <c r="CP27" s="1245"/>
      <c r="CQ27" s="1245"/>
      <c r="CR27" s="1245"/>
      <c r="CS27" s="1245"/>
      <c r="CT27" s="1246"/>
      <c r="CU27" s="1244"/>
      <c r="CV27" s="1245"/>
      <c r="CW27" s="1245"/>
      <c r="CX27" s="1245"/>
      <c r="CY27" s="1245"/>
      <c r="CZ27" s="1246"/>
      <c r="DA27" s="1247">
        <v>58279.9</v>
      </c>
      <c r="DB27" s="1248">
        <v>0</v>
      </c>
      <c r="DC27" s="1248">
        <v>0</v>
      </c>
      <c r="DD27" s="1248">
        <v>0</v>
      </c>
      <c r="DE27" s="1248">
        <v>0</v>
      </c>
      <c r="DF27" s="1249">
        <v>58279.9</v>
      </c>
      <c r="DG27" s="1247">
        <v>4125</v>
      </c>
      <c r="DH27" s="1248">
        <v>0</v>
      </c>
      <c r="DI27" s="1248">
        <v>2846.25</v>
      </c>
      <c r="DJ27" s="1248">
        <v>1278.76</v>
      </c>
      <c r="DK27" s="1248">
        <v>-0.01</v>
      </c>
      <c r="DL27" s="1249">
        <v>8250</v>
      </c>
      <c r="DM27" s="1247">
        <v>8816.01</v>
      </c>
      <c r="DN27" s="1248">
        <v>0</v>
      </c>
      <c r="DO27" s="1248">
        <v>52.47</v>
      </c>
      <c r="DP27" s="1248">
        <v>1626.75</v>
      </c>
      <c r="DQ27" s="1248">
        <v>0.01</v>
      </c>
      <c r="DR27" s="1249">
        <v>10495.24</v>
      </c>
      <c r="DS27" s="1244"/>
      <c r="DT27" s="1245"/>
      <c r="DU27" s="1245"/>
      <c r="DV27" s="1245"/>
      <c r="DW27" s="1245"/>
      <c r="DX27" s="1246"/>
    </row>
    <row r="28" spans="1:128" ht="15" customHeight="1">
      <c r="A28" s="1092" t="s">
        <v>61</v>
      </c>
      <c r="B28" s="1239" t="s">
        <v>62</v>
      </c>
      <c r="C28" s="1467" t="s">
        <v>272</v>
      </c>
      <c r="D28" s="1240">
        <f t="shared" si="5"/>
        <v>31798.690000000002</v>
      </c>
      <c r="E28" s="1241">
        <f t="shared" si="4"/>
        <v>7218.45</v>
      </c>
      <c r="F28" s="1242">
        <f t="shared" si="6"/>
        <v>2668.47</v>
      </c>
      <c r="G28" s="1243">
        <f t="shared" si="7"/>
        <v>2668.5</v>
      </c>
      <c r="H28" s="1242">
        <f t="shared" si="7"/>
        <v>-0.03</v>
      </c>
      <c r="I28" s="1244"/>
      <c r="J28" s="1245"/>
      <c r="K28" s="1245"/>
      <c r="L28" s="1245"/>
      <c r="M28" s="1245"/>
      <c r="N28" s="1246"/>
      <c r="O28" s="1244"/>
      <c r="P28" s="1245"/>
      <c r="Q28" s="1245"/>
      <c r="R28" s="1245"/>
      <c r="S28" s="1245"/>
      <c r="T28" s="1246"/>
      <c r="U28" s="1244"/>
      <c r="V28" s="1245"/>
      <c r="W28" s="1245"/>
      <c r="X28" s="1245"/>
      <c r="Y28" s="1245"/>
      <c r="Z28" s="1246"/>
      <c r="AA28" s="1244"/>
      <c r="AB28" s="1245"/>
      <c r="AC28" s="1245"/>
      <c r="AD28" s="1245"/>
      <c r="AE28" s="1245"/>
      <c r="AF28" s="1246"/>
      <c r="AG28" s="1244"/>
      <c r="AH28" s="1245"/>
      <c r="AI28" s="1245"/>
      <c r="AJ28" s="1245"/>
      <c r="AK28" s="1245"/>
      <c r="AL28" s="1246"/>
      <c r="AM28" s="1247">
        <v>3260</v>
      </c>
      <c r="AN28" s="1248">
        <v>0</v>
      </c>
      <c r="AO28" s="1248">
        <v>815</v>
      </c>
      <c r="AP28" s="1248">
        <v>0</v>
      </c>
      <c r="AQ28" s="1248">
        <v>0</v>
      </c>
      <c r="AR28" s="1249">
        <v>4075</v>
      </c>
      <c r="AS28" s="1247">
        <v>1325.32</v>
      </c>
      <c r="AT28" s="1248">
        <v>0</v>
      </c>
      <c r="AU28" s="1248">
        <v>331.33</v>
      </c>
      <c r="AV28" s="1248">
        <v>0</v>
      </c>
      <c r="AW28" s="1248">
        <v>0</v>
      </c>
      <c r="AX28" s="1249">
        <v>1656.65</v>
      </c>
      <c r="AY28" s="1244"/>
      <c r="AZ28" s="1245"/>
      <c r="BA28" s="1245"/>
      <c r="BB28" s="1245"/>
      <c r="BC28" s="1245"/>
      <c r="BD28" s="1246"/>
      <c r="BE28" s="1247">
        <v>139</v>
      </c>
      <c r="BF28" s="1248">
        <v>0</v>
      </c>
      <c r="BG28" s="1248">
        <v>251</v>
      </c>
      <c r="BH28" s="1248">
        <v>0</v>
      </c>
      <c r="BI28" s="1248">
        <v>0</v>
      </c>
      <c r="BJ28" s="1249">
        <v>390</v>
      </c>
      <c r="BK28" s="1247">
        <v>69.72</v>
      </c>
      <c r="BL28" s="1248">
        <v>0</v>
      </c>
      <c r="BM28" s="1248">
        <v>8.83</v>
      </c>
      <c r="BN28" s="1248">
        <v>14.41</v>
      </c>
      <c r="BO28" s="1248">
        <v>0</v>
      </c>
      <c r="BP28" s="1249">
        <v>92.96</v>
      </c>
      <c r="BQ28" s="1247">
        <v>178.5</v>
      </c>
      <c r="BR28" s="1248">
        <v>0</v>
      </c>
      <c r="BS28" s="1248">
        <v>142.80000000000001</v>
      </c>
      <c r="BT28" s="1248">
        <v>35.700000000000003</v>
      </c>
      <c r="BU28" s="1248">
        <v>0</v>
      </c>
      <c r="BV28" s="1249">
        <v>357</v>
      </c>
      <c r="BW28" s="1247">
        <v>42.5</v>
      </c>
      <c r="BX28" s="1248">
        <v>0</v>
      </c>
      <c r="BY28" s="1248">
        <v>29.33</v>
      </c>
      <c r="BZ28" s="1248">
        <v>13.18</v>
      </c>
      <c r="CA28" s="1248">
        <v>-0.01</v>
      </c>
      <c r="CB28" s="1249">
        <v>85</v>
      </c>
      <c r="CC28" s="1244"/>
      <c r="CD28" s="1245"/>
      <c r="CE28" s="1245"/>
      <c r="CF28" s="1245"/>
      <c r="CG28" s="1245"/>
      <c r="CH28" s="1246"/>
      <c r="CI28" s="1244"/>
      <c r="CJ28" s="1245"/>
      <c r="CK28" s="1245"/>
      <c r="CL28" s="1245"/>
      <c r="CM28" s="1245"/>
      <c r="CN28" s="1246"/>
      <c r="CO28" s="1247">
        <v>6188</v>
      </c>
      <c r="CP28" s="1248">
        <v>0</v>
      </c>
      <c r="CQ28" s="1248">
        <v>0</v>
      </c>
      <c r="CR28" s="1248">
        <v>0</v>
      </c>
      <c r="CS28" s="1248">
        <v>0</v>
      </c>
      <c r="CT28" s="1249">
        <v>6188</v>
      </c>
      <c r="CU28" s="1247">
        <v>1346</v>
      </c>
      <c r="CV28" s="1248">
        <v>0</v>
      </c>
      <c r="CW28" s="1248">
        <v>1076.8</v>
      </c>
      <c r="CX28" s="1248">
        <v>269.2</v>
      </c>
      <c r="CY28" s="1248">
        <v>0</v>
      </c>
      <c r="CZ28" s="1249">
        <v>2692</v>
      </c>
      <c r="DA28" s="1247">
        <v>11078</v>
      </c>
      <c r="DB28" s="1248">
        <v>0</v>
      </c>
      <c r="DC28" s="1248">
        <v>0</v>
      </c>
      <c r="DD28" s="1248">
        <v>0</v>
      </c>
      <c r="DE28" s="1248">
        <v>0</v>
      </c>
      <c r="DF28" s="1249">
        <v>11078</v>
      </c>
      <c r="DG28" s="1247">
        <v>6600.01</v>
      </c>
      <c r="DH28" s="1248">
        <v>0</v>
      </c>
      <c r="DI28" s="1248">
        <v>4554</v>
      </c>
      <c r="DJ28" s="1248">
        <v>2046</v>
      </c>
      <c r="DK28" s="1248">
        <v>-0.01</v>
      </c>
      <c r="DL28" s="1249">
        <v>13200</v>
      </c>
      <c r="DM28" s="1247">
        <v>1571.64</v>
      </c>
      <c r="DN28" s="1248">
        <v>0</v>
      </c>
      <c r="DO28" s="1248">
        <v>9.36</v>
      </c>
      <c r="DP28" s="1248">
        <v>290.01</v>
      </c>
      <c r="DQ28" s="1248">
        <v>-0.01</v>
      </c>
      <c r="DR28" s="1249">
        <v>1871</v>
      </c>
      <c r="DS28" s="1244"/>
      <c r="DT28" s="1245"/>
      <c r="DU28" s="1245"/>
      <c r="DV28" s="1245"/>
      <c r="DW28" s="1245"/>
      <c r="DX28" s="1246"/>
    </row>
    <row r="29" spans="1:128" ht="15" customHeight="1">
      <c r="A29" s="1092" t="s">
        <v>63</v>
      </c>
      <c r="B29" s="1239" t="s">
        <v>64</v>
      </c>
      <c r="C29" s="1467" t="s">
        <v>274</v>
      </c>
      <c r="D29" s="1240">
        <f t="shared" si="5"/>
        <v>728924.3</v>
      </c>
      <c r="E29" s="1241">
        <f t="shared" si="4"/>
        <v>186784.03999999998</v>
      </c>
      <c r="F29" s="1242">
        <f t="shared" si="6"/>
        <v>55589.500000000007</v>
      </c>
      <c r="G29" s="1243">
        <f t="shared" si="7"/>
        <v>55596.920000000006</v>
      </c>
      <c r="H29" s="1242">
        <f t="shared" si="7"/>
        <v>-7.419999999999999</v>
      </c>
      <c r="I29" s="1244"/>
      <c r="J29" s="1245"/>
      <c r="K29" s="1245"/>
      <c r="L29" s="1245"/>
      <c r="M29" s="1245"/>
      <c r="N29" s="1246"/>
      <c r="O29" s="1244"/>
      <c r="P29" s="1245"/>
      <c r="Q29" s="1245"/>
      <c r="R29" s="1245"/>
      <c r="S29" s="1245"/>
      <c r="T29" s="1246"/>
      <c r="U29" s="1247">
        <v>3216.18</v>
      </c>
      <c r="V29" s="1248">
        <v>0</v>
      </c>
      <c r="W29" s="1248">
        <v>19.16</v>
      </c>
      <c r="X29" s="1248">
        <v>593.47</v>
      </c>
      <c r="Y29" s="1248">
        <v>-0.02</v>
      </c>
      <c r="Z29" s="1249">
        <v>3828.79</v>
      </c>
      <c r="AA29" s="1247">
        <v>16026.75</v>
      </c>
      <c r="AB29" s="1248">
        <v>0</v>
      </c>
      <c r="AC29" s="1248">
        <v>0</v>
      </c>
      <c r="AD29" s="1248">
        <v>4006.7</v>
      </c>
      <c r="AE29" s="1248">
        <v>-7.13</v>
      </c>
      <c r="AF29" s="1249">
        <v>20026.32</v>
      </c>
      <c r="AG29" s="1244"/>
      <c r="AH29" s="1245"/>
      <c r="AI29" s="1245"/>
      <c r="AJ29" s="1245"/>
      <c r="AK29" s="1245"/>
      <c r="AL29" s="1246"/>
      <c r="AM29" s="1247">
        <v>3257.7</v>
      </c>
      <c r="AN29" s="1248">
        <v>0</v>
      </c>
      <c r="AO29" s="1248">
        <v>814.42</v>
      </c>
      <c r="AP29" s="1248">
        <v>0</v>
      </c>
      <c r="AQ29" s="1248">
        <v>0</v>
      </c>
      <c r="AR29" s="1249">
        <v>4072.12</v>
      </c>
      <c r="AS29" s="1247">
        <v>7734.03</v>
      </c>
      <c r="AT29" s="1248">
        <v>0</v>
      </c>
      <c r="AU29" s="1248">
        <v>1933.51</v>
      </c>
      <c r="AV29" s="1248">
        <v>0</v>
      </c>
      <c r="AW29" s="1248">
        <v>0</v>
      </c>
      <c r="AX29" s="1249">
        <v>9667.5400000000009</v>
      </c>
      <c r="AY29" s="1244"/>
      <c r="AZ29" s="1245"/>
      <c r="BA29" s="1245"/>
      <c r="BB29" s="1245"/>
      <c r="BC29" s="1245"/>
      <c r="BD29" s="1246"/>
      <c r="BE29" s="1244"/>
      <c r="BF29" s="1245"/>
      <c r="BG29" s="1245"/>
      <c r="BH29" s="1245"/>
      <c r="BI29" s="1245"/>
      <c r="BJ29" s="1246"/>
      <c r="BK29" s="1247">
        <v>1872.48</v>
      </c>
      <c r="BL29" s="1248">
        <v>0</v>
      </c>
      <c r="BM29" s="1248">
        <v>237.19</v>
      </c>
      <c r="BN29" s="1248">
        <v>386.98</v>
      </c>
      <c r="BO29" s="1248">
        <v>-0.02</v>
      </c>
      <c r="BP29" s="1249">
        <v>2496.63</v>
      </c>
      <c r="BQ29" s="1247">
        <v>113744</v>
      </c>
      <c r="BR29" s="1248">
        <v>0</v>
      </c>
      <c r="BS29" s="1248">
        <v>98184.24</v>
      </c>
      <c r="BT29" s="1248">
        <v>15559.76</v>
      </c>
      <c r="BU29" s="1248">
        <v>0</v>
      </c>
      <c r="BV29" s="1249">
        <v>227488</v>
      </c>
      <c r="BW29" s="1247">
        <v>60215.93</v>
      </c>
      <c r="BX29" s="1248">
        <v>0</v>
      </c>
      <c r="BY29" s="1248">
        <v>41121.82</v>
      </c>
      <c r="BZ29" s="1248">
        <v>18588.63</v>
      </c>
      <c r="CA29" s="1248">
        <v>-0.22</v>
      </c>
      <c r="CB29" s="1249">
        <v>119926.16</v>
      </c>
      <c r="CC29" s="1247">
        <v>5611.12</v>
      </c>
      <c r="CD29" s="1248">
        <v>0</v>
      </c>
      <c r="CE29" s="1248">
        <v>0</v>
      </c>
      <c r="CF29" s="1248">
        <v>9889.2199999999993</v>
      </c>
      <c r="CG29" s="1248">
        <v>0</v>
      </c>
      <c r="CH29" s="1249">
        <v>15500.34</v>
      </c>
      <c r="CI29" s="1244"/>
      <c r="CJ29" s="1245"/>
      <c r="CK29" s="1245"/>
      <c r="CL29" s="1245"/>
      <c r="CM29" s="1245"/>
      <c r="CN29" s="1246"/>
      <c r="CO29" s="1247">
        <v>294842.8</v>
      </c>
      <c r="CP29" s="1248">
        <v>0</v>
      </c>
      <c r="CQ29" s="1248">
        <v>0</v>
      </c>
      <c r="CR29" s="1248">
        <v>0</v>
      </c>
      <c r="CS29" s="1248">
        <v>0</v>
      </c>
      <c r="CT29" s="1249">
        <v>294842.8</v>
      </c>
      <c r="CU29" s="1247">
        <v>50631.5</v>
      </c>
      <c r="CV29" s="1248">
        <v>0</v>
      </c>
      <c r="CW29" s="1248">
        <v>44460.74</v>
      </c>
      <c r="CX29" s="1248">
        <v>6170.76</v>
      </c>
      <c r="CY29" s="1248">
        <v>0</v>
      </c>
      <c r="CZ29" s="1249">
        <v>101263</v>
      </c>
      <c r="DA29" s="1247">
        <v>169596.56</v>
      </c>
      <c r="DB29" s="1248">
        <v>0</v>
      </c>
      <c r="DC29" s="1248">
        <v>0</v>
      </c>
      <c r="DD29" s="1248">
        <v>0</v>
      </c>
      <c r="DE29" s="1248">
        <v>0</v>
      </c>
      <c r="DF29" s="1249">
        <v>169596.56</v>
      </c>
      <c r="DG29" s="1244"/>
      <c r="DH29" s="1245"/>
      <c r="DI29" s="1245"/>
      <c r="DJ29" s="1245"/>
      <c r="DK29" s="1245"/>
      <c r="DL29" s="1246"/>
      <c r="DM29" s="1247">
        <v>2175.25</v>
      </c>
      <c r="DN29" s="1248">
        <v>0</v>
      </c>
      <c r="DO29" s="1248">
        <v>12.96</v>
      </c>
      <c r="DP29" s="1248">
        <v>401.4</v>
      </c>
      <c r="DQ29" s="1248">
        <v>-0.03</v>
      </c>
      <c r="DR29" s="1249">
        <v>2589.58</v>
      </c>
      <c r="DS29" s="1244"/>
      <c r="DT29" s="1245"/>
      <c r="DU29" s="1245"/>
      <c r="DV29" s="1245"/>
      <c r="DW29" s="1245"/>
      <c r="DX29" s="1246"/>
    </row>
    <row r="30" spans="1:128" ht="15" customHeight="1">
      <c r="A30" s="1092" t="s">
        <v>65</v>
      </c>
      <c r="B30" s="1239" t="s">
        <v>66</v>
      </c>
      <c r="C30" s="1467" t="s">
        <v>273</v>
      </c>
      <c r="D30" s="1240">
        <f t="shared" si="5"/>
        <v>74587.48</v>
      </c>
      <c r="E30" s="1241">
        <f t="shared" si="4"/>
        <v>30607.38</v>
      </c>
      <c r="F30" s="1242">
        <f t="shared" si="6"/>
        <v>15505.050000000001</v>
      </c>
      <c r="G30" s="1243">
        <f t="shared" si="7"/>
        <v>15505.130000000001</v>
      </c>
      <c r="H30" s="1242">
        <f t="shared" si="7"/>
        <v>-0.08</v>
      </c>
      <c r="I30" s="1244"/>
      <c r="J30" s="1245"/>
      <c r="K30" s="1245"/>
      <c r="L30" s="1245"/>
      <c r="M30" s="1245"/>
      <c r="N30" s="1246"/>
      <c r="O30" s="1244"/>
      <c r="P30" s="1245"/>
      <c r="Q30" s="1245"/>
      <c r="R30" s="1245"/>
      <c r="S30" s="1245"/>
      <c r="T30" s="1246"/>
      <c r="U30" s="1247">
        <v>1707.78</v>
      </c>
      <c r="V30" s="1248">
        <v>0</v>
      </c>
      <c r="W30" s="1248">
        <v>10.16</v>
      </c>
      <c r="X30" s="1248">
        <v>315.12</v>
      </c>
      <c r="Y30" s="1248">
        <v>0</v>
      </c>
      <c r="Z30" s="1249">
        <v>2033.06</v>
      </c>
      <c r="AA30" s="1247">
        <v>9423.1200000000008</v>
      </c>
      <c r="AB30" s="1248">
        <v>0</v>
      </c>
      <c r="AC30" s="1248">
        <v>0</v>
      </c>
      <c r="AD30" s="1248">
        <v>2355.77</v>
      </c>
      <c r="AE30" s="1248">
        <v>0</v>
      </c>
      <c r="AF30" s="1249">
        <v>11778.89</v>
      </c>
      <c r="AG30" s="1244"/>
      <c r="AH30" s="1245"/>
      <c r="AI30" s="1245"/>
      <c r="AJ30" s="1245"/>
      <c r="AK30" s="1245"/>
      <c r="AL30" s="1246"/>
      <c r="AM30" s="1244"/>
      <c r="AN30" s="1245"/>
      <c r="AO30" s="1245"/>
      <c r="AP30" s="1245"/>
      <c r="AQ30" s="1245"/>
      <c r="AR30" s="1246"/>
      <c r="AS30" s="1247">
        <v>516.07000000000005</v>
      </c>
      <c r="AT30" s="1248">
        <v>0</v>
      </c>
      <c r="AU30" s="1248">
        <v>129.02000000000001</v>
      </c>
      <c r="AV30" s="1248">
        <v>0</v>
      </c>
      <c r="AW30" s="1248">
        <v>0</v>
      </c>
      <c r="AX30" s="1249">
        <v>645.09</v>
      </c>
      <c r="AY30" s="1244"/>
      <c r="AZ30" s="1245"/>
      <c r="BA30" s="1245"/>
      <c r="BB30" s="1245"/>
      <c r="BC30" s="1245"/>
      <c r="BD30" s="1246"/>
      <c r="BE30" s="1244"/>
      <c r="BF30" s="1245"/>
      <c r="BG30" s="1245"/>
      <c r="BH30" s="1245"/>
      <c r="BI30" s="1245"/>
      <c r="BJ30" s="1246"/>
      <c r="BK30" s="1244"/>
      <c r="BL30" s="1245"/>
      <c r="BM30" s="1245"/>
      <c r="BN30" s="1245"/>
      <c r="BO30" s="1245"/>
      <c r="BP30" s="1246"/>
      <c r="BQ30" s="1247">
        <v>4720.5</v>
      </c>
      <c r="BR30" s="1248">
        <v>0</v>
      </c>
      <c r="BS30" s="1248">
        <v>3897.8</v>
      </c>
      <c r="BT30" s="1248">
        <v>822.7</v>
      </c>
      <c r="BU30" s="1248">
        <v>0</v>
      </c>
      <c r="BV30" s="1249">
        <v>9441</v>
      </c>
      <c r="BW30" s="1247">
        <v>34786.959999999999</v>
      </c>
      <c r="BX30" s="1248">
        <v>0</v>
      </c>
      <c r="BY30" s="1248">
        <v>23724.15</v>
      </c>
      <c r="BZ30" s="1248">
        <v>10732.79</v>
      </c>
      <c r="CA30" s="1248">
        <v>-0.08</v>
      </c>
      <c r="CB30" s="1249">
        <v>69243.820000000007</v>
      </c>
      <c r="CC30" s="1244"/>
      <c r="CD30" s="1245"/>
      <c r="CE30" s="1245"/>
      <c r="CF30" s="1245"/>
      <c r="CG30" s="1245"/>
      <c r="CH30" s="1246"/>
      <c r="CI30" s="1244"/>
      <c r="CJ30" s="1245"/>
      <c r="CK30" s="1245"/>
      <c r="CL30" s="1245"/>
      <c r="CM30" s="1245"/>
      <c r="CN30" s="1246"/>
      <c r="CO30" s="1244"/>
      <c r="CP30" s="1245"/>
      <c r="CQ30" s="1245"/>
      <c r="CR30" s="1245"/>
      <c r="CS30" s="1245"/>
      <c r="CT30" s="1246"/>
      <c r="CU30" s="1244"/>
      <c r="CV30" s="1245"/>
      <c r="CW30" s="1245"/>
      <c r="CX30" s="1245"/>
      <c r="CY30" s="1245"/>
      <c r="CZ30" s="1246"/>
      <c r="DA30" s="1247">
        <v>19308.05</v>
      </c>
      <c r="DB30" s="1248">
        <v>0</v>
      </c>
      <c r="DC30" s="1248">
        <v>0</v>
      </c>
      <c r="DD30" s="1248">
        <v>0</v>
      </c>
      <c r="DE30" s="1248">
        <v>0</v>
      </c>
      <c r="DF30" s="1249">
        <v>19308.05</v>
      </c>
      <c r="DG30" s="1247">
        <v>4125</v>
      </c>
      <c r="DH30" s="1248">
        <v>0</v>
      </c>
      <c r="DI30" s="1248">
        <v>2846.25</v>
      </c>
      <c r="DJ30" s="1248">
        <v>1278.75</v>
      </c>
      <c r="DK30" s="1248">
        <v>0</v>
      </c>
      <c r="DL30" s="1249">
        <v>8250</v>
      </c>
      <c r="DM30" s="1244"/>
      <c r="DN30" s="1245"/>
      <c r="DO30" s="1245"/>
      <c r="DP30" s="1245"/>
      <c r="DQ30" s="1245"/>
      <c r="DR30" s="1246"/>
      <c r="DS30" s="1244"/>
      <c r="DT30" s="1245"/>
      <c r="DU30" s="1245"/>
      <c r="DV30" s="1245"/>
      <c r="DW30" s="1245"/>
      <c r="DX30" s="1246"/>
    </row>
    <row r="31" spans="1:128" ht="15" customHeight="1">
      <c r="A31" s="1092" t="s">
        <v>69</v>
      </c>
      <c r="B31" s="1239" t="s">
        <v>70</v>
      </c>
      <c r="C31" s="1467" t="s">
        <v>275</v>
      </c>
      <c r="D31" s="1240">
        <f t="shared" si="5"/>
        <v>130122.53</v>
      </c>
      <c r="E31" s="1241">
        <f t="shared" si="4"/>
        <v>23233.859999999997</v>
      </c>
      <c r="F31" s="1242">
        <f t="shared" si="6"/>
        <v>27548.949999999997</v>
      </c>
      <c r="G31" s="1243">
        <f t="shared" si="7"/>
        <v>27549.01</v>
      </c>
      <c r="H31" s="1242">
        <f t="shared" si="7"/>
        <v>-0.06</v>
      </c>
      <c r="I31" s="1247">
        <v>0</v>
      </c>
      <c r="J31" s="1248">
        <v>0</v>
      </c>
      <c r="K31" s="1248">
        <v>1145</v>
      </c>
      <c r="L31" s="1248">
        <v>0</v>
      </c>
      <c r="M31" s="1248">
        <v>0</v>
      </c>
      <c r="N31" s="1249">
        <v>1145</v>
      </c>
      <c r="O31" s="1244"/>
      <c r="P31" s="1245"/>
      <c r="Q31" s="1245"/>
      <c r="R31" s="1245"/>
      <c r="S31" s="1245"/>
      <c r="T31" s="1246"/>
      <c r="U31" s="1247">
        <v>6530.58</v>
      </c>
      <c r="V31" s="1248">
        <v>0</v>
      </c>
      <c r="W31" s="1248">
        <v>38.869999999999997</v>
      </c>
      <c r="X31" s="1248">
        <v>1205.05</v>
      </c>
      <c r="Y31" s="1248">
        <v>0</v>
      </c>
      <c r="Z31" s="1249">
        <v>7774.5</v>
      </c>
      <c r="AA31" s="1247">
        <v>39598.300000000003</v>
      </c>
      <c r="AB31" s="1248">
        <v>0</v>
      </c>
      <c r="AC31" s="1248">
        <v>0</v>
      </c>
      <c r="AD31" s="1248">
        <v>9899.6</v>
      </c>
      <c r="AE31" s="1248">
        <v>0</v>
      </c>
      <c r="AF31" s="1249">
        <v>49497.9</v>
      </c>
      <c r="AG31" s="1244"/>
      <c r="AH31" s="1245"/>
      <c r="AI31" s="1245"/>
      <c r="AJ31" s="1245"/>
      <c r="AK31" s="1245"/>
      <c r="AL31" s="1246"/>
      <c r="AM31" s="1247">
        <v>4561.0600000000004</v>
      </c>
      <c r="AN31" s="1248">
        <v>0</v>
      </c>
      <c r="AO31" s="1248">
        <v>1140.27</v>
      </c>
      <c r="AP31" s="1248">
        <v>0</v>
      </c>
      <c r="AQ31" s="1248">
        <v>0</v>
      </c>
      <c r="AR31" s="1249">
        <v>5701.33</v>
      </c>
      <c r="AS31" s="1247">
        <v>9303.99</v>
      </c>
      <c r="AT31" s="1248">
        <v>0</v>
      </c>
      <c r="AU31" s="1248">
        <v>2325.9899999999998</v>
      </c>
      <c r="AV31" s="1248">
        <v>0</v>
      </c>
      <c r="AW31" s="1248">
        <v>0</v>
      </c>
      <c r="AX31" s="1249">
        <v>11629.98</v>
      </c>
      <c r="AY31" s="1244"/>
      <c r="AZ31" s="1245"/>
      <c r="BA31" s="1245"/>
      <c r="BB31" s="1245"/>
      <c r="BC31" s="1245"/>
      <c r="BD31" s="1246"/>
      <c r="BE31" s="1247">
        <v>516.77</v>
      </c>
      <c r="BF31" s="1248">
        <v>0</v>
      </c>
      <c r="BG31" s="1248">
        <v>933.23</v>
      </c>
      <c r="BH31" s="1248">
        <v>0</v>
      </c>
      <c r="BI31" s="1248">
        <v>0</v>
      </c>
      <c r="BJ31" s="1249">
        <v>1450</v>
      </c>
      <c r="BK31" s="1247">
        <v>18290.43</v>
      </c>
      <c r="BL31" s="1248">
        <v>0</v>
      </c>
      <c r="BM31" s="1248">
        <v>2316.8000000000002</v>
      </c>
      <c r="BN31" s="1248">
        <v>3780.01</v>
      </c>
      <c r="BO31" s="1248">
        <v>-0.03</v>
      </c>
      <c r="BP31" s="1249">
        <v>24387.21</v>
      </c>
      <c r="BQ31" s="1247">
        <v>8767</v>
      </c>
      <c r="BR31" s="1248">
        <v>0</v>
      </c>
      <c r="BS31" s="1248">
        <v>7225.2</v>
      </c>
      <c r="BT31" s="1248">
        <v>1541.8</v>
      </c>
      <c r="BU31" s="1248">
        <v>0</v>
      </c>
      <c r="BV31" s="1249">
        <v>17534</v>
      </c>
      <c r="BW31" s="1247">
        <v>8870.74</v>
      </c>
      <c r="BX31" s="1248">
        <v>0</v>
      </c>
      <c r="BY31" s="1248">
        <v>6120.83</v>
      </c>
      <c r="BZ31" s="1248">
        <v>2749.96</v>
      </c>
      <c r="CA31" s="1248">
        <v>-0.05</v>
      </c>
      <c r="CB31" s="1249">
        <v>17741.48</v>
      </c>
      <c r="CC31" s="1247">
        <v>1773.79</v>
      </c>
      <c r="CD31" s="1248">
        <v>0</v>
      </c>
      <c r="CE31" s="1248">
        <v>0</v>
      </c>
      <c r="CF31" s="1248">
        <v>3126.21</v>
      </c>
      <c r="CG31" s="1248">
        <v>0</v>
      </c>
      <c r="CH31" s="1249">
        <v>4900</v>
      </c>
      <c r="CI31" s="1247">
        <v>1234.19</v>
      </c>
      <c r="CJ31" s="1248">
        <v>0</v>
      </c>
      <c r="CK31" s="1248">
        <v>0</v>
      </c>
      <c r="CL31" s="1248">
        <v>3865.81</v>
      </c>
      <c r="CM31" s="1248">
        <v>0</v>
      </c>
      <c r="CN31" s="1249">
        <v>5100</v>
      </c>
      <c r="CO31" s="1247">
        <v>6612</v>
      </c>
      <c r="CP31" s="1248">
        <v>0</v>
      </c>
      <c r="CQ31" s="1248">
        <v>0</v>
      </c>
      <c r="CR31" s="1248">
        <v>0</v>
      </c>
      <c r="CS31" s="1248">
        <v>0</v>
      </c>
      <c r="CT31" s="1249">
        <v>6612</v>
      </c>
      <c r="CU31" s="1244"/>
      <c r="CV31" s="1245"/>
      <c r="CW31" s="1245"/>
      <c r="CX31" s="1245"/>
      <c r="CY31" s="1245"/>
      <c r="CZ31" s="1246"/>
      <c r="DA31" s="1247">
        <v>18525</v>
      </c>
      <c r="DB31" s="1248">
        <v>0</v>
      </c>
      <c r="DC31" s="1248">
        <v>0</v>
      </c>
      <c r="DD31" s="1248">
        <v>0</v>
      </c>
      <c r="DE31" s="1248">
        <v>0</v>
      </c>
      <c r="DF31" s="1249">
        <v>18525</v>
      </c>
      <c r="DG31" s="1247">
        <v>2857.56</v>
      </c>
      <c r="DH31" s="1248">
        <v>0</v>
      </c>
      <c r="DI31" s="1248">
        <v>1971.71</v>
      </c>
      <c r="DJ31" s="1248">
        <v>885.84</v>
      </c>
      <c r="DK31" s="1248">
        <v>0</v>
      </c>
      <c r="DL31" s="1249">
        <v>5715.11</v>
      </c>
      <c r="DM31" s="1247">
        <v>2681.12</v>
      </c>
      <c r="DN31" s="1248">
        <v>0</v>
      </c>
      <c r="DO31" s="1248">
        <v>15.96</v>
      </c>
      <c r="DP31" s="1248">
        <v>494.73</v>
      </c>
      <c r="DQ31" s="1248">
        <v>0.02</v>
      </c>
      <c r="DR31" s="1249">
        <v>3191.83</v>
      </c>
      <c r="DS31" s="1244"/>
      <c r="DT31" s="1245"/>
      <c r="DU31" s="1245"/>
      <c r="DV31" s="1245"/>
      <c r="DW31" s="1245"/>
      <c r="DX31" s="1246"/>
    </row>
    <row r="32" spans="1:128" ht="15" customHeight="1">
      <c r="A32" s="1092" t="s">
        <v>71</v>
      </c>
      <c r="B32" s="1239" t="s">
        <v>72</v>
      </c>
      <c r="C32" s="1467" t="s">
        <v>271</v>
      </c>
      <c r="D32" s="1240">
        <f t="shared" si="5"/>
        <v>234483.83000000002</v>
      </c>
      <c r="E32" s="1241">
        <f t="shared" si="4"/>
        <v>53219.320000000007</v>
      </c>
      <c r="F32" s="1242">
        <f t="shared" si="6"/>
        <v>76784.37</v>
      </c>
      <c r="G32" s="1243">
        <f t="shared" si="7"/>
        <v>24240.510000000002</v>
      </c>
      <c r="H32" s="1242">
        <f t="shared" si="7"/>
        <v>52543.86</v>
      </c>
      <c r="I32" s="1244"/>
      <c r="J32" s="1245"/>
      <c r="K32" s="1245"/>
      <c r="L32" s="1245"/>
      <c r="M32" s="1245"/>
      <c r="N32" s="1246"/>
      <c r="O32" s="1244"/>
      <c r="P32" s="1245"/>
      <c r="Q32" s="1245"/>
      <c r="R32" s="1245"/>
      <c r="S32" s="1245"/>
      <c r="T32" s="1246"/>
      <c r="U32" s="1247">
        <v>3368.92</v>
      </c>
      <c r="V32" s="1248">
        <v>0</v>
      </c>
      <c r="W32" s="1248">
        <v>20.05</v>
      </c>
      <c r="X32" s="1248">
        <v>621.65</v>
      </c>
      <c r="Y32" s="1248">
        <v>0</v>
      </c>
      <c r="Z32" s="1249">
        <v>4010.62</v>
      </c>
      <c r="AA32" s="1247">
        <v>33400</v>
      </c>
      <c r="AB32" s="1248">
        <v>0</v>
      </c>
      <c r="AC32" s="1248">
        <v>0</v>
      </c>
      <c r="AD32" s="1248">
        <v>8350</v>
      </c>
      <c r="AE32" s="1248">
        <v>51813.1</v>
      </c>
      <c r="AF32" s="1249">
        <v>93563.1</v>
      </c>
      <c r="AG32" s="1244"/>
      <c r="AH32" s="1245"/>
      <c r="AI32" s="1245"/>
      <c r="AJ32" s="1245"/>
      <c r="AK32" s="1245"/>
      <c r="AL32" s="1246"/>
      <c r="AM32" s="1247">
        <v>791.2</v>
      </c>
      <c r="AN32" s="1248">
        <v>0</v>
      </c>
      <c r="AO32" s="1248">
        <v>197.8</v>
      </c>
      <c r="AP32" s="1248">
        <v>0</v>
      </c>
      <c r="AQ32" s="1248">
        <v>0</v>
      </c>
      <c r="AR32" s="1249">
        <v>989</v>
      </c>
      <c r="AS32" s="1247">
        <v>1051.98</v>
      </c>
      <c r="AT32" s="1248">
        <v>0</v>
      </c>
      <c r="AU32" s="1248">
        <v>263</v>
      </c>
      <c r="AV32" s="1248">
        <v>0</v>
      </c>
      <c r="AW32" s="1248">
        <v>0</v>
      </c>
      <c r="AX32" s="1249">
        <v>1314.98</v>
      </c>
      <c r="AY32" s="1244"/>
      <c r="AZ32" s="1245"/>
      <c r="BA32" s="1245"/>
      <c r="BB32" s="1245"/>
      <c r="BC32" s="1245"/>
      <c r="BD32" s="1246"/>
      <c r="BE32" s="1244"/>
      <c r="BF32" s="1245"/>
      <c r="BG32" s="1245"/>
      <c r="BH32" s="1245"/>
      <c r="BI32" s="1245"/>
      <c r="BJ32" s="1246"/>
      <c r="BK32" s="1247">
        <v>14192.26</v>
      </c>
      <c r="BL32" s="1248">
        <v>0</v>
      </c>
      <c r="BM32" s="1248">
        <v>1797.7</v>
      </c>
      <c r="BN32" s="1248">
        <v>2933.07</v>
      </c>
      <c r="BO32" s="1248">
        <v>730.96</v>
      </c>
      <c r="BP32" s="1249">
        <v>19653.990000000002</v>
      </c>
      <c r="BQ32" s="1247">
        <v>43693</v>
      </c>
      <c r="BR32" s="1248">
        <v>0</v>
      </c>
      <c r="BS32" s="1248">
        <v>37255</v>
      </c>
      <c r="BT32" s="1248">
        <v>6438</v>
      </c>
      <c r="BU32" s="1248">
        <v>0</v>
      </c>
      <c r="BV32" s="1249">
        <v>87386</v>
      </c>
      <c r="BW32" s="1247">
        <v>14501.68</v>
      </c>
      <c r="BX32" s="1248">
        <v>0</v>
      </c>
      <c r="BY32" s="1248">
        <v>9406.35</v>
      </c>
      <c r="BZ32" s="1248">
        <v>4385.54</v>
      </c>
      <c r="CA32" s="1248">
        <v>-0.14000000000000001</v>
      </c>
      <c r="CB32" s="1249">
        <v>28293.43</v>
      </c>
      <c r="CC32" s="1244"/>
      <c r="CD32" s="1245"/>
      <c r="CE32" s="1245"/>
      <c r="CF32" s="1245"/>
      <c r="CG32" s="1245"/>
      <c r="CH32" s="1246"/>
      <c r="CI32" s="1244"/>
      <c r="CJ32" s="1245"/>
      <c r="CK32" s="1245"/>
      <c r="CL32" s="1245"/>
      <c r="CM32" s="1245"/>
      <c r="CN32" s="1246"/>
      <c r="CO32" s="1247">
        <v>5105</v>
      </c>
      <c r="CP32" s="1248">
        <v>0</v>
      </c>
      <c r="CQ32" s="1248">
        <v>0</v>
      </c>
      <c r="CR32" s="1248">
        <v>0</v>
      </c>
      <c r="CS32" s="1248">
        <v>0</v>
      </c>
      <c r="CT32" s="1249">
        <v>5105</v>
      </c>
      <c r="CU32" s="1247">
        <v>4875.5</v>
      </c>
      <c r="CV32" s="1248">
        <v>0</v>
      </c>
      <c r="CW32" s="1248">
        <v>4109.8</v>
      </c>
      <c r="CX32" s="1248">
        <v>765.7</v>
      </c>
      <c r="CY32" s="1248">
        <v>0</v>
      </c>
      <c r="CZ32" s="1249">
        <v>9751</v>
      </c>
      <c r="DA32" s="1247">
        <v>109604.16</v>
      </c>
      <c r="DB32" s="1248">
        <v>0</v>
      </c>
      <c r="DC32" s="1248">
        <v>0</v>
      </c>
      <c r="DD32" s="1248">
        <v>0</v>
      </c>
      <c r="DE32" s="1248">
        <v>0</v>
      </c>
      <c r="DF32" s="1249">
        <v>109604.16</v>
      </c>
      <c r="DG32" s="1247">
        <v>213.99</v>
      </c>
      <c r="DH32" s="1248">
        <v>0</v>
      </c>
      <c r="DI32" s="1248">
        <v>147.65</v>
      </c>
      <c r="DJ32" s="1248">
        <v>66.34</v>
      </c>
      <c r="DK32" s="1248">
        <v>0</v>
      </c>
      <c r="DL32" s="1249">
        <v>427.98</v>
      </c>
      <c r="DM32" s="1247">
        <v>3686.14</v>
      </c>
      <c r="DN32" s="1248">
        <v>0</v>
      </c>
      <c r="DO32" s="1248">
        <v>21.97</v>
      </c>
      <c r="DP32" s="1248">
        <v>680.21</v>
      </c>
      <c r="DQ32" s="1248">
        <v>-0.06</v>
      </c>
      <c r="DR32" s="1249">
        <v>4388.26</v>
      </c>
      <c r="DS32" s="1244"/>
      <c r="DT32" s="1245"/>
      <c r="DU32" s="1245"/>
      <c r="DV32" s="1245"/>
      <c r="DW32" s="1245"/>
      <c r="DX32" s="1246"/>
    </row>
    <row r="33" spans="1:128" ht="15" customHeight="1">
      <c r="A33" s="1092" t="s">
        <v>73</v>
      </c>
      <c r="B33" s="1239" t="s">
        <v>74</v>
      </c>
      <c r="C33" s="1467" t="s">
        <v>273</v>
      </c>
      <c r="D33" s="1240">
        <f t="shared" si="5"/>
        <v>196050.95</v>
      </c>
      <c r="E33" s="1241">
        <f t="shared" si="4"/>
        <v>62217.119999999995</v>
      </c>
      <c r="F33" s="1242">
        <f t="shared" si="6"/>
        <v>18386.860000000004</v>
      </c>
      <c r="G33" s="1243">
        <f t="shared" si="7"/>
        <v>18367.460000000003</v>
      </c>
      <c r="H33" s="1242">
        <f t="shared" si="7"/>
        <v>19.400000000000002</v>
      </c>
      <c r="I33" s="1244"/>
      <c r="J33" s="1245"/>
      <c r="K33" s="1245"/>
      <c r="L33" s="1245"/>
      <c r="M33" s="1245"/>
      <c r="N33" s="1246"/>
      <c r="O33" s="1247">
        <v>-4</v>
      </c>
      <c r="P33" s="1248">
        <v>0</v>
      </c>
      <c r="Q33" s="1248">
        <v>0</v>
      </c>
      <c r="R33" s="1248">
        <v>-1</v>
      </c>
      <c r="S33" s="1248">
        <v>19.5</v>
      </c>
      <c r="T33" s="1249">
        <v>14.5</v>
      </c>
      <c r="U33" s="1247">
        <v>685.84</v>
      </c>
      <c r="V33" s="1248">
        <v>0</v>
      </c>
      <c r="W33" s="1248">
        <v>4.08</v>
      </c>
      <c r="X33" s="1248">
        <v>126.55</v>
      </c>
      <c r="Y33" s="1248">
        <v>0.01</v>
      </c>
      <c r="Z33" s="1249">
        <v>816.48</v>
      </c>
      <c r="AA33" s="1247">
        <v>12939.97</v>
      </c>
      <c r="AB33" s="1248">
        <v>0</v>
      </c>
      <c r="AC33" s="1248">
        <v>0</v>
      </c>
      <c r="AD33" s="1248">
        <v>3234.94</v>
      </c>
      <c r="AE33" s="1248">
        <v>0</v>
      </c>
      <c r="AF33" s="1249">
        <v>16174.91</v>
      </c>
      <c r="AG33" s="1244"/>
      <c r="AH33" s="1245"/>
      <c r="AI33" s="1245"/>
      <c r="AJ33" s="1245"/>
      <c r="AK33" s="1245"/>
      <c r="AL33" s="1246"/>
      <c r="AM33" s="1244"/>
      <c r="AN33" s="1245"/>
      <c r="AO33" s="1245"/>
      <c r="AP33" s="1245"/>
      <c r="AQ33" s="1245"/>
      <c r="AR33" s="1246"/>
      <c r="AS33" s="1244"/>
      <c r="AT33" s="1245"/>
      <c r="AU33" s="1245"/>
      <c r="AV33" s="1245"/>
      <c r="AW33" s="1245"/>
      <c r="AX33" s="1246"/>
      <c r="AY33" s="1244"/>
      <c r="AZ33" s="1245"/>
      <c r="BA33" s="1245"/>
      <c r="BB33" s="1245"/>
      <c r="BC33" s="1245"/>
      <c r="BD33" s="1246"/>
      <c r="BE33" s="1244"/>
      <c r="BF33" s="1245"/>
      <c r="BG33" s="1245"/>
      <c r="BH33" s="1245"/>
      <c r="BI33" s="1245"/>
      <c r="BJ33" s="1246"/>
      <c r="BK33" s="1247">
        <v>12702.82</v>
      </c>
      <c r="BL33" s="1248">
        <v>0</v>
      </c>
      <c r="BM33" s="1248">
        <v>1609.02</v>
      </c>
      <c r="BN33" s="1248">
        <v>2625.25</v>
      </c>
      <c r="BO33" s="1248">
        <v>0.01</v>
      </c>
      <c r="BP33" s="1249">
        <v>16937.099999999999</v>
      </c>
      <c r="BQ33" s="1247">
        <v>51504.52</v>
      </c>
      <c r="BR33" s="1248">
        <v>0</v>
      </c>
      <c r="BS33" s="1248">
        <v>44240.33</v>
      </c>
      <c r="BT33" s="1248">
        <v>7264.19</v>
      </c>
      <c r="BU33" s="1248">
        <v>-0.03</v>
      </c>
      <c r="BV33" s="1249">
        <v>103009.01</v>
      </c>
      <c r="BW33" s="1247">
        <v>10963.33</v>
      </c>
      <c r="BX33" s="1248">
        <v>0</v>
      </c>
      <c r="BY33" s="1248">
        <v>7232.11</v>
      </c>
      <c r="BZ33" s="1248">
        <v>3337.65</v>
      </c>
      <c r="CA33" s="1248">
        <v>-0.08</v>
      </c>
      <c r="CB33" s="1249">
        <v>21533.01</v>
      </c>
      <c r="CC33" s="1244"/>
      <c r="CD33" s="1245"/>
      <c r="CE33" s="1245"/>
      <c r="CF33" s="1245"/>
      <c r="CG33" s="1245"/>
      <c r="CH33" s="1246"/>
      <c r="CI33" s="1244"/>
      <c r="CJ33" s="1245"/>
      <c r="CK33" s="1245"/>
      <c r="CL33" s="1245"/>
      <c r="CM33" s="1245"/>
      <c r="CN33" s="1246"/>
      <c r="CO33" s="1247">
        <v>17342.38</v>
      </c>
      <c r="CP33" s="1248">
        <v>0</v>
      </c>
      <c r="CQ33" s="1248">
        <v>0</v>
      </c>
      <c r="CR33" s="1248">
        <v>0</v>
      </c>
      <c r="CS33" s="1248">
        <v>0</v>
      </c>
      <c r="CT33" s="1249">
        <v>17342.38</v>
      </c>
      <c r="CU33" s="1247">
        <v>7198.95</v>
      </c>
      <c r="CV33" s="1248">
        <v>0</v>
      </c>
      <c r="CW33" s="1248">
        <v>6569.95</v>
      </c>
      <c r="CX33" s="1248">
        <v>629</v>
      </c>
      <c r="CY33" s="1248">
        <v>0</v>
      </c>
      <c r="CZ33" s="1249">
        <v>14397.9</v>
      </c>
      <c r="DA33" s="1247">
        <v>79004.639999999999</v>
      </c>
      <c r="DB33" s="1248">
        <v>0</v>
      </c>
      <c r="DC33" s="1248">
        <v>0</v>
      </c>
      <c r="DD33" s="1248">
        <v>0</v>
      </c>
      <c r="DE33" s="1248">
        <v>0</v>
      </c>
      <c r="DF33" s="1249">
        <v>79004.639999999999</v>
      </c>
      <c r="DG33" s="1247">
        <v>3712.5</v>
      </c>
      <c r="DH33" s="1248">
        <v>0</v>
      </c>
      <c r="DI33" s="1248">
        <v>2561.63</v>
      </c>
      <c r="DJ33" s="1248">
        <v>1150.8800000000001</v>
      </c>
      <c r="DK33" s="1248">
        <v>-0.01</v>
      </c>
      <c r="DL33" s="1249">
        <v>7425</v>
      </c>
      <c r="DM33" s="1244"/>
      <c r="DN33" s="1245"/>
      <c r="DO33" s="1245"/>
      <c r="DP33" s="1245"/>
      <c r="DQ33" s="1245"/>
      <c r="DR33" s="1246"/>
      <c r="DS33" s="1244"/>
      <c r="DT33" s="1245"/>
      <c r="DU33" s="1245"/>
      <c r="DV33" s="1245"/>
      <c r="DW33" s="1245"/>
      <c r="DX33" s="1246"/>
    </row>
    <row r="34" spans="1:128" ht="15" customHeight="1">
      <c r="A34" s="1092" t="s">
        <v>75</v>
      </c>
      <c r="B34" s="1239" t="s">
        <v>312</v>
      </c>
      <c r="C34" s="1467" t="s">
        <v>274</v>
      </c>
      <c r="D34" s="1240">
        <f t="shared" si="5"/>
        <v>12722434.689999999</v>
      </c>
      <c r="E34" s="1241">
        <f t="shared" si="4"/>
        <v>5237207.1500000004</v>
      </c>
      <c r="F34" s="1242">
        <f t="shared" si="6"/>
        <v>12227657.720000001</v>
      </c>
      <c r="G34" s="1243">
        <f t="shared" si="7"/>
        <v>1013626.91</v>
      </c>
      <c r="H34" s="1242">
        <f t="shared" si="7"/>
        <v>11214030.810000001</v>
      </c>
      <c r="I34" s="1244"/>
      <c r="J34" s="1245"/>
      <c r="K34" s="1245"/>
      <c r="L34" s="1245"/>
      <c r="M34" s="1245"/>
      <c r="N34" s="1246"/>
      <c r="O34" s="1247">
        <v>0</v>
      </c>
      <c r="P34" s="1248">
        <v>0</v>
      </c>
      <c r="Q34" s="1248">
        <v>0</v>
      </c>
      <c r="R34" s="1248">
        <v>0</v>
      </c>
      <c r="S34" s="1248">
        <v>25569.54</v>
      </c>
      <c r="T34" s="1249">
        <v>25569.54</v>
      </c>
      <c r="U34" s="1247">
        <v>18838.060000000001</v>
      </c>
      <c r="V34" s="1248">
        <v>0</v>
      </c>
      <c r="W34" s="1248">
        <v>112.15</v>
      </c>
      <c r="X34" s="1248">
        <v>3476.08</v>
      </c>
      <c r="Y34" s="1248">
        <v>-0.02</v>
      </c>
      <c r="Z34" s="1249">
        <v>22426.27</v>
      </c>
      <c r="AA34" s="1247">
        <v>453042.42</v>
      </c>
      <c r="AB34" s="1248">
        <v>0</v>
      </c>
      <c r="AC34" s="1248">
        <v>0</v>
      </c>
      <c r="AD34" s="1248">
        <v>113260.58</v>
      </c>
      <c r="AE34" s="1248">
        <v>919274.38</v>
      </c>
      <c r="AF34" s="1249">
        <v>1485577.38</v>
      </c>
      <c r="AG34" s="1247">
        <v>17824.45</v>
      </c>
      <c r="AH34" s="1248">
        <v>0</v>
      </c>
      <c r="AI34" s="1248">
        <v>2443.11</v>
      </c>
      <c r="AJ34" s="1248">
        <v>3717.72</v>
      </c>
      <c r="AK34" s="1248">
        <v>-0.01</v>
      </c>
      <c r="AL34" s="1249">
        <v>23985.27</v>
      </c>
      <c r="AM34" s="1247">
        <v>61098.76</v>
      </c>
      <c r="AN34" s="1248">
        <v>0</v>
      </c>
      <c r="AO34" s="1248">
        <v>15274.7</v>
      </c>
      <c r="AP34" s="1248">
        <v>0</v>
      </c>
      <c r="AQ34" s="1248">
        <v>0</v>
      </c>
      <c r="AR34" s="1249">
        <v>76373.460000000006</v>
      </c>
      <c r="AS34" s="1247">
        <v>50104.56</v>
      </c>
      <c r="AT34" s="1248">
        <v>0</v>
      </c>
      <c r="AU34" s="1248">
        <v>12526.12</v>
      </c>
      <c r="AV34" s="1248">
        <v>0</v>
      </c>
      <c r="AW34" s="1248">
        <v>0</v>
      </c>
      <c r="AX34" s="1249">
        <v>62630.68</v>
      </c>
      <c r="AY34" s="1244"/>
      <c r="AZ34" s="1245"/>
      <c r="BA34" s="1245"/>
      <c r="BB34" s="1245"/>
      <c r="BC34" s="1245"/>
      <c r="BD34" s="1246"/>
      <c r="BE34" s="1247">
        <v>6058.71</v>
      </c>
      <c r="BF34" s="1248">
        <v>0</v>
      </c>
      <c r="BG34" s="1248">
        <v>10941.04</v>
      </c>
      <c r="BH34" s="1248">
        <v>0</v>
      </c>
      <c r="BI34" s="1248">
        <v>0</v>
      </c>
      <c r="BJ34" s="1249">
        <v>16999.75</v>
      </c>
      <c r="BK34" s="1247">
        <v>27617.15</v>
      </c>
      <c r="BL34" s="1248">
        <v>0</v>
      </c>
      <c r="BM34" s="1248">
        <v>3498.19</v>
      </c>
      <c r="BN34" s="1248">
        <v>5707.56</v>
      </c>
      <c r="BO34" s="1248">
        <v>-0.06</v>
      </c>
      <c r="BP34" s="1249">
        <v>36822.839999999997</v>
      </c>
      <c r="BQ34" s="1247">
        <v>3487252.49</v>
      </c>
      <c r="BR34" s="1248">
        <v>0</v>
      </c>
      <c r="BS34" s="1248">
        <v>3180887.67</v>
      </c>
      <c r="BT34" s="1248">
        <v>306364.76</v>
      </c>
      <c r="BU34" s="1248">
        <v>-0.3</v>
      </c>
      <c r="BV34" s="1249">
        <v>6974504.6200000001</v>
      </c>
      <c r="BW34" s="1247">
        <v>348682.87</v>
      </c>
      <c r="BX34" s="1248">
        <v>0</v>
      </c>
      <c r="BY34" s="1248">
        <v>235515.51</v>
      </c>
      <c r="BZ34" s="1248">
        <v>107160.68</v>
      </c>
      <c r="CA34" s="1248">
        <v>-0.31</v>
      </c>
      <c r="CB34" s="1249">
        <v>691358.75</v>
      </c>
      <c r="CC34" s="1247">
        <v>59416.17</v>
      </c>
      <c r="CD34" s="1248">
        <v>0</v>
      </c>
      <c r="CE34" s="1248">
        <v>0</v>
      </c>
      <c r="CF34" s="1248">
        <v>104716.81</v>
      </c>
      <c r="CG34" s="1248">
        <v>0</v>
      </c>
      <c r="CH34" s="1249">
        <v>164132.98000000001</v>
      </c>
      <c r="CI34" s="1247">
        <v>1210</v>
      </c>
      <c r="CJ34" s="1248">
        <v>0</v>
      </c>
      <c r="CK34" s="1248">
        <v>0</v>
      </c>
      <c r="CL34" s="1248">
        <v>3790</v>
      </c>
      <c r="CM34" s="1248">
        <v>0</v>
      </c>
      <c r="CN34" s="1249">
        <v>5000</v>
      </c>
      <c r="CO34" s="1247">
        <v>609497.1</v>
      </c>
      <c r="CP34" s="1248">
        <v>0</v>
      </c>
      <c r="CQ34" s="1248">
        <v>0</v>
      </c>
      <c r="CR34" s="1248">
        <v>0</v>
      </c>
      <c r="CS34" s="1248">
        <v>36213.620000000003</v>
      </c>
      <c r="CT34" s="1249">
        <v>645710.72</v>
      </c>
      <c r="CU34" s="1247">
        <v>2086756.15</v>
      </c>
      <c r="CV34" s="1248">
        <v>0</v>
      </c>
      <c r="CW34" s="1248">
        <v>1740899.13</v>
      </c>
      <c r="CX34" s="1248">
        <v>345857</v>
      </c>
      <c r="CY34" s="1248">
        <v>10208410.93</v>
      </c>
      <c r="CZ34" s="1249">
        <v>14381923.210000001</v>
      </c>
      <c r="DA34" s="1247">
        <v>5423425.9800000004</v>
      </c>
      <c r="DB34" s="1248">
        <v>0</v>
      </c>
      <c r="DC34" s="1248">
        <v>0</v>
      </c>
      <c r="DD34" s="1248">
        <v>0</v>
      </c>
      <c r="DE34" s="1248">
        <v>1659.56</v>
      </c>
      <c r="DF34" s="1249">
        <v>5425085.54</v>
      </c>
      <c r="DG34" s="1247">
        <v>50703.05</v>
      </c>
      <c r="DH34" s="1248">
        <v>0</v>
      </c>
      <c r="DI34" s="1248">
        <v>34985.089999999997</v>
      </c>
      <c r="DJ34" s="1248">
        <v>15717.93</v>
      </c>
      <c r="DK34" s="1248">
        <v>-7.0000000000000007E-2</v>
      </c>
      <c r="DL34" s="1249">
        <v>101406</v>
      </c>
      <c r="DM34" s="1247">
        <v>20906.77</v>
      </c>
      <c r="DN34" s="1248">
        <v>0</v>
      </c>
      <c r="DO34" s="1248">
        <v>124.44</v>
      </c>
      <c r="DP34" s="1248">
        <v>3857.79</v>
      </c>
      <c r="DQ34" s="1248">
        <v>22903.55</v>
      </c>
      <c r="DR34" s="1249">
        <v>47792.55</v>
      </c>
      <c r="DS34" s="1244"/>
      <c r="DT34" s="1245"/>
      <c r="DU34" s="1245"/>
      <c r="DV34" s="1245"/>
      <c r="DW34" s="1245"/>
      <c r="DX34" s="1246"/>
    </row>
    <row r="35" spans="1:128" ht="15" customHeight="1">
      <c r="A35" s="1092" t="s">
        <v>77</v>
      </c>
      <c r="B35" s="1239" t="s">
        <v>78</v>
      </c>
      <c r="C35" s="1467" t="s">
        <v>274</v>
      </c>
      <c r="D35" s="1240">
        <f t="shared" si="5"/>
        <v>432366.57999999996</v>
      </c>
      <c r="E35" s="1241">
        <f t="shared" si="4"/>
        <v>68756.76999999999</v>
      </c>
      <c r="F35" s="1242">
        <f t="shared" si="6"/>
        <v>36487.26</v>
      </c>
      <c r="G35" s="1243">
        <f t="shared" si="7"/>
        <v>35181.64</v>
      </c>
      <c r="H35" s="1242">
        <f t="shared" si="7"/>
        <v>1305.6200000000001</v>
      </c>
      <c r="I35" s="1244"/>
      <c r="J35" s="1245"/>
      <c r="K35" s="1245"/>
      <c r="L35" s="1245"/>
      <c r="M35" s="1245"/>
      <c r="N35" s="1246"/>
      <c r="O35" s="1247">
        <v>0</v>
      </c>
      <c r="P35" s="1248">
        <v>0</v>
      </c>
      <c r="Q35" s="1248">
        <v>0</v>
      </c>
      <c r="R35" s="1248">
        <v>0</v>
      </c>
      <c r="S35" s="1248">
        <v>1504.98</v>
      </c>
      <c r="T35" s="1249">
        <v>1504.98</v>
      </c>
      <c r="U35" s="1247">
        <v>1294.1099999999999</v>
      </c>
      <c r="V35" s="1248">
        <v>0</v>
      </c>
      <c r="W35" s="1248">
        <v>7.69</v>
      </c>
      <c r="X35" s="1248">
        <v>238.8</v>
      </c>
      <c r="Y35" s="1248">
        <v>0.01</v>
      </c>
      <c r="Z35" s="1249">
        <v>1540.61</v>
      </c>
      <c r="AA35" s="1247">
        <v>33508.519999999997</v>
      </c>
      <c r="AB35" s="1248">
        <v>0</v>
      </c>
      <c r="AC35" s="1248">
        <v>0</v>
      </c>
      <c r="AD35" s="1248">
        <v>8377.1299999999992</v>
      </c>
      <c r="AE35" s="1248">
        <v>-681.62</v>
      </c>
      <c r="AF35" s="1249">
        <v>41204.03</v>
      </c>
      <c r="AG35" s="1244"/>
      <c r="AH35" s="1245"/>
      <c r="AI35" s="1245"/>
      <c r="AJ35" s="1245"/>
      <c r="AK35" s="1245"/>
      <c r="AL35" s="1246"/>
      <c r="AM35" s="1247">
        <v>4661.2</v>
      </c>
      <c r="AN35" s="1248">
        <v>0</v>
      </c>
      <c r="AO35" s="1248">
        <v>1165.3</v>
      </c>
      <c r="AP35" s="1248">
        <v>0</v>
      </c>
      <c r="AQ35" s="1248">
        <v>323.22000000000003</v>
      </c>
      <c r="AR35" s="1249">
        <v>6149.72</v>
      </c>
      <c r="AS35" s="1247">
        <v>2137.16</v>
      </c>
      <c r="AT35" s="1248">
        <v>0</v>
      </c>
      <c r="AU35" s="1248">
        <v>534.29</v>
      </c>
      <c r="AV35" s="1248">
        <v>0</v>
      </c>
      <c r="AW35" s="1248">
        <v>0</v>
      </c>
      <c r="AX35" s="1249">
        <v>2671.45</v>
      </c>
      <c r="AY35" s="1244"/>
      <c r="AZ35" s="1245"/>
      <c r="BA35" s="1245"/>
      <c r="BB35" s="1245"/>
      <c r="BC35" s="1245"/>
      <c r="BD35" s="1246"/>
      <c r="BE35" s="1244"/>
      <c r="BF35" s="1245"/>
      <c r="BG35" s="1245"/>
      <c r="BH35" s="1245"/>
      <c r="BI35" s="1245"/>
      <c r="BJ35" s="1246"/>
      <c r="BK35" s="1244"/>
      <c r="BL35" s="1245"/>
      <c r="BM35" s="1245"/>
      <c r="BN35" s="1245"/>
      <c r="BO35" s="1245"/>
      <c r="BP35" s="1246"/>
      <c r="BQ35" s="1247">
        <v>54343.839999999997</v>
      </c>
      <c r="BR35" s="1248">
        <v>0</v>
      </c>
      <c r="BS35" s="1248">
        <v>45810.67</v>
      </c>
      <c r="BT35" s="1248">
        <v>8533.17</v>
      </c>
      <c r="BU35" s="1248">
        <v>0</v>
      </c>
      <c r="BV35" s="1249">
        <v>108687.67999999999</v>
      </c>
      <c r="BW35" s="1247">
        <v>29425.06</v>
      </c>
      <c r="BX35" s="1248">
        <v>0</v>
      </c>
      <c r="BY35" s="1248">
        <v>20303.259999999998</v>
      </c>
      <c r="BZ35" s="1248">
        <v>9121.76</v>
      </c>
      <c r="CA35" s="1248">
        <v>-0.05</v>
      </c>
      <c r="CB35" s="1249">
        <v>58850.03</v>
      </c>
      <c r="CC35" s="1247">
        <v>4924</v>
      </c>
      <c r="CD35" s="1248">
        <v>0</v>
      </c>
      <c r="CE35" s="1248">
        <v>0</v>
      </c>
      <c r="CF35" s="1248">
        <v>8678.17</v>
      </c>
      <c r="CG35" s="1248">
        <v>0</v>
      </c>
      <c r="CH35" s="1249">
        <v>13602.17</v>
      </c>
      <c r="CI35" s="1244"/>
      <c r="CJ35" s="1245"/>
      <c r="CK35" s="1245"/>
      <c r="CL35" s="1245"/>
      <c r="CM35" s="1245"/>
      <c r="CN35" s="1246"/>
      <c r="CO35" s="1247">
        <v>70056.399999999994</v>
      </c>
      <c r="CP35" s="1248">
        <v>0</v>
      </c>
      <c r="CQ35" s="1248">
        <v>0</v>
      </c>
      <c r="CR35" s="1248">
        <v>0</v>
      </c>
      <c r="CS35" s="1248">
        <v>0</v>
      </c>
      <c r="CT35" s="1249">
        <v>70056.399999999994</v>
      </c>
      <c r="CU35" s="1247">
        <v>741.5</v>
      </c>
      <c r="CV35" s="1248">
        <v>0</v>
      </c>
      <c r="CW35" s="1248">
        <v>593.20000000000005</v>
      </c>
      <c r="CX35" s="1248">
        <v>148.30000000000001</v>
      </c>
      <c r="CY35" s="1248">
        <v>0</v>
      </c>
      <c r="CZ35" s="1249">
        <v>1483</v>
      </c>
      <c r="DA35" s="1247">
        <v>231157.38</v>
      </c>
      <c r="DB35" s="1248">
        <v>0</v>
      </c>
      <c r="DC35" s="1248">
        <v>0</v>
      </c>
      <c r="DD35" s="1248">
        <v>0</v>
      </c>
      <c r="DE35" s="1248">
        <v>159.03</v>
      </c>
      <c r="DF35" s="1249">
        <v>231316.41</v>
      </c>
      <c r="DG35" s="1247">
        <v>499.5</v>
      </c>
      <c r="DH35" s="1248">
        <v>0</v>
      </c>
      <c r="DI35" s="1248">
        <v>344.66</v>
      </c>
      <c r="DJ35" s="1248">
        <v>154.85</v>
      </c>
      <c r="DK35" s="1248">
        <v>-0.01</v>
      </c>
      <c r="DL35" s="1249">
        <v>999</v>
      </c>
      <c r="DM35" s="1247">
        <v>-382.09</v>
      </c>
      <c r="DN35" s="1248">
        <v>0</v>
      </c>
      <c r="DO35" s="1248">
        <v>-2.2999999999999998</v>
      </c>
      <c r="DP35" s="1248">
        <v>-70.540000000000006</v>
      </c>
      <c r="DQ35" s="1248">
        <v>0.06</v>
      </c>
      <c r="DR35" s="1249">
        <v>-454.87</v>
      </c>
      <c r="DS35" s="1244"/>
      <c r="DT35" s="1245"/>
      <c r="DU35" s="1245"/>
      <c r="DV35" s="1245"/>
      <c r="DW35" s="1245"/>
      <c r="DX35" s="1246"/>
    </row>
    <row r="36" spans="1:128" ht="15" customHeight="1">
      <c r="A36" s="1092" t="s">
        <v>79</v>
      </c>
      <c r="B36" s="1239" t="s">
        <v>80</v>
      </c>
      <c r="C36" s="1467" t="s">
        <v>275</v>
      </c>
      <c r="D36" s="1240">
        <f t="shared" si="5"/>
        <v>56130.92</v>
      </c>
      <c r="E36" s="1241">
        <f t="shared" si="4"/>
        <v>15226.909999999998</v>
      </c>
      <c r="F36" s="1242">
        <f t="shared" si="6"/>
        <v>9715.6000000000022</v>
      </c>
      <c r="G36" s="1243">
        <f t="shared" si="7"/>
        <v>9715.760000000002</v>
      </c>
      <c r="H36" s="1242">
        <f t="shared" si="7"/>
        <v>-0.16</v>
      </c>
      <c r="I36" s="1244"/>
      <c r="J36" s="1245"/>
      <c r="K36" s="1245"/>
      <c r="L36" s="1245"/>
      <c r="M36" s="1245"/>
      <c r="N36" s="1246"/>
      <c r="O36" s="1244"/>
      <c r="P36" s="1245"/>
      <c r="Q36" s="1245"/>
      <c r="R36" s="1245"/>
      <c r="S36" s="1245"/>
      <c r="T36" s="1246"/>
      <c r="U36" s="1247">
        <v>1776.37</v>
      </c>
      <c r="V36" s="1248">
        <v>0</v>
      </c>
      <c r="W36" s="1248">
        <v>10.57</v>
      </c>
      <c r="X36" s="1248">
        <v>327.8</v>
      </c>
      <c r="Y36" s="1248">
        <v>-0.01</v>
      </c>
      <c r="Z36" s="1249">
        <v>2114.73</v>
      </c>
      <c r="AA36" s="1247">
        <v>11770.55</v>
      </c>
      <c r="AB36" s="1248">
        <v>0</v>
      </c>
      <c r="AC36" s="1248">
        <v>0</v>
      </c>
      <c r="AD36" s="1248">
        <v>2942.59</v>
      </c>
      <c r="AE36" s="1248">
        <v>0</v>
      </c>
      <c r="AF36" s="1249">
        <v>14713.14</v>
      </c>
      <c r="AG36" s="1244"/>
      <c r="AH36" s="1245"/>
      <c r="AI36" s="1245"/>
      <c r="AJ36" s="1245"/>
      <c r="AK36" s="1245"/>
      <c r="AL36" s="1246"/>
      <c r="AM36" s="1247">
        <v>2030.4</v>
      </c>
      <c r="AN36" s="1248">
        <v>0</v>
      </c>
      <c r="AO36" s="1248">
        <v>507.6</v>
      </c>
      <c r="AP36" s="1248">
        <v>0</v>
      </c>
      <c r="AQ36" s="1248">
        <v>0</v>
      </c>
      <c r="AR36" s="1249">
        <v>2538</v>
      </c>
      <c r="AS36" s="1247">
        <v>1766.74</v>
      </c>
      <c r="AT36" s="1248">
        <v>0</v>
      </c>
      <c r="AU36" s="1248">
        <v>441.68</v>
      </c>
      <c r="AV36" s="1248">
        <v>0</v>
      </c>
      <c r="AW36" s="1248">
        <v>0</v>
      </c>
      <c r="AX36" s="1249">
        <v>2208.42</v>
      </c>
      <c r="AY36" s="1244"/>
      <c r="AZ36" s="1245"/>
      <c r="BA36" s="1245"/>
      <c r="BB36" s="1245"/>
      <c r="BC36" s="1245"/>
      <c r="BD36" s="1246"/>
      <c r="BE36" s="1244"/>
      <c r="BF36" s="1245"/>
      <c r="BG36" s="1245"/>
      <c r="BH36" s="1245"/>
      <c r="BI36" s="1245"/>
      <c r="BJ36" s="1246"/>
      <c r="BK36" s="1247">
        <v>13011.03</v>
      </c>
      <c r="BL36" s="1248">
        <v>0</v>
      </c>
      <c r="BM36" s="1248">
        <v>1648.07</v>
      </c>
      <c r="BN36" s="1248">
        <v>2688.95</v>
      </c>
      <c r="BO36" s="1248">
        <v>-0.05</v>
      </c>
      <c r="BP36" s="1249">
        <v>17348</v>
      </c>
      <c r="BQ36" s="1247">
        <v>7569.75</v>
      </c>
      <c r="BR36" s="1248">
        <v>0</v>
      </c>
      <c r="BS36" s="1248">
        <v>6450.4</v>
      </c>
      <c r="BT36" s="1248">
        <v>1119.3499999999999</v>
      </c>
      <c r="BU36" s="1248">
        <v>0</v>
      </c>
      <c r="BV36" s="1249">
        <v>15139.5</v>
      </c>
      <c r="BW36" s="1247">
        <v>8379.58</v>
      </c>
      <c r="BX36" s="1248">
        <v>0</v>
      </c>
      <c r="BY36" s="1248">
        <v>5764.64</v>
      </c>
      <c r="BZ36" s="1248">
        <v>2594.52</v>
      </c>
      <c r="CA36" s="1248">
        <v>-0.1</v>
      </c>
      <c r="CB36" s="1249">
        <v>16738.64</v>
      </c>
      <c r="CC36" s="1244"/>
      <c r="CD36" s="1245"/>
      <c r="CE36" s="1245"/>
      <c r="CF36" s="1245"/>
      <c r="CG36" s="1245"/>
      <c r="CH36" s="1246"/>
      <c r="CI36" s="1244"/>
      <c r="CJ36" s="1245"/>
      <c r="CK36" s="1245"/>
      <c r="CL36" s="1245"/>
      <c r="CM36" s="1245"/>
      <c r="CN36" s="1246"/>
      <c r="CO36" s="1247">
        <v>671</v>
      </c>
      <c r="CP36" s="1248">
        <v>0</v>
      </c>
      <c r="CQ36" s="1248">
        <v>0</v>
      </c>
      <c r="CR36" s="1248">
        <v>0</v>
      </c>
      <c r="CS36" s="1248">
        <v>0</v>
      </c>
      <c r="CT36" s="1249">
        <v>671</v>
      </c>
      <c r="CU36" s="1247">
        <v>451.5</v>
      </c>
      <c r="CV36" s="1248">
        <v>0</v>
      </c>
      <c r="CW36" s="1248">
        <v>407.4</v>
      </c>
      <c r="CX36" s="1248">
        <v>44.1</v>
      </c>
      <c r="CY36" s="1248">
        <v>0</v>
      </c>
      <c r="CZ36" s="1249">
        <v>903</v>
      </c>
      <c r="DA36" s="1247">
        <v>8709</v>
      </c>
      <c r="DB36" s="1248">
        <v>0</v>
      </c>
      <c r="DC36" s="1248">
        <v>0</v>
      </c>
      <c r="DD36" s="1248">
        <v>0</v>
      </c>
      <c r="DE36" s="1248">
        <v>0</v>
      </c>
      <c r="DF36" s="1249">
        <v>8709</v>
      </c>
      <c r="DG36" s="1247">
        <v>-5</v>
      </c>
      <c r="DH36" s="1248">
        <v>0</v>
      </c>
      <c r="DI36" s="1248">
        <v>-3.45</v>
      </c>
      <c r="DJ36" s="1248">
        <v>-1.55</v>
      </c>
      <c r="DK36" s="1248">
        <v>0</v>
      </c>
      <c r="DL36" s="1249">
        <v>-10</v>
      </c>
      <c r="DM36" s="1244"/>
      <c r="DN36" s="1245"/>
      <c r="DO36" s="1245"/>
      <c r="DP36" s="1245"/>
      <c r="DQ36" s="1245"/>
      <c r="DR36" s="1246"/>
      <c r="DS36" s="1244"/>
      <c r="DT36" s="1245"/>
      <c r="DU36" s="1245"/>
      <c r="DV36" s="1245"/>
      <c r="DW36" s="1245"/>
      <c r="DX36" s="1246"/>
    </row>
    <row r="37" spans="1:128" ht="15" customHeight="1">
      <c r="A37" s="1092" t="s">
        <v>81</v>
      </c>
      <c r="B37" s="1239" t="s">
        <v>82</v>
      </c>
      <c r="C37" s="1467" t="s">
        <v>273</v>
      </c>
      <c r="D37" s="1240">
        <f t="shared" si="5"/>
        <v>125100.33</v>
      </c>
      <c r="E37" s="1241">
        <f t="shared" si="4"/>
        <v>31311.69</v>
      </c>
      <c r="F37" s="1242">
        <f t="shared" si="6"/>
        <v>13136.809999999998</v>
      </c>
      <c r="G37" s="1243">
        <f t="shared" si="7"/>
        <v>13136.889999999998</v>
      </c>
      <c r="H37" s="1242">
        <f t="shared" si="7"/>
        <v>-0.08</v>
      </c>
      <c r="I37" s="1244"/>
      <c r="J37" s="1245"/>
      <c r="K37" s="1245"/>
      <c r="L37" s="1245"/>
      <c r="M37" s="1245"/>
      <c r="N37" s="1246"/>
      <c r="O37" s="1244"/>
      <c r="P37" s="1245"/>
      <c r="Q37" s="1245"/>
      <c r="R37" s="1245"/>
      <c r="S37" s="1245"/>
      <c r="T37" s="1246"/>
      <c r="U37" s="1247">
        <v>2045.01</v>
      </c>
      <c r="V37" s="1248">
        <v>0</v>
      </c>
      <c r="W37" s="1248">
        <v>12.17</v>
      </c>
      <c r="X37" s="1248">
        <v>377.36</v>
      </c>
      <c r="Y37" s="1248">
        <v>0</v>
      </c>
      <c r="Z37" s="1249">
        <v>2434.54</v>
      </c>
      <c r="AA37" s="1247">
        <v>8360.24</v>
      </c>
      <c r="AB37" s="1248">
        <v>0</v>
      </c>
      <c r="AC37" s="1248">
        <v>0</v>
      </c>
      <c r="AD37" s="1248">
        <v>2090.0100000000002</v>
      </c>
      <c r="AE37" s="1248">
        <v>0</v>
      </c>
      <c r="AF37" s="1249">
        <v>10450.25</v>
      </c>
      <c r="AG37" s="1244"/>
      <c r="AH37" s="1245"/>
      <c r="AI37" s="1245"/>
      <c r="AJ37" s="1245"/>
      <c r="AK37" s="1245"/>
      <c r="AL37" s="1246"/>
      <c r="AM37" s="1247">
        <v>707.24</v>
      </c>
      <c r="AN37" s="1248">
        <v>0</v>
      </c>
      <c r="AO37" s="1248">
        <v>176.81</v>
      </c>
      <c r="AP37" s="1248">
        <v>0</v>
      </c>
      <c r="AQ37" s="1248">
        <v>0</v>
      </c>
      <c r="AR37" s="1249">
        <v>884.05</v>
      </c>
      <c r="AS37" s="1247">
        <v>3618.63</v>
      </c>
      <c r="AT37" s="1248">
        <v>0</v>
      </c>
      <c r="AU37" s="1248">
        <v>904.66</v>
      </c>
      <c r="AV37" s="1248">
        <v>0</v>
      </c>
      <c r="AW37" s="1248">
        <v>0</v>
      </c>
      <c r="AX37" s="1249">
        <v>4523.29</v>
      </c>
      <c r="AY37" s="1244"/>
      <c r="AZ37" s="1245"/>
      <c r="BA37" s="1245"/>
      <c r="BB37" s="1245"/>
      <c r="BC37" s="1245"/>
      <c r="BD37" s="1246"/>
      <c r="BE37" s="1244"/>
      <c r="BF37" s="1245"/>
      <c r="BG37" s="1245"/>
      <c r="BH37" s="1245"/>
      <c r="BI37" s="1245"/>
      <c r="BJ37" s="1246"/>
      <c r="BK37" s="1247">
        <v>10799.68</v>
      </c>
      <c r="BL37" s="1248">
        <v>0</v>
      </c>
      <c r="BM37" s="1248">
        <v>1367.98</v>
      </c>
      <c r="BN37" s="1248">
        <v>2231.9499999999998</v>
      </c>
      <c r="BO37" s="1248">
        <v>-0.05</v>
      </c>
      <c r="BP37" s="1249">
        <v>14399.56</v>
      </c>
      <c r="BQ37" s="1247">
        <v>24867.5</v>
      </c>
      <c r="BR37" s="1248">
        <v>0</v>
      </c>
      <c r="BS37" s="1248">
        <v>21673.599999999999</v>
      </c>
      <c r="BT37" s="1248">
        <v>3193.9</v>
      </c>
      <c r="BU37" s="1248">
        <v>0</v>
      </c>
      <c r="BV37" s="1249">
        <v>49735</v>
      </c>
      <c r="BW37" s="1247">
        <v>5347.49</v>
      </c>
      <c r="BX37" s="1248">
        <v>0</v>
      </c>
      <c r="BY37" s="1248">
        <v>3689.77</v>
      </c>
      <c r="BZ37" s="1248">
        <v>1657.72</v>
      </c>
      <c r="CA37" s="1248">
        <v>-0.02</v>
      </c>
      <c r="CB37" s="1249">
        <v>10694.96</v>
      </c>
      <c r="CC37" s="1247">
        <v>1120.0899999999999</v>
      </c>
      <c r="CD37" s="1248">
        <v>0</v>
      </c>
      <c r="CE37" s="1248">
        <v>0</v>
      </c>
      <c r="CF37" s="1248">
        <v>1974.09</v>
      </c>
      <c r="CG37" s="1248">
        <v>0</v>
      </c>
      <c r="CH37" s="1249">
        <v>3094.18</v>
      </c>
      <c r="CI37" s="1244"/>
      <c r="CJ37" s="1245"/>
      <c r="CK37" s="1245"/>
      <c r="CL37" s="1245"/>
      <c r="CM37" s="1245"/>
      <c r="CN37" s="1246"/>
      <c r="CO37" s="1247">
        <v>7446</v>
      </c>
      <c r="CP37" s="1248">
        <v>0</v>
      </c>
      <c r="CQ37" s="1248">
        <v>0</v>
      </c>
      <c r="CR37" s="1248">
        <v>0</v>
      </c>
      <c r="CS37" s="1248">
        <v>0</v>
      </c>
      <c r="CT37" s="1249">
        <v>7446</v>
      </c>
      <c r="CU37" s="1247">
        <v>1147</v>
      </c>
      <c r="CV37" s="1248">
        <v>0</v>
      </c>
      <c r="CW37" s="1248">
        <v>917.6</v>
      </c>
      <c r="CX37" s="1248">
        <v>229.4</v>
      </c>
      <c r="CY37" s="1248">
        <v>0</v>
      </c>
      <c r="CZ37" s="1249">
        <v>2294</v>
      </c>
      <c r="DA37" s="1247">
        <v>54674</v>
      </c>
      <c r="DB37" s="1248">
        <v>0</v>
      </c>
      <c r="DC37" s="1248">
        <v>0</v>
      </c>
      <c r="DD37" s="1248">
        <v>0</v>
      </c>
      <c r="DE37" s="1248">
        <v>0</v>
      </c>
      <c r="DF37" s="1249">
        <v>54674</v>
      </c>
      <c r="DG37" s="1247">
        <v>3712.5</v>
      </c>
      <c r="DH37" s="1248">
        <v>0</v>
      </c>
      <c r="DI37" s="1248">
        <v>2561.63</v>
      </c>
      <c r="DJ37" s="1248">
        <v>1150.8800000000001</v>
      </c>
      <c r="DK37" s="1248">
        <v>-0.01</v>
      </c>
      <c r="DL37" s="1249">
        <v>7425</v>
      </c>
      <c r="DM37" s="1247">
        <v>1254.95</v>
      </c>
      <c r="DN37" s="1248">
        <v>0</v>
      </c>
      <c r="DO37" s="1248">
        <v>7.47</v>
      </c>
      <c r="DP37" s="1248">
        <v>231.58</v>
      </c>
      <c r="DQ37" s="1248">
        <v>0</v>
      </c>
      <c r="DR37" s="1249">
        <v>1494</v>
      </c>
      <c r="DS37" s="1244"/>
      <c r="DT37" s="1245"/>
      <c r="DU37" s="1245"/>
      <c r="DV37" s="1245"/>
      <c r="DW37" s="1245"/>
      <c r="DX37" s="1246"/>
    </row>
    <row r="38" spans="1:128" ht="15" customHeight="1">
      <c r="A38" s="1092" t="s">
        <v>85</v>
      </c>
      <c r="B38" s="1239" t="s">
        <v>330</v>
      </c>
      <c r="C38" s="1467" t="s">
        <v>272</v>
      </c>
      <c r="D38" s="1240">
        <f t="shared" si="5"/>
        <v>394285.48999999993</v>
      </c>
      <c r="E38" s="1241">
        <f t="shared" si="4"/>
        <v>117074.97</v>
      </c>
      <c r="F38" s="1242">
        <f t="shared" si="6"/>
        <v>64733.32</v>
      </c>
      <c r="G38" s="1243">
        <f t="shared" si="7"/>
        <v>64733.57</v>
      </c>
      <c r="H38" s="1242">
        <f t="shared" si="7"/>
        <v>-0.25</v>
      </c>
      <c r="I38" s="1244"/>
      <c r="J38" s="1245"/>
      <c r="K38" s="1245"/>
      <c r="L38" s="1245"/>
      <c r="M38" s="1245"/>
      <c r="N38" s="1246"/>
      <c r="O38" s="1244"/>
      <c r="P38" s="1245"/>
      <c r="Q38" s="1245"/>
      <c r="R38" s="1245"/>
      <c r="S38" s="1245"/>
      <c r="T38" s="1246"/>
      <c r="U38" s="1247">
        <v>8004.29</v>
      </c>
      <c r="V38" s="1248">
        <v>0</v>
      </c>
      <c r="W38" s="1248">
        <v>47.65</v>
      </c>
      <c r="X38" s="1248">
        <v>1476.97</v>
      </c>
      <c r="Y38" s="1248">
        <v>0</v>
      </c>
      <c r="Z38" s="1249">
        <v>9528.91</v>
      </c>
      <c r="AA38" s="1247">
        <v>56414.49</v>
      </c>
      <c r="AB38" s="1248">
        <v>0</v>
      </c>
      <c r="AC38" s="1248">
        <v>0</v>
      </c>
      <c r="AD38" s="1248">
        <v>14103.58</v>
      </c>
      <c r="AE38" s="1248">
        <v>0</v>
      </c>
      <c r="AF38" s="1249">
        <v>70518.070000000007</v>
      </c>
      <c r="AG38" s="1244"/>
      <c r="AH38" s="1245"/>
      <c r="AI38" s="1245"/>
      <c r="AJ38" s="1245"/>
      <c r="AK38" s="1245"/>
      <c r="AL38" s="1246"/>
      <c r="AM38" s="1247">
        <v>17463</v>
      </c>
      <c r="AN38" s="1248">
        <v>0</v>
      </c>
      <c r="AO38" s="1248">
        <v>4365.75</v>
      </c>
      <c r="AP38" s="1248">
        <v>0</v>
      </c>
      <c r="AQ38" s="1248">
        <v>0</v>
      </c>
      <c r="AR38" s="1249">
        <v>21828.75</v>
      </c>
      <c r="AS38" s="1247">
        <v>13954.76</v>
      </c>
      <c r="AT38" s="1248">
        <v>0</v>
      </c>
      <c r="AU38" s="1248">
        <v>3488.68</v>
      </c>
      <c r="AV38" s="1248">
        <v>0</v>
      </c>
      <c r="AW38" s="1248">
        <v>0</v>
      </c>
      <c r="AX38" s="1249">
        <v>17443.439999999999</v>
      </c>
      <c r="AY38" s="1244"/>
      <c r="AZ38" s="1245"/>
      <c r="BA38" s="1245"/>
      <c r="BB38" s="1245"/>
      <c r="BC38" s="1245"/>
      <c r="BD38" s="1246"/>
      <c r="BE38" s="1247">
        <v>825.26</v>
      </c>
      <c r="BF38" s="1248">
        <v>0</v>
      </c>
      <c r="BG38" s="1248">
        <v>1490.31</v>
      </c>
      <c r="BH38" s="1248">
        <v>0</v>
      </c>
      <c r="BI38" s="1248">
        <v>0</v>
      </c>
      <c r="BJ38" s="1249">
        <v>2315.5700000000002</v>
      </c>
      <c r="BK38" s="1247">
        <v>9576.2099999999991</v>
      </c>
      <c r="BL38" s="1248">
        <v>0</v>
      </c>
      <c r="BM38" s="1248">
        <v>1212.99</v>
      </c>
      <c r="BN38" s="1248">
        <v>1979.1</v>
      </c>
      <c r="BO38" s="1248">
        <v>-0.04</v>
      </c>
      <c r="BP38" s="1249">
        <v>12768.26</v>
      </c>
      <c r="BQ38" s="1247">
        <v>45230.5</v>
      </c>
      <c r="BR38" s="1248">
        <v>0</v>
      </c>
      <c r="BS38" s="1248">
        <v>37384.6</v>
      </c>
      <c r="BT38" s="1248">
        <v>7845.9</v>
      </c>
      <c r="BU38" s="1248">
        <v>0</v>
      </c>
      <c r="BV38" s="1249">
        <v>90461</v>
      </c>
      <c r="BW38" s="1247">
        <v>95957.7</v>
      </c>
      <c r="BX38" s="1248">
        <v>0</v>
      </c>
      <c r="BY38" s="1248">
        <v>65877.98</v>
      </c>
      <c r="BZ38" s="1248">
        <v>29685.82</v>
      </c>
      <c r="CA38" s="1248">
        <v>-0.21</v>
      </c>
      <c r="CB38" s="1249">
        <v>191521.29</v>
      </c>
      <c r="CC38" s="1247">
        <v>3993.93</v>
      </c>
      <c r="CD38" s="1248">
        <v>0</v>
      </c>
      <c r="CE38" s="1248">
        <v>0</v>
      </c>
      <c r="CF38" s="1248">
        <v>7039.05</v>
      </c>
      <c r="CG38" s="1248">
        <v>0</v>
      </c>
      <c r="CH38" s="1249">
        <v>11032.98</v>
      </c>
      <c r="CI38" s="1244"/>
      <c r="CJ38" s="1245"/>
      <c r="CK38" s="1245"/>
      <c r="CL38" s="1245"/>
      <c r="CM38" s="1245"/>
      <c r="CN38" s="1246"/>
      <c r="CO38" s="1247">
        <v>3430</v>
      </c>
      <c r="CP38" s="1248">
        <v>0</v>
      </c>
      <c r="CQ38" s="1248">
        <v>0</v>
      </c>
      <c r="CR38" s="1248">
        <v>0</v>
      </c>
      <c r="CS38" s="1248">
        <v>0</v>
      </c>
      <c r="CT38" s="1249">
        <v>3430</v>
      </c>
      <c r="CU38" s="1244"/>
      <c r="CV38" s="1245"/>
      <c r="CW38" s="1245"/>
      <c r="CX38" s="1245"/>
      <c r="CY38" s="1245"/>
      <c r="CZ38" s="1246"/>
      <c r="DA38" s="1247">
        <v>128451.04</v>
      </c>
      <c r="DB38" s="1248">
        <v>0</v>
      </c>
      <c r="DC38" s="1248">
        <v>0</v>
      </c>
      <c r="DD38" s="1248">
        <v>0</v>
      </c>
      <c r="DE38" s="1248">
        <v>0</v>
      </c>
      <c r="DF38" s="1249">
        <v>128451.04</v>
      </c>
      <c r="DG38" s="1247">
        <v>4592.74</v>
      </c>
      <c r="DH38" s="1248">
        <v>0</v>
      </c>
      <c r="DI38" s="1248">
        <v>3168.99</v>
      </c>
      <c r="DJ38" s="1248">
        <v>1423.75</v>
      </c>
      <c r="DK38" s="1248">
        <v>-0.01</v>
      </c>
      <c r="DL38" s="1249">
        <v>9185.4699999999993</v>
      </c>
      <c r="DM38" s="1247">
        <v>6391.57</v>
      </c>
      <c r="DN38" s="1248">
        <v>0</v>
      </c>
      <c r="DO38" s="1248">
        <v>38.020000000000003</v>
      </c>
      <c r="DP38" s="1248">
        <v>1179.4000000000001</v>
      </c>
      <c r="DQ38" s="1248">
        <v>0.01</v>
      </c>
      <c r="DR38" s="1249">
        <v>7609</v>
      </c>
      <c r="DS38" s="1244"/>
      <c r="DT38" s="1245"/>
      <c r="DU38" s="1245"/>
      <c r="DV38" s="1245"/>
      <c r="DW38" s="1245"/>
      <c r="DX38" s="1246"/>
    </row>
    <row r="39" spans="1:128" ht="15" customHeight="1">
      <c r="A39" s="1092" t="s">
        <v>87</v>
      </c>
      <c r="B39" s="1239" t="s">
        <v>88</v>
      </c>
      <c r="C39" s="1467" t="s">
        <v>274</v>
      </c>
      <c r="D39" s="1240">
        <f t="shared" si="5"/>
        <v>412220.17</v>
      </c>
      <c r="E39" s="1241">
        <f t="shared" si="4"/>
        <v>122514.04000000001</v>
      </c>
      <c r="F39" s="1242">
        <f t="shared" si="6"/>
        <v>69685.39</v>
      </c>
      <c r="G39" s="1243">
        <f t="shared" si="7"/>
        <v>43739.939999999995</v>
      </c>
      <c r="H39" s="1242">
        <f t="shared" si="7"/>
        <v>25945.45</v>
      </c>
      <c r="I39" s="1244"/>
      <c r="J39" s="1245"/>
      <c r="K39" s="1245"/>
      <c r="L39" s="1245"/>
      <c r="M39" s="1245"/>
      <c r="N39" s="1246"/>
      <c r="O39" s="1244"/>
      <c r="P39" s="1245"/>
      <c r="Q39" s="1245"/>
      <c r="R39" s="1245"/>
      <c r="S39" s="1245"/>
      <c r="T39" s="1246"/>
      <c r="U39" s="1247">
        <v>5668.65</v>
      </c>
      <c r="V39" s="1248">
        <v>0</v>
      </c>
      <c r="W39" s="1248">
        <v>33.74</v>
      </c>
      <c r="X39" s="1248">
        <v>1046.02</v>
      </c>
      <c r="Y39" s="1248">
        <v>-0.02</v>
      </c>
      <c r="Z39" s="1249">
        <v>6748.39</v>
      </c>
      <c r="AA39" s="1247">
        <v>55756.800000000003</v>
      </c>
      <c r="AB39" s="1248">
        <v>0</v>
      </c>
      <c r="AC39" s="1248">
        <v>0</v>
      </c>
      <c r="AD39" s="1248">
        <v>13939.2</v>
      </c>
      <c r="AE39" s="1248">
        <v>553.9</v>
      </c>
      <c r="AF39" s="1249">
        <v>70249.899999999994</v>
      </c>
      <c r="AG39" s="1244"/>
      <c r="AH39" s="1245"/>
      <c r="AI39" s="1245"/>
      <c r="AJ39" s="1245"/>
      <c r="AK39" s="1245"/>
      <c r="AL39" s="1246"/>
      <c r="AM39" s="1247">
        <v>3991.66</v>
      </c>
      <c r="AN39" s="1248">
        <v>0</v>
      </c>
      <c r="AO39" s="1248">
        <v>997.92</v>
      </c>
      <c r="AP39" s="1248">
        <v>0</v>
      </c>
      <c r="AQ39" s="1248">
        <v>0</v>
      </c>
      <c r="AR39" s="1249">
        <v>4989.58</v>
      </c>
      <c r="AS39" s="1247">
        <v>4648.38</v>
      </c>
      <c r="AT39" s="1248">
        <v>0</v>
      </c>
      <c r="AU39" s="1248">
        <v>1162.0999999999999</v>
      </c>
      <c r="AV39" s="1248">
        <v>0</v>
      </c>
      <c r="AW39" s="1248">
        <v>0</v>
      </c>
      <c r="AX39" s="1249">
        <v>5810.48</v>
      </c>
      <c r="AY39" s="1244"/>
      <c r="AZ39" s="1245"/>
      <c r="BA39" s="1245"/>
      <c r="BB39" s="1245"/>
      <c r="BC39" s="1245"/>
      <c r="BD39" s="1246"/>
      <c r="BE39" s="1247">
        <v>1099.49</v>
      </c>
      <c r="BF39" s="1248">
        <v>0</v>
      </c>
      <c r="BG39" s="1248">
        <v>1985.51</v>
      </c>
      <c r="BH39" s="1248">
        <v>0</v>
      </c>
      <c r="BI39" s="1248">
        <v>0</v>
      </c>
      <c r="BJ39" s="1249">
        <v>3085</v>
      </c>
      <c r="BK39" s="1244"/>
      <c r="BL39" s="1245"/>
      <c r="BM39" s="1245"/>
      <c r="BN39" s="1245"/>
      <c r="BO39" s="1245"/>
      <c r="BP39" s="1246"/>
      <c r="BQ39" s="1247">
        <v>93549.5</v>
      </c>
      <c r="BR39" s="1248">
        <v>0</v>
      </c>
      <c r="BS39" s="1248">
        <v>82076.600000000006</v>
      </c>
      <c r="BT39" s="1248">
        <v>11472.9</v>
      </c>
      <c r="BU39" s="1248">
        <v>0</v>
      </c>
      <c r="BV39" s="1249">
        <v>187099</v>
      </c>
      <c r="BW39" s="1247">
        <v>47001.08</v>
      </c>
      <c r="BX39" s="1248">
        <v>0</v>
      </c>
      <c r="BY39" s="1248">
        <v>32430.7</v>
      </c>
      <c r="BZ39" s="1248">
        <v>14570.3</v>
      </c>
      <c r="CA39" s="1248">
        <v>-0.08</v>
      </c>
      <c r="CB39" s="1249">
        <v>94002</v>
      </c>
      <c r="CC39" s="1247">
        <v>0</v>
      </c>
      <c r="CD39" s="1248">
        <v>0</v>
      </c>
      <c r="CE39" s="1248">
        <v>0</v>
      </c>
      <c r="CF39" s="1248">
        <v>0</v>
      </c>
      <c r="CG39" s="1248">
        <v>25287.65</v>
      </c>
      <c r="CH39" s="1249">
        <v>25287.65</v>
      </c>
      <c r="CI39" s="1244"/>
      <c r="CJ39" s="1245"/>
      <c r="CK39" s="1245"/>
      <c r="CL39" s="1245"/>
      <c r="CM39" s="1245"/>
      <c r="CN39" s="1246"/>
      <c r="CO39" s="1247">
        <v>26565</v>
      </c>
      <c r="CP39" s="1248">
        <v>0</v>
      </c>
      <c r="CQ39" s="1248">
        <v>0</v>
      </c>
      <c r="CR39" s="1248">
        <v>0</v>
      </c>
      <c r="CS39" s="1248">
        <v>0</v>
      </c>
      <c r="CT39" s="1249">
        <v>26565</v>
      </c>
      <c r="CU39" s="1244"/>
      <c r="CV39" s="1245"/>
      <c r="CW39" s="1245"/>
      <c r="CX39" s="1245"/>
      <c r="CY39" s="1245"/>
      <c r="CZ39" s="1246"/>
      <c r="DA39" s="1247">
        <v>162985</v>
      </c>
      <c r="DB39" s="1248">
        <v>0</v>
      </c>
      <c r="DC39" s="1248">
        <v>0</v>
      </c>
      <c r="DD39" s="1248">
        <v>0</v>
      </c>
      <c r="DE39" s="1248">
        <v>104</v>
      </c>
      <c r="DF39" s="1249">
        <v>163089</v>
      </c>
      <c r="DG39" s="1247">
        <v>5500</v>
      </c>
      <c r="DH39" s="1248">
        <v>0</v>
      </c>
      <c r="DI39" s="1248">
        <v>3795</v>
      </c>
      <c r="DJ39" s="1248">
        <v>1705</v>
      </c>
      <c r="DK39" s="1248">
        <v>0</v>
      </c>
      <c r="DL39" s="1249">
        <v>11000</v>
      </c>
      <c r="DM39" s="1247">
        <v>5454.61</v>
      </c>
      <c r="DN39" s="1248">
        <v>0</v>
      </c>
      <c r="DO39" s="1248">
        <v>32.47</v>
      </c>
      <c r="DP39" s="1248">
        <v>1006.52</v>
      </c>
      <c r="DQ39" s="1248">
        <v>0</v>
      </c>
      <c r="DR39" s="1249">
        <v>6493.6</v>
      </c>
      <c r="DS39" s="1244"/>
      <c r="DT39" s="1245"/>
      <c r="DU39" s="1245"/>
      <c r="DV39" s="1245"/>
      <c r="DW39" s="1245"/>
      <c r="DX39" s="1246"/>
    </row>
    <row r="40" spans="1:128" ht="15" customHeight="1">
      <c r="A40" s="1092" t="s">
        <v>93</v>
      </c>
      <c r="B40" s="1239" t="s">
        <v>94</v>
      </c>
      <c r="C40" s="1467" t="s">
        <v>275</v>
      </c>
      <c r="D40" s="1240">
        <f t="shared" si="5"/>
        <v>99240.49</v>
      </c>
      <c r="E40" s="1241">
        <f t="shared" si="4"/>
        <v>20104.999999999996</v>
      </c>
      <c r="F40" s="1242">
        <f t="shared" si="6"/>
        <v>11637.59</v>
      </c>
      <c r="G40" s="1243">
        <f t="shared" si="7"/>
        <v>11637.77</v>
      </c>
      <c r="H40" s="1242">
        <f t="shared" si="7"/>
        <v>-0.18</v>
      </c>
      <c r="I40" s="1244"/>
      <c r="J40" s="1245"/>
      <c r="K40" s="1245"/>
      <c r="L40" s="1245"/>
      <c r="M40" s="1245"/>
      <c r="N40" s="1246"/>
      <c r="O40" s="1244"/>
      <c r="P40" s="1245"/>
      <c r="Q40" s="1245"/>
      <c r="R40" s="1245"/>
      <c r="S40" s="1245"/>
      <c r="T40" s="1246"/>
      <c r="U40" s="1247">
        <v>3453.13</v>
      </c>
      <c r="V40" s="1248">
        <v>0</v>
      </c>
      <c r="W40" s="1248">
        <v>20.56</v>
      </c>
      <c r="X40" s="1248">
        <v>637.20000000000005</v>
      </c>
      <c r="Y40" s="1248">
        <v>-0.01</v>
      </c>
      <c r="Z40" s="1249">
        <v>4110.88</v>
      </c>
      <c r="AA40" s="1247">
        <v>12626.46</v>
      </c>
      <c r="AB40" s="1248">
        <v>0</v>
      </c>
      <c r="AC40" s="1248">
        <v>0</v>
      </c>
      <c r="AD40" s="1248">
        <v>3156.63</v>
      </c>
      <c r="AE40" s="1248">
        <v>0</v>
      </c>
      <c r="AF40" s="1249">
        <v>15783.09</v>
      </c>
      <c r="AG40" s="1244"/>
      <c r="AH40" s="1245"/>
      <c r="AI40" s="1245"/>
      <c r="AJ40" s="1245"/>
      <c r="AK40" s="1245"/>
      <c r="AL40" s="1246"/>
      <c r="AM40" s="1247">
        <v>7251.7</v>
      </c>
      <c r="AN40" s="1248">
        <v>0</v>
      </c>
      <c r="AO40" s="1248">
        <v>1812.92</v>
      </c>
      <c r="AP40" s="1248">
        <v>0</v>
      </c>
      <c r="AQ40" s="1248">
        <v>0</v>
      </c>
      <c r="AR40" s="1249">
        <v>9064.6200000000008</v>
      </c>
      <c r="AS40" s="1247">
        <v>1928.67</v>
      </c>
      <c r="AT40" s="1248">
        <v>0</v>
      </c>
      <c r="AU40" s="1248">
        <v>482.16</v>
      </c>
      <c r="AV40" s="1248">
        <v>0</v>
      </c>
      <c r="AW40" s="1248">
        <v>0</v>
      </c>
      <c r="AX40" s="1249">
        <v>2410.83</v>
      </c>
      <c r="AY40" s="1244"/>
      <c r="AZ40" s="1245"/>
      <c r="BA40" s="1245"/>
      <c r="BB40" s="1245"/>
      <c r="BC40" s="1245"/>
      <c r="BD40" s="1246"/>
      <c r="BE40" s="1244"/>
      <c r="BF40" s="1245"/>
      <c r="BG40" s="1245"/>
      <c r="BH40" s="1245"/>
      <c r="BI40" s="1245"/>
      <c r="BJ40" s="1246"/>
      <c r="BK40" s="1247">
        <v>13697.65</v>
      </c>
      <c r="BL40" s="1248">
        <v>0</v>
      </c>
      <c r="BM40" s="1248">
        <v>1735.06</v>
      </c>
      <c r="BN40" s="1248">
        <v>2830.87</v>
      </c>
      <c r="BO40" s="1248">
        <v>-0.08</v>
      </c>
      <c r="BP40" s="1249">
        <v>18263.5</v>
      </c>
      <c r="BQ40" s="1247">
        <v>9147.5</v>
      </c>
      <c r="BR40" s="1248">
        <v>0</v>
      </c>
      <c r="BS40" s="1248">
        <v>7694.6</v>
      </c>
      <c r="BT40" s="1248">
        <v>1452.9</v>
      </c>
      <c r="BU40" s="1248">
        <v>0</v>
      </c>
      <c r="BV40" s="1249">
        <v>18295</v>
      </c>
      <c r="BW40" s="1247">
        <v>11947.72</v>
      </c>
      <c r="BX40" s="1248">
        <v>0</v>
      </c>
      <c r="BY40" s="1248">
        <v>6936.4</v>
      </c>
      <c r="BZ40" s="1248">
        <v>3463.97</v>
      </c>
      <c r="CA40" s="1248">
        <v>-0.09</v>
      </c>
      <c r="CB40" s="1249">
        <v>22348</v>
      </c>
      <c r="CC40" s="1244"/>
      <c r="CD40" s="1245"/>
      <c r="CE40" s="1245"/>
      <c r="CF40" s="1245"/>
      <c r="CG40" s="1245"/>
      <c r="CH40" s="1246"/>
      <c r="CI40" s="1244"/>
      <c r="CJ40" s="1245"/>
      <c r="CK40" s="1245"/>
      <c r="CL40" s="1245"/>
      <c r="CM40" s="1245"/>
      <c r="CN40" s="1246"/>
      <c r="CO40" s="1247">
        <v>3439</v>
      </c>
      <c r="CP40" s="1248">
        <v>0</v>
      </c>
      <c r="CQ40" s="1248">
        <v>0</v>
      </c>
      <c r="CR40" s="1248">
        <v>0</v>
      </c>
      <c r="CS40" s="1248">
        <v>0</v>
      </c>
      <c r="CT40" s="1249">
        <v>3439</v>
      </c>
      <c r="CU40" s="1247">
        <v>1519.5</v>
      </c>
      <c r="CV40" s="1248">
        <v>0</v>
      </c>
      <c r="CW40" s="1248">
        <v>1423.3</v>
      </c>
      <c r="CX40" s="1248">
        <v>96.2</v>
      </c>
      <c r="CY40" s="1248">
        <v>0</v>
      </c>
      <c r="CZ40" s="1249">
        <v>3039</v>
      </c>
      <c r="DA40" s="1247">
        <v>34229.160000000003</v>
      </c>
      <c r="DB40" s="1248">
        <v>0</v>
      </c>
      <c r="DC40" s="1248">
        <v>0</v>
      </c>
      <c r="DD40" s="1248">
        <v>0</v>
      </c>
      <c r="DE40" s="1248">
        <v>0</v>
      </c>
      <c r="DF40" s="1249">
        <v>34229.160000000003</v>
      </c>
      <c r="DG40" s="1244"/>
      <c r="DH40" s="1245"/>
      <c r="DI40" s="1245"/>
      <c r="DJ40" s="1245"/>
      <c r="DK40" s="1245"/>
      <c r="DL40" s="1246"/>
      <c r="DM40" s="1244"/>
      <c r="DN40" s="1245"/>
      <c r="DO40" s="1245"/>
      <c r="DP40" s="1245"/>
      <c r="DQ40" s="1245"/>
      <c r="DR40" s="1246"/>
      <c r="DS40" s="1244"/>
      <c r="DT40" s="1245"/>
      <c r="DU40" s="1245"/>
      <c r="DV40" s="1245"/>
      <c r="DW40" s="1245"/>
      <c r="DX40" s="1246"/>
    </row>
    <row r="41" spans="1:128" ht="15" customHeight="1">
      <c r="A41" s="1092" t="s">
        <v>95</v>
      </c>
      <c r="B41" s="1239" t="s">
        <v>96</v>
      </c>
      <c r="C41" s="1467" t="s">
        <v>271</v>
      </c>
      <c r="D41" s="1240">
        <f t="shared" si="5"/>
        <v>187574.42</v>
      </c>
      <c r="E41" s="1241">
        <f t="shared" si="4"/>
        <v>55014.899999999994</v>
      </c>
      <c r="F41" s="1242">
        <f t="shared" si="6"/>
        <v>19770.320000000003</v>
      </c>
      <c r="G41" s="1243">
        <f t="shared" si="7"/>
        <v>19770.410000000003</v>
      </c>
      <c r="H41" s="1242">
        <f t="shared" si="7"/>
        <v>-9.0000000000000011E-2</v>
      </c>
      <c r="I41" s="1244"/>
      <c r="J41" s="1245"/>
      <c r="K41" s="1245"/>
      <c r="L41" s="1245"/>
      <c r="M41" s="1245"/>
      <c r="N41" s="1246"/>
      <c r="O41" s="1244"/>
      <c r="P41" s="1245"/>
      <c r="Q41" s="1245"/>
      <c r="R41" s="1245"/>
      <c r="S41" s="1245"/>
      <c r="T41" s="1246"/>
      <c r="U41" s="1247">
        <v>110.04</v>
      </c>
      <c r="V41" s="1248">
        <v>0</v>
      </c>
      <c r="W41" s="1248">
        <v>0.66</v>
      </c>
      <c r="X41" s="1248">
        <v>20.309999999999999</v>
      </c>
      <c r="Y41" s="1248">
        <v>-0.01</v>
      </c>
      <c r="Z41" s="1249">
        <v>131</v>
      </c>
      <c r="AA41" s="1247">
        <v>9909.2000000000007</v>
      </c>
      <c r="AB41" s="1248">
        <v>0</v>
      </c>
      <c r="AC41" s="1248">
        <v>0</v>
      </c>
      <c r="AD41" s="1248">
        <v>2477.3000000000002</v>
      </c>
      <c r="AE41" s="1248">
        <v>0</v>
      </c>
      <c r="AF41" s="1249">
        <v>12386.5</v>
      </c>
      <c r="AG41" s="1244"/>
      <c r="AH41" s="1245"/>
      <c r="AI41" s="1245"/>
      <c r="AJ41" s="1245"/>
      <c r="AK41" s="1245"/>
      <c r="AL41" s="1246"/>
      <c r="AM41" s="1244"/>
      <c r="AN41" s="1245"/>
      <c r="AO41" s="1245"/>
      <c r="AP41" s="1245"/>
      <c r="AQ41" s="1245"/>
      <c r="AR41" s="1246"/>
      <c r="AS41" s="1247">
        <v>1523.92</v>
      </c>
      <c r="AT41" s="1248">
        <v>0</v>
      </c>
      <c r="AU41" s="1248">
        <v>380.98</v>
      </c>
      <c r="AV41" s="1248">
        <v>0</v>
      </c>
      <c r="AW41" s="1248">
        <v>0</v>
      </c>
      <c r="AX41" s="1249">
        <v>1904.9</v>
      </c>
      <c r="AY41" s="1244"/>
      <c r="AZ41" s="1245"/>
      <c r="BA41" s="1245"/>
      <c r="BB41" s="1245"/>
      <c r="BC41" s="1245"/>
      <c r="BD41" s="1246"/>
      <c r="BE41" s="1247">
        <v>302.94</v>
      </c>
      <c r="BF41" s="1248">
        <v>0</v>
      </c>
      <c r="BG41" s="1248">
        <v>547.05999999999995</v>
      </c>
      <c r="BH41" s="1248">
        <v>0</v>
      </c>
      <c r="BI41" s="1248">
        <v>0</v>
      </c>
      <c r="BJ41" s="1249">
        <v>850</v>
      </c>
      <c r="BK41" s="1247">
        <v>19160.64</v>
      </c>
      <c r="BL41" s="1248">
        <v>0</v>
      </c>
      <c r="BM41" s="1248">
        <v>2427.02</v>
      </c>
      <c r="BN41" s="1248">
        <v>3959.86</v>
      </c>
      <c r="BO41" s="1248">
        <v>-0.04</v>
      </c>
      <c r="BP41" s="1249">
        <v>25547.48</v>
      </c>
      <c r="BQ41" s="1247">
        <v>50224</v>
      </c>
      <c r="BR41" s="1248">
        <v>0</v>
      </c>
      <c r="BS41" s="1248">
        <v>42695</v>
      </c>
      <c r="BT41" s="1248">
        <v>7529</v>
      </c>
      <c r="BU41" s="1248">
        <v>0</v>
      </c>
      <c r="BV41" s="1249">
        <v>100448</v>
      </c>
      <c r="BW41" s="1247">
        <v>12936</v>
      </c>
      <c r="BX41" s="1248">
        <v>0</v>
      </c>
      <c r="BY41" s="1248">
        <v>8925.84</v>
      </c>
      <c r="BZ41" s="1248">
        <v>4010.14</v>
      </c>
      <c r="CA41" s="1248">
        <v>-0.05</v>
      </c>
      <c r="CB41" s="1249">
        <v>25871.93</v>
      </c>
      <c r="CC41" s="1247">
        <v>331.97</v>
      </c>
      <c r="CD41" s="1248">
        <v>0</v>
      </c>
      <c r="CE41" s="1248">
        <v>0</v>
      </c>
      <c r="CF41" s="1248">
        <v>585.05999999999995</v>
      </c>
      <c r="CG41" s="1248">
        <v>0</v>
      </c>
      <c r="CH41" s="1249">
        <v>917.03</v>
      </c>
      <c r="CI41" s="1244"/>
      <c r="CJ41" s="1245"/>
      <c r="CK41" s="1245"/>
      <c r="CL41" s="1245"/>
      <c r="CM41" s="1245"/>
      <c r="CN41" s="1246"/>
      <c r="CO41" s="1247">
        <v>9307</v>
      </c>
      <c r="CP41" s="1248">
        <v>0</v>
      </c>
      <c r="CQ41" s="1248">
        <v>0</v>
      </c>
      <c r="CR41" s="1248">
        <v>0</v>
      </c>
      <c r="CS41" s="1248">
        <v>0</v>
      </c>
      <c r="CT41" s="1249">
        <v>9307</v>
      </c>
      <c r="CU41" s="1244"/>
      <c r="CV41" s="1245"/>
      <c r="CW41" s="1245"/>
      <c r="CX41" s="1245"/>
      <c r="CY41" s="1245"/>
      <c r="CZ41" s="1246"/>
      <c r="DA41" s="1247">
        <v>77326.5</v>
      </c>
      <c r="DB41" s="1248">
        <v>0</v>
      </c>
      <c r="DC41" s="1248">
        <v>0</v>
      </c>
      <c r="DD41" s="1248">
        <v>0</v>
      </c>
      <c r="DE41" s="1248">
        <v>0</v>
      </c>
      <c r="DF41" s="1249">
        <v>77326.5</v>
      </c>
      <c r="DG41" s="1244"/>
      <c r="DH41" s="1245"/>
      <c r="DI41" s="1245"/>
      <c r="DJ41" s="1245"/>
      <c r="DK41" s="1245"/>
      <c r="DL41" s="1246"/>
      <c r="DM41" s="1247">
        <v>6442.21</v>
      </c>
      <c r="DN41" s="1248">
        <v>0</v>
      </c>
      <c r="DO41" s="1248">
        <v>38.340000000000003</v>
      </c>
      <c r="DP41" s="1248">
        <v>1188.74</v>
      </c>
      <c r="DQ41" s="1248">
        <v>0.01</v>
      </c>
      <c r="DR41" s="1249">
        <v>7669.3</v>
      </c>
      <c r="DS41" s="1244"/>
      <c r="DT41" s="1245"/>
      <c r="DU41" s="1245"/>
      <c r="DV41" s="1245"/>
      <c r="DW41" s="1245"/>
      <c r="DX41" s="1246"/>
    </row>
    <row r="42" spans="1:128" ht="15" customHeight="1">
      <c r="A42" s="1092" t="s">
        <v>97</v>
      </c>
      <c r="B42" s="1239" t="s">
        <v>98</v>
      </c>
      <c r="C42" s="1467" t="s">
        <v>273</v>
      </c>
      <c r="D42" s="1240">
        <f t="shared" si="5"/>
        <v>107075.29</v>
      </c>
      <c r="E42" s="1241">
        <f t="shared" si="4"/>
        <v>27623.820000000003</v>
      </c>
      <c r="F42" s="1242">
        <f t="shared" si="6"/>
        <v>72553.360000000015</v>
      </c>
      <c r="G42" s="1243">
        <f t="shared" si="7"/>
        <v>9211.07</v>
      </c>
      <c r="H42" s="1242">
        <f t="shared" si="7"/>
        <v>63342.290000000008</v>
      </c>
      <c r="I42" s="1244"/>
      <c r="J42" s="1245"/>
      <c r="K42" s="1245"/>
      <c r="L42" s="1245"/>
      <c r="M42" s="1245"/>
      <c r="N42" s="1246"/>
      <c r="O42" s="1244"/>
      <c r="P42" s="1245"/>
      <c r="Q42" s="1245"/>
      <c r="R42" s="1245"/>
      <c r="S42" s="1245"/>
      <c r="T42" s="1246"/>
      <c r="U42" s="1247">
        <v>1325.52</v>
      </c>
      <c r="V42" s="1248">
        <v>0</v>
      </c>
      <c r="W42" s="1248">
        <v>7.89</v>
      </c>
      <c r="X42" s="1248">
        <v>244.59</v>
      </c>
      <c r="Y42" s="1248">
        <v>0</v>
      </c>
      <c r="Z42" s="1249">
        <v>1578</v>
      </c>
      <c r="AA42" s="1247">
        <v>10466.129999999999</v>
      </c>
      <c r="AB42" s="1248">
        <v>0</v>
      </c>
      <c r="AC42" s="1248">
        <v>0</v>
      </c>
      <c r="AD42" s="1248">
        <v>2616.52</v>
      </c>
      <c r="AE42" s="1248">
        <v>63342.37</v>
      </c>
      <c r="AF42" s="1249">
        <v>76425.02</v>
      </c>
      <c r="AG42" s="1244"/>
      <c r="AH42" s="1245"/>
      <c r="AI42" s="1245"/>
      <c r="AJ42" s="1245"/>
      <c r="AK42" s="1245"/>
      <c r="AL42" s="1246"/>
      <c r="AM42" s="1247">
        <v>9459.3700000000008</v>
      </c>
      <c r="AN42" s="1248">
        <v>0</v>
      </c>
      <c r="AO42" s="1248">
        <v>2364.84</v>
      </c>
      <c r="AP42" s="1248">
        <v>0</v>
      </c>
      <c r="AQ42" s="1248">
        <v>0</v>
      </c>
      <c r="AR42" s="1249">
        <v>11824.21</v>
      </c>
      <c r="AS42" s="1247">
        <v>2067.34</v>
      </c>
      <c r="AT42" s="1248">
        <v>0</v>
      </c>
      <c r="AU42" s="1248">
        <v>516.83000000000004</v>
      </c>
      <c r="AV42" s="1248">
        <v>0</v>
      </c>
      <c r="AW42" s="1248">
        <v>0</v>
      </c>
      <c r="AX42" s="1249">
        <v>2584.17</v>
      </c>
      <c r="AY42" s="1244"/>
      <c r="AZ42" s="1245"/>
      <c r="BA42" s="1245"/>
      <c r="BB42" s="1245"/>
      <c r="BC42" s="1245"/>
      <c r="BD42" s="1246"/>
      <c r="BE42" s="1244"/>
      <c r="BF42" s="1245"/>
      <c r="BG42" s="1245"/>
      <c r="BH42" s="1245"/>
      <c r="BI42" s="1245"/>
      <c r="BJ42" s="1246"/>
      <c r="BK42" s="1244"/>
      <c r="BL42" s="1245"/>
      <c r="BM42" s="1245"/>
      <c r="BN42" s="1245"/>
      <c r="BO42" s="1245"/>
      <c r="BP42" s="1246"/>
      <c r="BQ42" s="1247">
        <v>20902.78</v>
      </c>
      <c r="BR42" s="1248">
        <v>0</v>
      </c>
      <c r="BS42" s="1248">
        <v>18289.34</v>
      </c>
      <c r="BT42" s="1248">
        <v>2613.42</v>
      </c>
      <c r="BU42" s="1248">
        <v>-0.01</v>
      </c>
      <c r="BV42" s="1249">
        <v>41805.53</v>
      </c>
      <c r="BW42" s="1247">
        <v>6678.85</v>
      </c>
      <c r="BX42" s="1248">
        <v>0</v>
      </c>
      <c r="BY42" s="1248">
        <v>3227.47</v>
      </c>
      <c r="BZ42" s="1248">
        <v>1817.15</v>
      </c>
      <c r="CA42" s="1248">
        <v>-0.06</v>
      </c>
      <c r="CB42" s="1249">
        <v>11723.41</v>
      </c>
      <c r="CC42" s="1244"/>
      <c r="CD42" s="1245"/>
      <c r="CE42" s="1245"/>
      <c r="CF42" s="1245"/>
      <c r="CG42" s="1245"/>
      <c r="CH42" s="1246"/>
      <c r="CI42" s="1244"/>
      <c r="CJ42" s="1245"/>
      <c r="CK42" s="1245"/>
      <c r="CL42" s="1245"/>
      <c r="CM42" s="1245"/>
      <c r="CN42" s="1246"/>
      <c r="CO42" s="1247">
        <v>771.2</v>
      </c>
      <c r="CP42" s="1248">
        <v>0</v>
      </c>
      <c r="CQ42" s="1248">
        <v>0</v>
      </c>
      <c r="CR42" s="1248">
        <v>0</v>
      </c>
      <c r="CS42" s="1248">
        <v>0</v>
      </c>
      <c r="CT42" s="1249">
        <v>771.2</v>
      </c>
      <c r="CU42" s="1244"/>
      <c r="CV42" s="1245"/>
      <c r="CW42" s="1245"/>
      <c r="CX42" s="1245"/>
      <c r="CY42" s="1245"/>
      <c r="CZ42" s="1246"/>
      <c r="DA42" s="1247">
        <v>48157.82</v>
      </c>
      <c r="DB42" s="1248">
        <v>0</v>
      </c>
      <c r="DC42" s="1248">
        <v>0</v>
      </c>
      <c r="DD42" s="1248">
        <v>0</v>
      </c>
      <c r="DE42" s="1248">
        <v>0</v>
      </c>
      <c r="DF42" s="1249">
        <v>48157.82</v>
      </c>
      <c r="DG42" s="1247">
        <v>4640.51</v>
      </c>
      <c r="DH42" s="1248">
        <v>0</v>
      </c>
      <c r="DI42" s="1248">
        <v>3201.95</v>
      </c>
      <c r="DJ42" s="1248">
        <v>1438.56</v>
      </c>
      <c r="DK42" s="1248">
        <v>-0.02</v>
      </c>
      <c r="DL42" s="1249">
        <v>9281</v>
      </c>
      <c r="DM42" s="1247">
        <v>2605.77</v>
      </c>
      <c r="DN42" s="1248">
        <v>0</v>
      </c>
      <c r="DO42" s="1248">
        <v>15.5</v>
      </c>
      <c r="DP42" s="1248">
        <v>480.83</v>
      </c>
      <c r="DQ42" s="1248">
        <v>0.01</v>
      </c>
      <c r="DR42" s="1249">
        <v>3102.11</v>
      </c>
      <c r="DS42" s="1244"/>
      <c r="DT42" s="1245"/>
      <c r="DU42" s="1245"/>
      <c r="DV42" s="1245"/>
      <c r="DW42" s="1245"/>
      <c r="DX42" s="1246"/>
    </row>
    <row r="43" spans="1:128" ht="15" customHeight="1">
      <c r="A43" s="1092" t="s">
        <v>99</v>
      </c>
      <c r="B43" s="1239" t="s">
        <v>100</v>
      </c>
      <c r="C43" s="1467" t="s">
        <v>275</v>
      </c>
      <c r="D43" s="1240">
        <f t="shared" si="5"/>
        <v>79818.509999999995</v>
      </c>
      <c r="E43" s="1241">
        <f t="shared" si="4"/>
        <v>14547.429999999998</v>
      </c>
      <c r="F43" s="1242">
        <f t="shared" si="6"/>
        <v>9998.57</v>
      </c>
      <c r="G43" s="1243">
        <f t="shared" si="7"/>
        <v>9998.57</v>
      </c>
      <c r="H43" s="1242">
        <f t="shared" si="7"/>
        <v>0</v>
      </c>
      <c r="I43" s="1244"/>
      <c r="J43" s="1245"/>
      <c r="K43" s="1245"/>
      <c r="L43" s="1245"/>
      <c r="M43" s="1245"/>
      <c r="N43" s="1246"/>
      <c r="O43" s="1244"/>
      <c r="P43" s="1245"/>
      <c r="Q43" s="1245"/>
      <c r="R43" s="1245"/>
      <c r="S43" s="1245"/>
      <c r="T43" s="1246"/>
      <c r="U43" s="1247">
        <v>2354.02</v>
      </c>
      <c r="V43" s="1248">
        <v>0</v>
      </c>
      <c r="W43" s="1248">
        <v>14.01</v>
      </c>
      <c r="X43" s="1248">
        <v>434.36</v>
      </c>
      <c r="Y43" s="1248">
        <v>0.02</v>
      </c>
      <c r="Z43" s="1249">
        <v>2802.41</v>
      </c>
      <c r="AA43" s="1247">
        <v>14734.69</v>
      </c>
      <c r="AB43" s="1248">
        <v>0</v>
      </c>
      <c r="AC43" s="1248">
        <v>0</v>
      </c>
      <c r="AD43" s="1248">
        <v>3683.68</v>
      </c>
      <c r="AE43" s="1248">
        <v>0</v>
      </c>
      <c r="AF43" s="1249">
        <v>18418.37</v>
      </c>
      <c r="AG43" s="1244"/>
      <c r="AH43" s="1245"/>
      <c r="AI43" s="1245"/>
      <c r="AJ43" s="1245"/>
      <c r="AK43" s="1245"/>
      <c r="AL43" s="1246"/>
      <c r="AM43" s="1247">
        <v>490.72</v>
      </c>
      <c r="AN43" s="1248">
        <v>0</v>
      </c>
      <c r="AO43" s="1248">
        <v>122.68</v>
      </c>
      <c r="AP43" s="1248">
        <v>0</v>
      </c>
      <c r="AQ43" s="1248">
        <v>0</v>
      </c>
      <c r="AR43" s="1249">
        <v>613.4</v>
      </c>
      <c r="AS43" s="1247">
        <v>1558.63</v>
      </c>
      <c r="AT43" s="1248">
        <v>0</v>
      </c>
      <c r="AU43" s="1248">
        <v>389.66</v>
      </c>
      <c r="AV43" s="1248">
        <v>0</v>
      </c>
      <c r="AW43" s="1248">
        <v>0</v>
      </c>
      <c r="AX43" s="1249">
        <v>1948.29</v>
      </c>
      <c r="AY43" s="1244"/>
      <c r="AZ43" s="1245"/>
      <c r="BA43" s="1245"/>
      <c r="BB43" s="1245"/>
      <c r="BC43" s="1245"/>
      <c r="BD43" s="1246"/>
      <c r="BE43" s="1244"/>
      <c r="BF43" s="1245"/>
      <c r="BG43" s="1245"/>
      <c r="BH43" s="1245"/>
      <c r="BI43" s="1245"/>
      <c r="BJ43" s="1246"/>
      <c r="BK43" s="1247">
        <v>4116.79</v>
      </c>
      <c r="BL43" s="1248">
        <v>0</v>
      </c>
      <c r="BM43" s="1248">
        <v>521.46</v>
      </c>
      <c r="BN43" s="1248">
        <v>850.8</v>
      </c>
      <c r="BO43" s="1248">
        <v>0</v>
      </c>
      <c r="BP43" s="1249">
        <v>5489.05</v>
      </c>
      <c r="BQ43" s="1247">
        <v>10345.799999999999</v>
      </c>
      <c r="BR43" s="1248">
        <v>0</v>
      </c>
      <c r="BS43" s="1248">
        <v>8530.56</v>
      </c>
      <c r="BT43" s="1248">
        <v>1815.24</v>
      </c>
      <c r="BU43" s="1248">
        <v>0</v>
      </c>
      <c r="BV43" s="1249">
        <v>20691.599999999999</v>
      </c>
      <c r="BW43" s="1247">
        <v>7333.14</v>
      </c>
      <c r="BX43" s="1248">
        <v>0</v>
      </c>
      <c r="BY43" s="1248">
        <v>4937.99</v>
      </c>
      <c r="BZ43" s="1248">
        <v>2250.91</v>
      </c>
      <c r="CA43" s="1248">
        <v>-0.01</v>
      </c>
      <c r="CB43" s="1249">
        <v>14522.03</v>
      </c>
      <c r="CC43" s="1244"/>
      <c r="CD43" s="1245"/>
      <c r="CE43" s="1245"/>
      <c r="CF43" s="1245"/>
      <c r="CG43" s="1245"/>
      <c r="CH43" s="1246"/>
      <c r="CI43" s="1244"/>
      <c r="CJ43" s="1245"/>
      <c r="CK43" s="1245"/>
      <c r="CL43" s="1245"/>
      <c r="CM43" s="1245"/>
      <c r="CN43" s="1246"/>
      <c r="CO43" s="1244"/>
      <c r="CP43" s="1245"/>
      <c r="CQ43" s="1245"/>
      <c r="CR43" s="1245"/>
      <c r="CS43" s="1245"/>
      <c r="CT43" s="1246"/>
      <c r="CU43" s="1244"/>
      <c r="CV43" s="1245"/>
      <c r="CW43" s="1245"/>
      <c r="CX43" s="1245"/>
      <c r="CY43" s="1245"/>
      <c r="CZ43" s="1246"/>
      <c r="DA43" s="1247">
        <v>33662.800000000003</v>
      </c>
      <c r="DB43" s="1248">
        <v>0</v>
      </c>
      <c r="DC43" s="1248">
        <v>0</v>
      </c>
      <c r="DD43" s="1248">
        <v>0</v>
      </c>
      <c r="DE43" s="1248">
        <v>0</v>
      </c>
      <c r="DF43" s="1249">
        <v>33662.800000000003</v>
      </c>
      <c r="DG43" s="1244"/>
      <c r="DH43" s="1245"/>
      <c r="DI43" s="1245"/>
      <c r="DJ43" s="1245"/>
      <c r="DK43" s="1245"/>
      <c r="DL43" s="1246"/>
      <c r="DM43" s="1247">
        <v>5221.92</v>
      </c>
      <c r="DN43" s="1248">
        <v>0</v>
      </c>
      <c r="DO43" s="1248">
        <v>31.07</v>
      </c>
      <c r="DP43" s="1248">
        <v>963.58</v>
      </c>
      <c r="DQ43" s="1248">
        <v>-0.01</v>
      </c>
      <c r="DR43" s="1249">
        <v>6216.56</v>
      </c>
      <c r="DS43" s="1244"/>
      <c r="DT43" s="1245"/>
      <c r="DU43" s="1245"/>
      <c r="DV43" s="1245"/>
      <c r="DW43" s="1245"/>
      <c r="DX43" s="1246"/>
    </row>
    <row r="44" spans="1:128" ht="15" customHeight="1">
      <c r="A44" s="1092" t="s">
        <v>101</v>
      </c>
      <c r="B44" s="1239" t="s">
        <v>102</v>
      </c>
      <c r="C44" s="1467" t="s">
        <v>274</v>
      </c>
      <c r="D44" s="1240">
        <f t="shared" si="5"/>
        <v>105570.62</v>
      </c>
      <c r="E44" s="1241">
        <f t="shared" si="4"/>
        <v>30134.359999999997</v>
      </c>
      <c r="F44" s="1242">
        <f t="shared" si="6"/>
        <v>9488.4200000000019</v>
      </c>
      <c r="G44" s="1243">
        <f t="shared" si="7"/>
        <v>9488.4700000000012</v>
      </c>
      <c r="H44" s="1242">
        <f t="shared" si="7"/>
        <v>-0.05</v>
      </c>
      <c r="I44" s="1244"/>
      <c r="J44" s="1245"/>
      <c r="K44" s="1245"/>
      <c r="L44" s="1245"/>
      <c r="M44" s="1245"/>
      <c r="N44" s="1246"/>
      <c r="O44" s="1244"/>
      <c r="P44" s="1245"/>
      <c r="Q44" s="1245"/>
      <c r="R44" s="1245"/>
      <c r="S44" s="1245"/>
      <c r="T44" s="1246"/>
      <c r="U44" s="1247">
        <v>865.15</v>
      </c>
      <c r="V44" s="1248">
        <v>0</v>
      </c>
      <c r="W44" s="1248">
        <v>5.15</v>
      </c>
      <c r="X44" s="1248">
        <v>159.63999999999999</v>
      </c>
      <c r="Y44" s="1248">
        <v>0</v>
      </c>
      <c r="Z44" s="1249">
        <v>1029.94</v>
      </c>
      <c r="AA44" s="1247">
        <v>4903.1499999999996</v>
      </c>
      <c r="AB44" s="1248">
        <v>0</v>
      </c>
      <c r="AC44" s="1248">
        <v>0</v>
      </c>
      <c r="AD44" s="1248">
        <v>1225.78</v>
      </c>
      <c r="AE44" s="1248">
        <v>0</v>
      </c>
      <c r="AF44" s="1249">
        <v>6128.93</v>
      </c>
      <c r="AG44" s="1244"/>
      <c r="AH44" s="1245"/>
      <c r="AI44" s="1245"/>
      <c r="AJ44" s="1245"/>
      <c r="AK44" s="1245"/>
      <c r="AL44" s="1246"/>
      <c r="AM44" s="1244"/>
      <c r="AN44" s="1245"/>
      <c r="AO44" s="1245"/>
      <c r="AP44" s="1245"/>
      <c r="AQ44" s="1245"/>
      <c r="AR44" s="1246"/>
      <c r="AS44" s="1247">
        <v>1878.46</v>
      </c>
      <c r="AT44" s="1248">
        <v>0</v>
      </c>
      <c r="AU44" s="1248">
        <v>469.62</v>
      </c>
      <c r="AV44" s="1248">
        <v>0</v>
      </c>
      <c r="AW44" s="1248">
        <v>0</v>
      </c>
      <c r="AX44" s="1249">
        <v>2348.08</v>
      </c>
      <c r="AY44" s="1244"/>
      <c r="AZ44" s="1245"/>
      <c r="BA44" s="1245"/>
      <c r="BB44" s="1245"/>
      <c r="BC44" s="1245"/>
      <c r="BD44" s="1246"/>
      <c r="BE44" s="1244"/>
      <c r="BF44" s="1245"/>
      <c r="BG44" s="1245"/>
      <c r="BH44" s="1245"/>
      <c r="BI44" s="1245"/>
      <c r="BJ44" s="1246"/>
      <c r="BK44" s="1244"/>
      <c r="BL44" s="1245"/>
      <c r="BM44" s="1245"/>
      <c r="BN44" s="1245"/>
      <c r="BO44" s="1245"/>
      <c r="BP44" s="1246"/>
      <c r="BQ44" s="1247">
        <v>13222</v>
      </c>
      <c r="BR44" s="1248">
        <v>0</v>
      </c>
      <c r="BS44" s="1248">
        <v>11324.9</v>
      </c>
      <c r="BT44" s="1248">
        <v>1897.1</v>
      </c>
      <c r="BU44" s="1248">
        <v>0</v>
      </c>
      <c r="BV44" s="1249">
        <v>26444</v>
      </c>
      <c r="BW44" s="1247">
        <v>11762.11</v>
      </c>
      <c r="BX44" s="1248">
        <v>0</v>
      </c>
      <c r="BY44" s="1248">
        <v>8115.86</v>
      </c>
      <c r="BZ44" s="1248">
        <v>3646.27</v>
      </c>
      <c r="CA44" s="1248">
        <v>-0.04</v>
      </c>
      <c r="CB44" s="1249">
        <v>23524.2</v>
      </c>
      <c r="CC44" s="1244"/>
      <c r="CD44" s="1245"/>
      <c r="CE44" s="1245"/>
      <c r="CF44" s="1245"/>
      <c r="CG44" s="1245"/>
      <c r="CH44" s="1246"/>
      <c r="CI44" s="1244"/>
      <c r="CJ44" s="1245"/>
      <c r="CK44" s="1245"/>
      <c r="CL44" s="1245"/>
      <c r="CM44" s="1245"/>
      <c r="CN44" s="1246"/>
      <c r="CO44" s="1244"/>
      <c r="CP44" s="1245"/>
      <c r="CQ44" s="1245"/>
      <c r="CR44" s="1245"/>
      <c r="CS44" s="1245"/>
      <c r="CT44" s="1246"/>
      <c r="CU44" s="1247">
        <v>8883.5</v>
      </c>
      <c r="CV44" s="1248">
        <v>0</v>
      </c>
      <c r="CW44" s="1248">
        <v>8067.3</v>
      </c>
      <c r="CX44" s="1248">
        <v>816.2</v>
      </c>
      <c r="CY44" s="1248">
        <v>0</v>
      </c>
      <c r="CZ44" s="1249">
        <v>17767</v>
      </c>
      <c r="DA44" s="1247">
        <v>56703</v>
      </c>
      <c r="DB44" s="1248">
        <v>0</v>
      </c>
      <c r="DC44" s="1248">
        <v>0</v>
      </c>
      <c r="DD44" s="1248">
        <v>0</v>
      </c>
      <c r="DE44" s="1248">
        <v>0</v>
      </c>
      <c r="DF44" s="1249">
        <v>56703</v>
      </c>
      <c r="DG44" s="1247">
        <v>3081.31</v>
      </c>
      <c r="DH44" s="1248">
        <v>0</v>
      </c>
      <c r="DI44" s="1248">
        <v>2126.1</v>
      </c>
      <c r="DJ44" s="1248">
        <v>955.2</v>
      </c>
      <c r="DK44" s="1248">
        <v>0</v>
      </c>
      <c r="DL44" s="1249">
        <v>6162.61</v>
      </c>
      <c r="DM44" s="1247">
        <v>4271.9399999999996</v>
      </c>
      <c r="DN44" s="1248">
        <v>0</v>
      </c>
      <c r="DO44" s="1248">
        <v>25.43</v>
      </c>
      <c r="DP44" s="1248">
        <v>788.28</v>
      </c>
      <c r="DQ44" s="1248">
        <v>-0.01</v>
      </c>
      <c r="DR44" s="1249">
        <v>5085.6400000000003</v>
      </c>
      <c r="DS44" s="1244"/>
      <c r="DT44" s="1245"/>
      <c r="DU44" s="1245"/>
      <c r="DV44" s="1245"/>
      <c r="DW44" s="1245"/>
      <c r="DX44" s="1246"/>
    </row>
    <row r="45" spans="1:128" ht="15" customHeight="1">
      <c r="A45" s="1092" t="s">
        <v>103</v>
      </c>
      <c r="B45" s="1239" t="s">
        <v>104</v>
      </c>
      <c r="C45" s="1467" t="s">
        <v>271</v>
      </c>
      <c r="D45" s="1240">
        <f t="shared" si="5"/>
        <v>257346.03000000003</v>
      </c>
      <c r="E45" s="1241">
        <f t="shared" si="4"/>
        <v>36783.78</v>
      </c>
      <c r="F45" s="1242">
        <f t="shared" si="6"/>
        <v>17802.329999999998</v>
      </c>
      <c r="G45" s="1243">
        <f t="shared" si="7"/>
        <v>17802.41</v>
      </c>
      <c r="H45" s="1242">
        <f t="shared" si="7"/>
        <v>-0.08</v>
      </c>
      <c r="I45" s="1244"/>
      <c r="J45" s="1245"/>
      <c r="K45" s="1245"/>
      <c r="L45" s="1245"/>
      <c r="M45" s="1245"/>
      <c r="N45" s="1246"/>
      <c r="O45" s="1244"/>
      <c r="P45" s="1245"/>
      <c r="Q45" s="1245"/>
      <c r="R45" s="1245"/>
      <c r="S45" s="1245"/>
      <c r="T45" s="1246"/>
      <c r="U45" s="1244"/>
      <c r="V45" s="1245"/>
      <c r="W45" s="1245"/>
      <c r="X45" s="1245"/>
      <c r="Y45" s="1245"/>
      <c r="Z45" s="1246"/>
      <c r="AA45" s="1247">
        <v>41583.94</v>
      </c>
      <c r="AB45" s="1248">
        <v>0</v>
      </c>
      <c r="AC45" s="1248">
        <v>0</v>
      </c>
      <c r="AD45" s="1248">
        <v>10395.950000000001</v>
      </c>
      <c r="AE45" s="1248">
        <v>0</v>
      </c>
      <c r="AF45" s="1249">
        <v>51979.89</v>
      </c>
      <c r="AG45" s="1244"/>
      <c r="AH45" s="1245"/>
      <c r="AI45" s="1245"/>
      <c r="AJ45" s="1245"/>
      <c r="AK45" s="1245"/>
      <c r="AL45" s="1246"/>
      <c r="AM45" s="1244"/>
      <c r="AN45" s="1245"/>
      <c r="AO45" s="1245"/>
      <c r="AP45" s="1245"/>
      <c r="AQ45" s="1245"/>
      <c r="AR45" s="1246"/>
      <c r="AS45" s="1244"/>
      <c r="AT45" s="1245"/>
      <c r="AU45" s="1245"/>
      <c r="AV45" s="1245"/>
      <c r="AW45" s="1245"/>
      <c r="AX45" s="1246"/>
      <c r="AY45" s="1244"/>
      <c r="AZ45" s="1245"/>
      <c r="BA45" s="1245"/>
      <c r="BB45" s="1245"/>
      <c r="BC45" s="1245"/>
      <c r="BD45" s="1246"/>
      <c r="BE45" s="1244"/>
      <c r="BF45" s="1245"/>
      <c r="BG45" s="1245"/>
      <c r="BH45" s="1245"/>
      <c r="BI45" s="1245"/>
      <c r="BJ45" s="1246"/>
      <c r="BK45" s="1247">
        <v>22.76</v>
      </c>
      <c r="BL45" s="1248">
        <v>0</v>
      </c>
      <c r="BM45" s="1248">
        <v>2.88</v>
      </c>
      <c r="BN45" s="1248">
        <v>4.7</v>
      </c>
      <c r="BO45" s="1248">
        <v>0</v>
      </c>
      <c r="BP45" s="1249">
        <v>30.34</v>
      </c>
      <c r="BQ45" s="1247">
        <v>39099</v>
      </c>
      <c r="BR45" s="1248">
        <v>0</v>
      </c>
      <c r="BS45" s="1248">
        <v>33477.9</v>
      </c>
      <c r="BT45" s="1248">
        <v>5621.1</v>
      </c>
      <c r="BU45" s="1248">
        <v>0</v>
      </c>
      <c r="BV45" s="1249">
        <v>78198</v>
      </c>
      <c r="BW45" s="1247">
        <v>4772.8500000000004</v>
      </c>
      <c r="BX45" s="1248">
        <v>0</v>
      </c>
      <c r="BY45" s="1248">
        <v>3293.29</v>
      </c>
      <c r="BZ45" s="1248">
        <v>1479.61</v>
      </c>
      <c r="CA45" s="1248">
        <v>-7.0000000000000007E-2</v>
      </c>
      <c r="CB45" s="1249">
        <v>9545.68</v>
      </c>
      <c r="CC45" s="1244"/>
      <c r="CD45" s="1245"/>
      <c r="CE45" s="1245"/>
      <c r="CF45" s="1245"/>
      <c r="CG45" s="1245"/>
      <c r="CH45" s="1246"/>
      <c r="CI45" s="1244"/>
      <c r="CJ45" s="1245"/>
      <c r="CK45" s="1245"/>
      <c r="CL45" s="1245"/>
      <c r="CM45" s="1245"/>
      <c r="CN45" s="1246"/>
      <c r="CO45" s="1244"/>
      <c r="CP45" s="1245"/>
      <c r="CQ45" s="1245"/>
      <c r="CR45" s="1245"/>
      <c r="CS45" s="1245"/>
      <c r="CT45" s="1246"/>
      <c r="CU45" s="1244"/>
      <c r="CV45" s="1245"/>
      <c r="CW45" s="1245"/>
      <c r="CX45" s="1245"/>
      <c r="CY45" s="1245"/>
      <c r="CZ45" s="1246"/>
      <c r="DA45" s="1247">
        <v>170236</v>
      </c>
      <c r="DB45" s="1248">
        <v>0</v>
      </c>
      <c r="DC45" s="1248">
        <v>0</v>
      </c>
      <c r="DD45" s="1248">
        <v>0</v>
      </c>
      <c r="DE45" s="1248">
        <v>0</v>
      </c>
      <c r="DF45" s="1249">
        <v>170236</v>
      </c>
      <c r="DG45" s="1244"/>
      <c r="DH45" s="1245"/>
      <c r="DI45" s="1245"/>
      <c r="DJ45" s="1245"/>
      <c r="DK45" s="1245"/>
      <c r="DL45" s="1246"/>
      <c r="DM45" s="1247">
        <v>1631.48</v>
      </c>
      <c r="DN45" s="1248">
        <v>0</v>
      </c>
      <c r="DO45" s="1248">
        <v>9.7100000000000009</v>
      </c>
      <c r="DP45" s="1248">
        <v>301.05</v>
      </c>
      <c r="DQ45" s="1248">
        <v>-0.01</v>
      </c>
      <c r="DR45" s="1249">
        <v>1942.23</v>
      </c>
      <c r="DS45" s="1244"/>
      <c r="DT45" s="1245"/>
      <c r="DU45" s="1245"/>
      <c r="DV45" s="1245"/>
      <c r="DW45" s="1245"/>
      <c r="DX45" s="1246"/>
    </row>
    <row r="46" spans="1:128" ht="15" customHeight="1">
      <c r="A46" s="1092" t="s">
        <v>105</v>
      </c>
      <c r="B46" s="1239" t="s">
        <v>331</v>
      </c>
      <c r="C46" s="1467" t="s">
        <v>272</v>
      </c>
      <c r="D46" s="1240">
        <f t="shared" si="5"/>
        <v>137208.13</v>
      </c>
      <c r="E46" s="1241">
        <f t="shared" si="4"/>
        <v>27066.27</v>
      </c>
      <c r="F46" s="1242">
        <f t="shared" si="6"/>
        <v>20864.670000000002</v>
      </c>
      <c r="G46" s="1243">
        <f t="shared" si="7"/>
        <v>20864.77</v>
      </c>
      <c r="H46" s="1242">
        <f t="shared" si="7"/>
        <v>-0.1</v>
      </c>
      <c r="I46" s="1244"/>
      <c r="J46" s="1245"/>
      <c r="K46" s="1245"/>
      <c r="L46" s="1245"/>
      <c r="M46" s="1245"/>
      <c r="N46" s="1246"/>
      <c r="O46" s="1244"/>
      <c r="P46" s="1245"/>
      <c r="Q46" s="1245"/>
      <c r="R46" s="1245"/>
      <c r="S46" s="1245"/>
      <c r="T46" s="1246"/>
      <c r="U46" s="1247">
        <v>3199.27</v>
      </c>
      <c r="V46" s="1248">
        <v>0</v>
      </c>
      <c r="W46" s="1248">
        <v>19.059999999999999</v>
      </c>
      <c r="X46" s="1248">
        <v>590.35</v>
      </c>
      <c r="Y46" s="1248">
        <v>-0.02</v>
      </c>
      <c r="Z46" s="1249">
        <v>3808.66</v>
      </c>
      <c r="AA46" s="1247">
        <v>37061.57</v>
      </c>
      <c r="AB46" s="1248">
        <v>0</v>
      </c>
      <c r="AC46" s="1248">
        <v>0</v>
      </c>
      <c r="AD46" s="1248">
        <v>9265.39</v>
      </c>
      <c r="AE46" s="1248">
        <v>0</v>
      </c>
      <c r="AF46" s="1249">
        <v>46326.96</v>
      </c>
      <c r="AG46" s="1244"/>
      <c r="AH46" s="1245"/>
      <c r="AI46" s="1245"/>
      <c r="AJ46" s="1245"/>
      <c r="AK46" s="1245"/>
      <c r="AL46" s="1246"/>
      <c r="AM46" s="1247">
        <v>3562.89</v>
      </c>
      <c r="AN46" s="1248">
        <v>0</v>
      </c>
      <c r="AO46" s="1248">
        <v>890.72</v>
      </c>
      <c r="AP46" s="1248">
        <v>0</v>
      </c>
      <c r="AQ46" s="1248">
        <v>0</v>
      </c>
      <c r="AR46" s="1249">
        <v>4453.6099999999997</v>
      </c>
      <c r="AS46" s="1247">
        <v>3197.68</v>
      </c>
      <c r="AT46" s="1248">
        <v>0</v>
      </c>
      <c r="AU46" s="1248">
        <v>799.4</v>
      </c>
      <c r="AV46" s="1248">
        <v>0</v>
      </c>
      <c r="AW46" s="1248">
        <v>0</v>
      </c>
      <c r="AX46" s="1249">
        <v>3997.08</v>
      </c>
      <c r="AY46" s="1244"/>
      <c r="AZ46" s="1245"/>
      <c r="BA46" s="1245"/>
      <c r="BB46" s="1245"/>
      <c r="BC46" s="1245"/>
      <c r="BD46" s="1246"/>
      <c r="BE46" s="1247">
        <v>318.5</v>
      </c>
      <c r="BF46" s="1248">
        <v>0</v>
      </c>
      <c r="BG46" s="1248">
        <v>575.17999999999995</v>
      </c>
      <c r="BH46" s="1248">
        <v>0</v>
      </c>
      <c r="BI46" s="1248">
        <v>0</v>
      </c>
      <c r="BJ46" s="1249">
        <v>893.68</v>
      </c>
      <c r="BK46" s="1244"/>
      <c r="BL46" s="1245"/>
      <c r="BM46" s="1245"/>
      <c r="BN46" s="1245"/>
      <c r="BO46" s="1245"/>
      <c r="BP46" s="1246"/>
      <c r="BQ46" s="1247">
        <v>11623.5</v>
      </c>
      <c r="BR46" s="1248">
        <v>0</v>
      </c>
      <c r="BS46" s="1248">
        <v>9425</v>
      </c>
      <c r="BT46" s="1248">
        <v>2198.5</v>
      </c>
      <c r="BU46" s="1248">
        <v>0</v>
      </c>
      <c r="BV46" s="1249">
        <v>23247</v>
      </c>
      <c r="BW46" s="1247">
        <v>23098.16</v>
      </c>
      <c r="BX46" s="1248">
        <v>0</v>
      </c>
      <c r="BY46" s="1248">
        <v>15349.43</v>
      </c>
      <c r="BZ46" s="1248">
        <v>7052.51</v>
      </c>
      <c r="CA46" s="1248">
        <v>-0.1</v>
      </c>
      <c r="CB46" s="1249">
        <v>45500</v>
      </c>
      <c r="CC46" s="1247">
        <v>865.74</v>
      </c>
      <c r="CD46" s="1248">
        <v>0</v>
      </c>
      <c r="CE46" s="1248">
        <v>0</v>
      </c>
      <c r="CF46" s="1248">
        <v>1525.84</v>
      </c>
      <c r="CG46" s="1248">
        <v>0</v>
      </c>
      <c r="CH46" s="1249">
        <v>2391.58</v>
      </c>
      <c r="CI46" s="1244"/>
      <c r="CJ46" s="1245"/>
      <c r="CK46" s="1245"/>
      <c r="CL46" s="1245"/>
      <c r="CM46" s="1245"/>
      <c r="CN46" s="1246"/>
      <c r="CO46" s="1247">
        <v>11145</v>
      </c>
      <c r="CP46" s="1248">
        <v>0</v>
      </c>
      <c r="CQ46" s="1248">
        <v>0</v>
      </c>
      <c r="CR46" s="1248">
        <v>0</v>
      </c>
      <c r="CS46" s="1248">
        <v>0</v>
      </c>
      <c r="CT46" s="1249">
        <v>11145</v>
      </c>
      <c r="CU46" s="1244"/>
      <c r="CV46" s="1245"/>
      <c r="CW46" s="1245"/>
      <c r="CX46" s="1245"/>
      <c r="CY46" s="1245"/>
      <c r="CZ46" s="1246"/>
      <c r="DA46" s="1247">
        <v>41877.5</v>
      </c>
      <c r="DB46" s="1248">
        <v>0</v>
      </c>
      <c r="DC46" s="1248">
        <v>0</v>
      </c>
      <c r="DD46" s="1248">
        <v>0</v>
      </c>
      <c r="DE46" s="1248">
        <v>0</v>
      </c>
      <c r="DF46" s="1249">
        <v>41877.5</v>
      </c>
      <c r="DG46" s="1244"/>
      <c r="DH46" s="1245"/>
      <c r="DI46" s="1245"/>
      <c r="DJ46" s="1245"/>
      <c r="DK46" s="1245"/>
      <c r="DL46" s="1246"/>
      <c r="DM46" s="1247">
        <v>1258.32</v>
      </c>
      <c r="DN46" s="1248">
        <v>0</v>
      </c>
      <c r="DO46" s="1248">
        <v>7.48</v>
      </c>
      <c r="DP46" s="1248">
        <v>232.18</v>
      </c>
      <c r="DQ46" s="1248">
        <v>0.02</v>
      </c>
      <c r="DR46" s="1249">
        <v>1498</v>
      </c>
      <c r="DS46" s="1244"/>
      <c r="DT46" s="1245"/>
      <c r="DU46" s="1245"/>
      <c r="DV46" s="1245"/>
      <c r="DW46" s="1245"/>
      <c r="DX46" s="1246"/>
    </row>
    <row r="47" spans="1:128" ht="15" customHeight="1">
      <c r="A47" s="1092" t="s">
        <v>109</v>
      </c>
      <c r="B47" s="1239" t="s">
        <v>110</v>
      </c>
      <c r="C47" s="1467" t="s">
        <v>273</v>
      </c>
      <c r="D47" s="1240">
        <f t="shared" si="5"/>
        <v>327468.12000000005</v>
      </c>
      <c r="E47" s="1241">
        <f t="shared" si="4"/>
        <v>60199.38</v>
      </c>
      <c r="F47" s="1242">
        <f t="shared" si="6"/>
        <v>35510.480000000003</v>
      </c>
      <c r="G47" s="1243">
        <f t="shared" si="7"/>
        <v>35510.660000000003</v>
      </c>
      <c r="H47" s="1242">
        <f t="shared" si="7"/>
        <v>-0.17999999999999997</v>
      </c>
      <c r="I47" s="1244"/>
      <c r="J47" s="1245"/>
      <c r="K47" s="1245"/>
      <c r="L47" s="1245"/>
      <c r="M47" s="1245"/>
      <c r="N47" s="1246"/>
      <c r="O47" s="1244"/>
      <c r="P47" s="1245"/>
      <c r="Q47" s="1245"/>
      <c r="R47" s="1245"/>
      <c r="S47" s="1245"/>
      <c r="T47" s="1246"/>
      <c r="U47" s="1247">
        <v>5039.45</v>
      </c>
      <c r="V47" s="1248">
        <v>0</v>
      </c>
      <c r="W47" s="1248">
        <v>30</v>
      </c>
      <c r="X47" s="1248">
        <v>929.91</v>
      </c>
      <c r="Y47" s="1248">
        <v>-0.01</v>
      </c>
      <c r="Z47" s="1249">
        <v>5999.35</v>
      </c>
      <c r="AA47" s="1247">
        <v>240</v>
      </c>
      <c r="AB47" s="1248">
        <v>0</v>
      </c>
      <c r="AC47" s="1248">
        <v>0</v>
      </c>
      <c r="AD47" s="1248">
        <v>60</v>
      </c>
      <c r="AE47" s="1248">
        <v>0</v>
      </c>
      <c r="AF47" s="1249">
        <v>300</v>
      </c>
      <c r="AG47" s="1244"/>
      <c r="AH47" s="1245"/>
      <c r="AI47" s="1245"/>
      <c r="AJ47" s="1245"/>
      <c r="AK47" s="1245"/>
      <c r="AL47" s="1246"/>
      <c r="AM47" s="1247">
        <v>3259.78</v>
      </c>
      <c r="AN47" s="1248">
        <v>0</v>
      </c>
      <c r="AO47" s="1248">
        <v>814.95</v>
      </c>
      <c r="AP47" s="1248">
        <v>0</v>
      </c>
      <c r="AQ47" s="1248">
        <v>0</v>
      </c>
      <c r="AR47" s="1249">
        <v>4074.73</v>
      </c>
      <c r="AS47" s="1247">
        <v>4798.18</v>
      </c>
      <c r="AT47" s="1248">
        <v>0</v>
      </c>
      <c r="AU47" s="1248">
        <v>1199.56</v>
      </c>
      <c r="AV47" s="1248">
        <v>0</v>
      </c>
      <c r="AW47" s="1248">
        <v>0</v>
      </c>
      <c r="AX47" s="1249">
        <v>5997.74</v>
      </c>
      <c r="AY47" s="1244"/>
      <c r="AZ47" s="1245"/>
      <c r="BA47" s="1245"/>
      <c r="BB47" s="1245"/>
      <c r="BC47" s="1245"/>
      <c r="BD47" s="1246"/>
      <c r="BE47" s="1247">
        <v>570.37</v>
      </c>
      <c r="BF47" s="1248">
        <v>0</v>
      </c>
      <c r="BG47" s="1248">
        <v>1029.96</v>
      </c>
      <c r="BH47" s="1248">
        <v>0</v>
      </c>
      <c r="BI47" s="1248">
        <v>0</v>
      </c>
      <c r="BJ47" s="1249">
        <v>1600.33</v>
      </c>
      <c r="BK47" s="1247">
        <v>27613.32</v>
      </c>
      <c r="BL47" s="1248">
        <v>0</v>
      </c>
      <c r="BM47" s="1248">
        <v>3497.69</v>
      </c>
      <c r="BN47" s="1248">
        <v>5706.77</v>
      </c>
      <c r="BO47" s="1248">
        <v>-0.06</v>
      </c>
      <c r="BP47" s="1249">
        <v>36817.72</v>
      </c>
      <c r="BQ47" s="1247">
        <v>40192</v>
      </c>
      <c r="BR47" s="1248">
        <v>0</v>
      </c>
      <c r="BS47" s="1248">
        <v>32415.4</v>
      </c>
      <c r="BT47" s="1248">
        <v>7776.6</v>
      </c>
      <c r="BU47" s="1248">
        <v>0</v>
      </c>
      <c r="BV47" s="1249">
        <v>80384</v>
      </c>
      <c r="BW47" s="1247">
        <v>29386.58</v>
      </c>
      <c r="BX47" s="1248">
        <v>0</v>
      </c>
      <c r="BY47" s="1248">
        <v>19485.78</v>
      </c>
      <c r="BZ47" s="1248">
        <v>8964.74</v>
      </c>
      <c r="CA47" s="1248">
        <v>-0.09</v>
      </c>
      <c r="CB47" s="1249">
        <v>57837.01</v>
      </c>
      <c r="CC47" s="1247">
        <v>6252.08</v>
      </c>
      <c r="CD47" s="1248">
        <v>0</v>
      </c>
      <c r="CE47" s="1248">
        <v>0</v>
      </c>
      <c r="CF47" s="1248">
        <v>11018.83</v>
      </c>
      <c r="CG47" s="1248">
        <v>0</v>
      </c>
      <c r="CH47" s="1249">
        <v>17270.91</v>
      </c>
      <c r="CI47" s="1244"/>
      <c r="CJ47" s="1245"/>
      <c r="CK47" s="1245"/>
      <c r="CL47" s="1245"/>
      <c r="CM47" s="1245"/>
      <c r="CN47" s="1246"/>
      <c r="CO47" s="1247">
        <v>30904</v>
      </c>
      <c r="CP47" s="1248">
        <v>0</v>
      </c>
      <c r="CQ47" s="1248">
        <v>0</v>
      </c>
      <c r="CR47" s="1248">
        <v>0</v>
      </c>
      <c r="CS47" s="1248">
        <v>0</v>
      </c>
      <c r="CT47" s="1249">
        <v>30904</v>
      </c>
      <c r="CU47" s="1244"/>
      <c r="CV47" s="1245"/>
      <c r="CW47" s="1245"/>
      <c r="CX47" s="1245"/>
      <c r="CY47" s="1245"/>
      <c r="CZ47" s="1246"/>
      <c r="DA47" s="1247">
        <v>175193.4</v>
      </c>
      <c r="DB47" s="1248">
        <v>0</v>
      </c>
      <c r="DC47" s="1248">
        <v>0</v>
      </c>
      <c r="DD47" s="1248">
        <v>0</v>
      </c>
      <c r="DE47" s="1248">
        <v>0</v>
      </c>
      <c r="DF47" s="1249">
        <v>175193.4</v>
      </c>
      <c r="DG47" s="1247">
        <v>2488.3200000000002</v>
      </c>
      <c r="DH47" s="1248">
        <v>0</v>
      </c>
      <c r="DI47" s="1248">
        <v>1716.93</v>
      </c>
      <c r="DJ47" s="1248">
        <v>771.37</v>
      </c>
      <c r="DK47" s="1248">
        <v>-0.02</v>
      </c>
      <c r="DL47" s="1249">
        <v>4976.6000000000004</v>
      </c>
      <c r="DM47" s="1247">
        <v>1530.64</v>
      </c>
      <c r="DN47" s="1248">
        <v>0</v>
      </c>
      <c r="DO47" s="1248">
        <v>9.11</v>
      </c>
      <c r="DP47" s="1248">
        <v>282.44</v>
      </c>
      <c r="DQ47" s="1248">
        <v>0</v>
      </c>
      <c r="DR47" s="1249">
        <v>1822.19</v>
      </c>
      <c r="DS47" s="1244"/>
      <c r="DT47" s="1245"/>
      <c r="DU47" s="1245"/>
      <c r="DV47" s="1245"/>
      <c r="DW47" s="1245"/>
      <c r="DX47" s="1246"/>
    </row>
    <row r="48" spans="1:128" ht="15" customHeight="1">
      <c r="A48" s="1092" t="s">
        <v>111</v>
      </c>
      <c r="B48" s="1239" t="s">
        <v>112</v>
      </c>
      <c r="C48" s="1467" t="s">
        <v>273</v>
      </c>
      <c r="D48" s="1240">
        <f t="shared" si="5"/>
        <v>3967194.8599999994</v>
      </c>
      <c r="E48" s="1241">
        <f t="shared" si="4"/>
        <v>1811128.5799999998</v>
      </c>
      <c r="F48" s="1242">
        <f t="shared" si="6"/>
        <v>504511.13000000006</v>
      </c>
      <c r="G48" s="1243">
        <f t="shared" si="7"/>
        <v>504511.61000000004</v>
      </c>
      <c r="H48" s="1242">
        <f t="shared" si="7"/>
        <v>-0.48000000000000004</v>
      </c>
      <c r="I48" s="1244"/>
      <c r="J48" s="1245"/>
      <c r="K48" s="1245"/>
      <c r="L48" s="1245"/>
      <c r="M48" s="1245"/>
      <c r="N48" s="1246"/>
      <c r="O48" s="1244"/>
      <c r="P48" s="1245"/>
      <c r="Q48" s="1245"/>
      <c r="R48" s="1245"/>
      <c r="S48" s="1245"/>
      <c r="T48" s="1246"/>
      <c r="U48" s="1247">
        <v>34803.53</v>
      </c>
      <c r="V48" s="1248">
        <v>0</v>
      </c>
      <c r="W48" s="1248">
        <v>207.16</v>
      </c>
      <c r="X48" s="1248">
        <v>6422.08</v>
      </c>
      <c r="Y48" s="1248">
        <v>-0.01</v>
      </c>
      <c r="Z48" s="1249">
        <v>41432.76</v>
      </c>
      <c r="AA48" s="1247">
        <v>72639.75</v>
      </c>
      <c r="AB48" s="1248">
        <v>0</v>
      </c>
      <c r="AC48" s="1248">
        <v>0</v>
      </c>
      <c r="AD48" s="1248">
        <v>18159.919999999998</v>
      </c>
      <c r="AE48" s="1248">
        <v>0</v>
      </c>
      <c r="AF48" s="1249">
        <v>90799.67</v>
      </c>
      <c r="AG48" s="1244"/>
      <c r="AH48" s="1245"/>
      <c r="AI48" s="1245"/>
      <c r="AJ48" s="1245"/>
      <c r="AK48" s="1245"/>
      <c r="AL48" s="1246"/>
      <c r="AM48" s="1247">
        <v>24225.599999999999</v>
      </c>
      <c r="AN48" s="1248">
        <v>0</v>
      </c>
      <c r="AO48" s="1248">
        <v>6056.4</v>
      </c>
      <c r="AP48" s="1248">
        <v>0</v>
      </c>
      <c r="AQ48" s="1248">
        <v>0</v>
      </c>
      <c r="AR48" s="1249">
        <v>30282</v>
      </c>
      <c r="AS48" s="1247">
        <v>21353.46</v>
      </c>
      <c r="AT48" s="1248">
        <v>0</v>
      </c>
      <c r="AU48" s="1248">
        <v>5338.39</v>
      </c>
      <c r="AV48" s="1248">
        <v>0</v>
      </c>
      <c r="AW48" s="1248">
        <v>0</v>
      </c>
      <c r="AX48" s="1249">
        <v>26691.85</v>
      </c>
      <c r="AY48" s="1244"/>
      <c r="AZ48" s="1245"/>
      <c r="BA48" s="1245"/>
      <c r="BB48" s="1245"/>
      <c r="BC48" s="1245"/>
      <c r="BD48" s="1246"/>
      <c r="BE48" s="1247">
        <v>1675.78</v>
      </c>
      <c r="BF48" s="1248">
        <v>0</v>
      </c>
      <c r="BG48" s="1248">
        <v>3026.22</v>
      </c>
      <c r="BH48" s="1248">
        <v>0</v>
      </c>
      <c r="BI48" s="1248">
        <v>0</v>
      </c>
      <c r="BJ48" s="1249">
        <v>4702</v>
      </c>
      <c r="BK48" s="1247">
        <v>106363.93</v>
      </c>
      <c r="BL48" s="1248">
        <v>0</v>
      </c>
      <c r="BM48" s="1248">
        <v>13472.78</v>
      </c>
      <c r="BN48" s="1248">
        <v>21981.89</v>
      </c>
      <c r="BO48" s="1248">
        <v>-0.04</v>
      </c>
      <c r="BP48" s="1249">
        <v>141818.56</v>
      </c>
      <c r="BQ48" s="1247">
        <v>1391132.63</v>
      </c>
      <c r="BR48" s="1248">
        <v>0</v>
      </c>
      <c r="BS48" s="1248">
        <v>1210857.3999999999</v>
      </c>
      <c r="BT48" s="1248">
        <v>180275.23</v>
      </c>
      <c r="BU48" s="1248">
        <v>0.03</v>
      </c>
      <c r="BV48" s="1249">
        <v>2782265.29</v>
      </c>
      <c r="BW48" s="1247">
        <v>821060.7</v>
      </c>
      <c r="BX48" s="1248">
        <v>0</v>
      </c>
      <c r="BY48" s="1248">
        <v>562586.48</v>
      </c>
      <c r="BZ48" s="1248">
        <v>253805.14</v>
      </c>
      <c r="CA48" s="1248">
        <v>-0.41</v>
      </c>
      <c r="CB48" s="1249">
        <v>1637451.91</v>
      </c>
      <c r="CC48" s="1247">
        <v>9484.02</v>
      </c>
      <c r="CD48" s="1248">
        <v>0</v>
      </c>
      <c r="CE48" s="1248">
        <v>0</v>
      </c>
      <c r="CF48" s="1248">
        <v>16714.87</v>
      </c>
      <c r="CG48" s="1248">
        <v>0</v>
      </c>
      <c r="CH48" s="1249">
        <v>26198.89</v>
      </c>
      <c r="CI48" s="1247">
        <v>29.04</v>
      </c>
      <c r="CJ48" s="1248">
        <v>0</v>
      </c>
      <c r="CK48" s="1248">
        <v>0</v>
      </c>
      <c r="CL48" s="1248">
        <v>90.96</v>
      </c>
      <c r="CM48" s="1248">
        <v>0</v>
      </c>
      <c r="CN48" s="1249">
        <v>120</v>
      </c>
      <c r="CO48" s="1247">
        <v>77103.199999999997</v>
      </c>
      <c r="CP48" s="1248">
        <v>0</v>
      </c>
      <c r="CQ48" s="1248">
        <v>0</v>
      </c>
      <c r="CR48" s="1248">
        <v>0</v>
      </c>
      <c r="CS48" s="1248">
        <v>0</v>
      </c>
      <c r="CT48" s="1249">
        <v>77103.199999999997</v>
      </c>
      <c r="CU48" s="1247">
        <v>0.01</v>
      </c>
      <c r="CV48" s="1248">
        <v>0</v>
      </c>
      <c r="CW48" s="1248">
        <v>-900.02</v>
      </c>
      <c r="CX48" s="1248">
        <v>900.03</v>
      </c>
      <c r="CY48" s="1248">
        <v>-0.02</v>
      </c>
      <c r="CZ48" s="1249">
        <v>0</v>
      </c>
      <c r="DA48" s="1247">
        <v>1384216.92</v>
      </c>
      <c r="DB48" s="1248">
        <v>0</v>
      </c>
      <c r="DC48" s="1248">
        <v>0</v>
      </c>
      <c r="DD48" s="1248">
        <v>0</v>
      </c>
      <c r="DE48" s="1248">
        <v>0</v>
      </c>
      <c r="DF48" s="1249">
        <v>1384216.92</v>
      </c>
      <c r="DG48" s="1247">
        <v>15125.01</v>
      </c>
      <c r="DH48" s="1248">
        <v>0</v>
      </c>
      <c r="DI48" s="1248">
        <v>10436.26</v>
      </c>
      <c r="DJ48" s="1248">
        <v>4688.75</v>
      </c>
      <c r="DK48" s="1248">
        <v>-0.02</v>
      </c>
      <c r="DL48" s="1249">
        <v>30250</v>
      </c>
      <c r="DM48" s="1247">
        <v>7981.28</v>
      </c>
      <c r="DN48" s="1248">
        <v>0</v>
      </c>
      <c r="DO48" s="1248">
        <v>47.51</v>
      </c>
      <c r="DP48" s="1248">
        <v>1472.74</v>
      </c>
      <c r="DQ48" s="1248">
        <v>-0.01</v>
      </c>
      <c r="DR48" s="1249">
        <v>9501.52</v>
      </c>
      <c r="DS48" s="1244"/>
      <c r="DT48" s="1245"/>
      <c r="DU48" s="1245"/>
      <c r="DV48" s="1245"/>
      <c r="DW48" s="1245"/>
      <c r="DX48" s="1246"/>
    </row>
    <row r="49" spans="1:128" ht="15" customHeight="1">
      <c r="A49" s="1092" t="s">
        <v>113</v>
      </c>
      <c r="B49" s="1239" t="s">
        <v>310</v>
      </c>
      <c r="C49" s="1467" t="s">
        <v>272</v>
      </c>
      <c r="D49" s="1240">
        <f t="shared" si="5"/>
        <v>462224.85</v>
      </c>
      <c r="E49" s="1241">
        <f t="shared" si="4"/>
        <v>139739.79999999999</v>
      </c>
      <c r="F49" s="1242">
        <f t="shared" si="6"/>
        <v>70649.319999999992</v>
      </c>
      <c r="G49" s="1243">
        <f t="shared" si="7"/>
        <v>70649.789999999994</v>
      </c>
      <c r="H49" s="1242">
        <f t="shared" si="7"/>
        <v>-0.47000000000000003</v>
      </c>
      <c r="I49" s="1244"/>
      <c r="J49" s="1245"/>
      <c r="K49" s="1245"/>
      <c r="L49" s="1245"/>
      <c r="M49" s="1245"/>
      <c r="N49" s="1246"/>
      <c r="O49" s="1244"/>
      <c r="P49" s="1245"/>
      <c r="Q49" s="1245"/>
      <c r="R49" s="1245"/>
      <c r="S49" s="1245"/>
      <c r="T49" s="1246"/>
      <c r="U49" s="1247">
        <v>12003.98</v>
      </c>
      <c r="V49" s="1248">
        <v>0</v>
      </c>
      <c r="W49" s="1248">
        <v>71.45</v>
      </c>
      <c r="X49" s="1248">
        <v>2215.0299999999997</v>
      </c>
      <c r="Y49" s="1248">
        <v>-0.02</v>
      </c>
      <c r="Z49" s="1249">
        <v>14290.439999999999</v>
      </c>
      <c r="AA49" s="1247">
        <v>64433.440000000002</v>
      </c>
      <c r="AB49" s="1248">
        <v>0</v>
      </c>
      <c r="AC49" s="1248">
        <v>0</v>
      </c>
      <c r="AD49" s="1248">
        <v>16108.51</v>
      </c>
      <c r="AE49" s="1248">
        <v>0</v>
      </c>
      <c r="AF49" s="1249">
        <v>80541.95</v>
      </c>
      <c r="AG49" s="1247">
        <v>6411.83</v>
      </c>
      <c r="AH49" s="1248">
        <v>0</v>
      </c>
      <c r="AI49" s="1248">
        <v>2606.7400000000002</v>
      </c>
      <c r="AJ49" s="1248">
        <v>1654.3400000000001</v>
      </c>
      <c r="AK49" s="1248">
        <v>-0.1</v>
      </c>
      <c r="AL49" s="1249">
        <v>10672.81</v>
      </c>
      <c r="AM49" s="1247">
        <v>2369.17</v>
      </c>
      <c r="AN49" s="1248">
        <v>0</v>
      </c>
      <c r="AO49" s="1248">
        <v>592.29</v>
      </c>
      <c r="AP49" s="1248">
        <v>0</v>
      </c>
      <c r="AQ49" s="1248">
        <v>0</v>
      </c>
      <c r="AR49" s="1249">
        <v>2961.46</v>
      </c>
      <c r="AS49" s="1247">
        <v>5158.0600000000004</v>
      </c>
      <c r="AT49" s="1248">
        <v>0</v>
      </c>
      <c r="AU49" s="1248">
        <v>1289.5300000000002</v>
      </c>
      <c r="AV49" s="1248">
        <v>0</v>
      </c>
      <c r="AW49" s="1248">
        <v>0</v>
      </c>
      <c r="AX49" s="1249">
        <v>6447.59</v>
      </c>
      <c r="AY49" s="1244"/>
      <c r="AZ49" s="1245"/>
      <c r="BA49" s="1245"/>
      <c r="BB49" s="1245"/>
      <c r="BC49" s="1245"/>
      <c r="BD49" s="1246"/>
      <c r="BE49" s="1247">
        <v>512.32000000000005</v>
      </c>
      <c r="BF49" s="1248">
        <v>0</v>
      </c>
      <c r="BG49" s="1248">
        <v>925.17</v>
      </c>
      <c r="BH49" s="1248">
        <v>0</v>
      </c>
      <c r="BI49" s="1248">
        <v>0</v>
      </c>
      <c r="BJ49" s="1249">
        <v>1437.49</v>
      </c>
      <c r="BK49" s="1247">
        <v>33610.080000000002</v>
      </c>
      <c r="BL49" s="1248">
        <v>0</v>
      </c>
      <c r="BM49" s="1248">
        <v>4257.3</v>
      </c>
      <c r="BN49" s="1248">
        <v>6946.1100000000006</v>
      </c>
      <c r="BO49" s="1248">
        <v>-9.0000000000000011E-2</v>
      </c>
      <c r="BP49" s="1249">
        <v>44813.4</v>
      </c>
      <c r="BQ49" s="1247">
        <v>86045.299999999988</v>
      </c>
      <c r="BR49" s="1248">
        <v>0</v>
      </c>
      <c r="BS49" s="1248">
        <v>71275.34</v>
      </c>
      <c r="BT49" s="1248">
        <v>14769.96</v>
      </c>
      <c r="BU49" s="1248">
        <v>0</v>
      </c>
      <c r="BV49" s="1249">
        <v>172090.59999999998</v>
      </c>
      <c r="BW49" s="1247">
        <v>79147</v>
      </c>
      <c r="BX49" s="1248">
        <v>0</v>
      </c>
      <c r="BY49" s="1248">
        <v>52676.14</v>
      </c>
      <c r="BZ49" s="1248">
        <v>24180.639999999999</v>
      </c>
      <c r="CA49" s="1248">
        <v>-0.32</v>
      </c>
      <c r="CB49" s="1249">
        <v>156003.46000000002</v>
      </c>
      <c r="CC49" s="1247">
        <v>861.96</v>
      </c>
      <c r="CD49" s="1248">
        <v>0</v>
      </c>
      <c r="CE49" s="1248">
        <v>0</v>
      </c>
      <c r="CF49" s="1248">
        <v>1519.17</v>
      </c>
      <c r="CG49" s="1248">
        <v>0</v>
      </c>
      <c r="CH49" s="1249">
        <v>2381.13</v>
      </c>
      <c r="CI49" s="1244"/>
      <c r="CJ49" s="1245"/>
      <c r="CK49" s="1245"/>
      <c r="CL49" s="1245"/>
      <c r="CM49" s="1245"/>
      <c r="CN49" s="1246"/>
      <c r="CO49" s="1244"/>
      <c r="CP49" s="1245"/>
      <c r="CQ49" s="1245"/>
      <c r="CR49" s="1245"/>
      <c r="CS49" s="1245"/>
      <c r="CT49" s="1246"/>
      <c r="CU49" s="1244"/>
      <c r="CV49" s="1245"/>
      <c r="CW49" s="1245"/>
      <c r="CX49" s="1245"/>
      <c r="CY49" s="1245"/>
      <c r="CZ49" s="1246"/>
      <c r="DA49" s="1247">
        <v>159966.79999999999</v>
      </c>
      <c r="DB49" s="1248">
        <v>0</v>
      </c>
      <c r="DC49" s="1248">
        <v>0</v>
      </c>
      <c r="DD49" s="1248">
        <v>0</v>
      </c>
      <c r="DE49" s="1248">
        <v>0</v>
      </c>
      <c r="DF49" s="1249">
        <v>159966.79999999999</v>
      </c>
      <c r="DG49" s="1247">
        <v>8736.5</v>
      </c>
      <c r="DH49" s="1248">
        <v>0</v>
      </c>
      <c r="DI49" s="1248">
        <v>6028.19</v>
      </c>
      <c r="DJ49" s="1248">
        <v>2708.31</v>
      </c>
      <c r="DK49" s="1248">
        <v>0</v>
      </c>
      <c r="DL49" s="1249">
        <v>17473</v>
      </c>
      <c r="DM49" s="1247">
        <v>2968.41</v>
      </c>
      <c r="DN49" s="1248">
        <v>0</v>
      </c>
      <c r="DO49" s="1248">
        <v>17.649999999999999</v>
      </c>
      <c r="DP49" s="1248">
        <v>547.72</v>
      </c>
      <c r="DQ49" s="1248">
        <v>6.0000000000000005E-2</v>
      </c>
      <c r="DR49" s="1249">
        <v>3533.84</v>
      </c>
      <c r="DS49" s="1244"/>
      <c r="DT49" s="1245"/>
      <c r="DU49" s="1245"/>
      <c r="DV49" s="1245"/>
      <c r="DW49" s="1245"/>
      <c r="DX49" s="1246"/>
    </row>
    <row r="50" spans="1:128" ht="15" customHeight="1">
      <c r="A50" s="1092" t="s">
        <v>115</v>
      </c>
      <c r="B50" s="1239" t="s">
        <v>116</v>
      </c>
      <c r="C50" s="1467" t="s">
        <v>272</v>
      </c>
      <c r="D50" s="1240">
        <f t="shared" si="5"/>
        <v>25223.920000000002</v>
      </c>
      <c r="E50" s="1241">
        <f t="shared" si="4"/>
        <v>2567.23</v>
      </c>
      <c r="F50" s="1242">
        <f t="shared" si="6"/>
        <v>4696.4799999999996</v>
      </c>
      <c r="G50" s="1243">
        <f t="shared" si="7"/>
        <v>4696.54</v>
      </c>
      <c r="H50" s="1242">
        <f t="shared" si="7"/>
        <v>-0.06</v>
      </c>
      <c r="I50" s="1244"/>
      <c r="J50" s="1245"/>
      <c r="K50" s="1245"/>
      <c r="L50" s="1245"/>
      <c r="M50" s="1245"/>
      <c r="N50" s="1246"/>
      <c r="O50" s="1244"/>
      <c r="P50" s="1245"/>
      <c r="Q50" s="1245"/>
      <c r="R50" s="1245"/>
      <c r="S50" s="1245"/>
      <c r="T50" s="1246"/>
      <c r="U50" s="1247">
        <v>37.799999999999997</v>
      </c>
      <c r="V50" s="1248">
        <v>0</v>
      </c>
      <c r="W50" s="1248">
        <v>0.23</v>
      </c>
      <c r="X50" s="1248">
        <v>6.98</v>
      </c>
      <c r="Y50" s="1248">
        <v>-0.01</v>
      </c>
      <c r="Z50" s="1249">
        <v>45</v>
      </c>
      <c r="AA50" s="1247">
        <v>8745.18</v>
      </c>
      <c r="AB50" s="1248">
        <v>0</v>
      </c>
      <c r="AC50" s="1248">
        <v>0</v>
      </c>
      <c r="AD50" s="1248">
        <v>2186.29</v>
      </c>
      <c r="AE50" s="1248">
        <v>0</v>
      </c>
      <c r="AF50" s="1249">
        <v>10931.47</v>
      </c>
      <c r="AG50" s="1244"/>
      <c r="AH50" s="1245"/>
      <c r="AI50" s="1245"/>
      <c r="AJ50" s="1245"/>
      <c r="AK50" s="1245"/>
      <c r="AL50" s="1246"/>
      <c r="AM50" s="1244"/>
      <c r="AN50" s="1245"/>
      <c r="AO50" s="1245"/>
      <c r="AP50" s="1245"/>
      <c r="AQ50" s="1245"/>
      <c r="AR50" s="1246"/>
      <c r="AS50" s="1247">
        <v>3552.99</v>
      </c>
      <c r="AT50" s="1248">
        <v>0</v>
      </c>
      <c r="AU50" s="1248">
        <v>888.25</v>
      </c>
      <c r="AV50" s="1248">
        <v>0</v>
      </c>
      <c r="AW50" s="1248">
        <v>0</v>
      </c>
      <c r="AX50" s="1249">
        <v>4441.24</v>
      </c>
      <c r="AY50" s="1244"/>
      <c r="AZ50" s="1245"/>
      <c r="BA50" s="1245"/>
      <c r="BB50" s="1245"/>
      <c r="BC50" s="1245"/>
      <c r="BD50" s="1246"/>
      <c r="BE50" s="1247">
        <v>327.89</v>
      </c>
      <c r="BF50" s="1248">
        <v>0</v>
      </c>
      <c r="BG50" s="1248">
        <v>592.11</v>
      </c>
      <c r="BH50" s="1248">
        <v>0</v>
      </c>
      <c r="BI50" s="1248">
        <v>0</v>
      </c>
      <c r="BJ50" s="1249">
        <v>920</v>
      </c>
      <c r="BK50" s="1247">
        <v>8382.18</v>
      </c>
      <c r="BL50" s="1248">
        <v>0</v>
      </c>
      <c r="BM50" s="1248">
        <v>1061.75</v>
      </c>
      <c r="BN50" s="1248">
        <v>1732.34</v>
      </c>
      <c r="BO50" s="1248">
        <v>-0.03</v>
      </c>
      <c r="BP50" s="1249">
        <v>11176.24</v>
      </c>
      <c r="BQ50" s="1244"/>
      <c r="BR50" s="1245"/>
      <c r="BS50" s="1245"/>
      <c r="BT50" s="1245"/>
      <c r="BU50" s="1245"/>
      <c r="BV50" s="1246"/>
      <c r="BW50" s="1244"/>
      <c r="BX50" s="1245"/>
      <c r="BY50" s="1245"/>
      <c r="BZ50" s="1245"/>
      <c r="CA50" s="1245"/>
      <c r="CB50" s="1246"/>
      <c r="CC50" s="1244"/>
      <c r="CD50" s="1245"/>
      <c r="CE50" s="1245"/>
      <c r="CF50" s="1245"/>
      <c r="CG50" s="1245"/>
      <c r="CH50" s="1246"/>
      <c r="CI50" s="1244"/>
      <c r="CJ50" s="1245"/>
      <c r="CK50" s="1245"/>
      <c r="CL50" s="1245"/>
      <c r="CM50" s="1245"/>
      <c r="CN50" s="1246"/>
      <c r="CO50" s="1244"/>
      <c r="CP50" s="1245"/>
      <c r="CQ50" s="1245"/>
      <c r="CR50" s="1245"/>
      <c r="CS50" s="1245"/>
      <c r="CT50" s="1246"/>
      <c r="CU50" s="1244"/>
      <c r="CV50" s="1245"/>
      <c r="CW50" s="1245"/>
      <c r="CX50" s="1245"/>
      <c r="CY50" s="1245"/>
      <c r="CZ50" s="1246"/>
      <c r="DA50" s="1244"/>
      <c r="DB50" s="1245"/>
      <c r="DC50" s="1245"/>
      <c r="DD50" s="1245"/>
      <c r="DE50" s="1245"/>
      <c r="DF50" s="1246"/>
      <c r="DG50" s="1244"/>
      <c r="DH50" s="1245"/>
      <c r="DI50" s="1245"/>
      <c r="DJ50" s="1245"/>
      <c r="DK50" s="1245"/>
      <c r="DL50" s="1246"/>
      <c r="DM50" s="1247">
        <v>4177.88</v>
      </c>
      <c r="DN50" s="1248">
        <v>0</v>
      </c>
      <c r="DO50" s="1248">
        <v>24.89</v>
      </c>
      <c r="DP50" s="1248">
        <v>770.93</v>
      </c>
      <c r="DQ50" s="1248">
        <v>-0.02</v>
      </c>
      <c r="DR50" s="1249">
        <v>4973.68</v>
      </c>
      <c r="DS50" s="1244"/>
      <c r="DT50" s="1245"/>
      <c r="DU50" s="1245"/>
      <c r="DV50" s="1245"/>
      <c r="DW50" s="1245"/>
      <c r="DX50" s="1246"/>
    </row>
    <row r="51" spans="1:128" ht="15" customHeight="1">
      <c r="A51" s="1092" t="s">
        <v>119</v>
      </c>
      <c r="B51" s="1239" t="s">
        <v>120</v>
      </c>
      <c r="C51" s="1467" t="s">
        <v>271</v>
      </c>
      <c r="D51" s="1240">
        <f t="shared" si="5"/>
        <v>206385.52</v>
      </c>
      <c r="E51" s="1241">
        <f t="shared" si="4"/>
        <v>46749.88</v>
      </c>
      <c r="F51" s="1242">
        <f t="shared" si="6"/>
        <v>63721.62000000001</v>
      </c>
      <c r="G51" s="1243">
        <f t="shared" si="7"/>
        <v>23735.940000000002</v>
      </c>
      <c r="H51" s="1242">
        <f t="shared" si="7"/>
        <v>39985.680000000008</v>
      </c>
      <c r="I51" s="1244"/>
      <c r="J51" s="1245"/>
      <c r="K51" s="1245"/>
      <c r="L51" s="1245"/>
      <c r="M51" s="1245"/>
      <c r="N51" s="1246"/>
      <c r="O51" s="1247">
        <v>0</v>
      </c>
      <c r="P51" s="1248">
        <v>0</v>
      </c>
      <c r="Q51" s="1248">
        <v>0</v>
      </c>
      <c r="R51" s="1248">
        <v>0</v>
      </c>
      <c r="S51" s="1248">
        <v>36553.22</v>
      </c>
      <c r="T51" s="1249">
        <v>36553.22</v>
      </c>
      <c r="U51" s="1247">
        <v>1337.96</v>
      </c>
      <c r="V51" s="1248">
        <v>0</v>
      </c>
      <c r="W51" s="1248">
        <v>7.97</v>
      </c>
      <c r="X51" s="1248">
        <v>246.89</v>
      </c>
      <c r="Y51" s="1248">
        <v>-0.02</v>
      </c>
      <c r="Z51" s="1249">
        <v>1592.8</v>
      </c>
      <c r="AA51" s="1247">
        <v>29031.34</v>
      </c>
      <c r="AB51" s="1248">
        <v>0</v>
      </c>
      <c r="AC51" s="1248">
        <v>0</v>
      </c>
      <c r="AD51" s="1248">
        <v>7257.82</v>
      </c>
      <c r="AE51" s="1248">
        <v>3072.51</v>
      </c>
      <c r="AF51" s="1249">
        <v>39361.67</v>
      </c>
      <c r="AG51" s="1244"/>
      <c r="AH51" s="1245"/>
      <c r="AI51" s="1245"/>
      <c r="AJ51" s="1245"/>
      <c r="AK51" s="1245"/>
      <c r="AL51" s="1246"/>
      <c r="AM51" s="1244"/>
      <c r="AN51" s="1245"/>
      <c r="AO51" s="1245"/>
      <c r="AP51" s="1245"/>
      <c r="AQ51" s="1245"/>
      <c r="AR51" s="1246"/>
      <c r="AS51" s="1247">
        <v>2509.73</v>
      </c>
      <c r="AT51" s="1248">
        <v>0</v>
      </c>
      <c r="AU51" s="1248">
        <v>627.42999999999995</v>
      </c>
      <c r="AV51" s="1248">
        <v>0</v>
      </c>
      <c r="AW51" s="1248">
        <v>0</v>
      </c>
      <c r="AX51" s="1249">
        <v>3137.16</v>
      </c>
      <c r="AY51" s="1244"/>
      <c r="AZ51" s="1245"/>
      <c r="BA51" s="1245"/>
      <c r="BB51" s="1245"/>
      <c r="BC51" s="1245"/>
      <c r="BD51" s="1246"/>
      <c r="BE51" s="1247">
        <v>220.26</v>
      </c>
      <c r="BF51" s="1248">
        <v>0</v>
      </c>
      <c r="BG51" s="1248">
        <v>397.74</v>
      </c>
      <c r="BH51" s="1248">
        <v>0</v>
      </c>
      <c r="BI51" s="1248">
        <v>0</v>
      </c>
      <c r="BJ51" s="1249">
        <v>618</v>
      </c>
      <c r="BK51" s="1247">
        <v>15012.75</v>
      </c>
      <c r="BL51" s="1248">
        <v>0</v>
      </c>
      <c r="BM51" s="1248">
        <v>1901.62</v>
      </c>
      <c r="BN51" s="1248">
        <v>3102.64</v>
      </c>
      <c r="BO51" s="1248">
        <v>-0.01</v>
      </c>
      <c r="BP51" s="1249">
        <v>20017</v>
      </c>
      <c r="BQ51" s="1247">
        <v>29628</v>
      </c>
      <c r="BR51" s="1248">
        <v>0</v>
      </c>
      <c r="BS51" s="1248">
        <v>25558.400000000001</v>
      </c>
      <c r="BT51" s="1248">
        <v>4069.6</v>
      </c>
      <c r="BU51" s="1248">
        <v>0</v>
      </c>
      <c r="BV51" s="1249">
        <v>59256</v>
      </c>
      <c r="BW51" s="1247">
        <v>14403.51</v>
      </c>
      <c r="BX51" s="1248">
        <v>0</v>
      </c>
      <c r="BY51" s="1248">
        <v>9389.73</v>
      </c>
      <c r="BZ51" s="1248">
        <v>4364.45</v>
      </c>
      <c r="CA51" s="1248">
        <v>-0.14000000000000001</v>
      </c>
      <c r="CB51" s="1249">
        <v>28157.55</v>
      </c>
      <c r="CC51" s="1247">
        <v>1550.06</v>
      </c>
      <c r="CD51" s="1248">
        <v>0</v>
      </c>
      <c r="CE51" s="1248">
        <v>0</v>
      </c>
      <c r="CF51" s="1248">
        <v>2731.87</v>
      </c>
      <c r="CG51" s="1248">
        <v>198.14</v>
      </c>
      <c r="CH51" s="1249">
        <v>4480.07</v>
      </c>
      <c r="CI51" s="1244"/>
      <c r="CJ51" s="1245"/>
      <c r="CK51" s="1245"/>
      <c r="CL51" s="1245"/>
      <c r="CM51" s="1245"/>
      <c r="CN51" s="1246"/>
      <c r="CO51" s="1247">
        <v>3735</v>
      </c>
      <c r="CP51" s="1248">
        <v>0</v>
      </c>
      <c r="CQ51" s="1248">
        <v>0</v>
      </c>
      <c r="CR51" s="1248">
        <v>0</v>
      </c>
      <c r="CS51" s="1248">
        <v>0</v>
      </c>
      <c r="CT51" s="1249">
        <v>3735</v>
      </c>
      <c r="CU51" s="1247">
        <v>7439.5</v>
      </c>
      <c r="CV51" s="1248">
        <v>0</v>
      </c>
      <c r="CW51" s="1248">
        <v>6818.6</v>
      </c>
      <c r="CX51" s="1248">
        <v>620.9</v>
      </c>
      <c r="CY51" s="1248">
        <v>0</v>
      </c>
      <c r="CZ51" s="1249">
        <v>14879</v>
      </c>
      <c r="DA51" s="1247">
        <v>96251</v>
      </c>
      <c r="DB51" s="1248">
        <v>0</v>
      </c>
      <c r="DC51" s="1248">
        <v>0</v>
      </c>
      <c r="DD51" s="1248">
        <v>0</v>
      </c>
      <c r="DE51" s="1248">
        <v>0</v>
      </c>
      <c r="DF51" s="1249">
        <v>96251</v>
      </c>
      <c r="DG51" s="1247">
        <v>2948.68</v>
      </c>
      <c r="DH51" s="1248">
        <v>0</v>
      </c>
      <c r="DI51" s="1248">
        <v>2034.59</v>
      </c>
      <c r="DJ51" s="1248">
        <v>914.09</v>
      </c>
      <c r="DK51" s="1248">
        <v>162</v>
      </c>
      <c r="DL51" s="1249">
        <v>6059.36</v>
      </c>
      <c r="DM51" s="1247">
        <v>2317.73</v>
      </c>
      <c r="DN51" s="1248">
        <v>0</v>
      </c>
      <c r="DO51" s="1248">
        <v>13.8</v>
      </c>
      <c r="DP51" s="1248">
        <v>427.68</v>
      </c>
      <c r="DQ51" s="1248">
        <v>-0.02</v>
      </c>
      <c r="DR51" s="1249">
        <v>2759.19</v>
      </c>
      <c r="DS51" s="1244"/>
      <c r="DT51" s="1245"/>
      <c r="DU51" s="1245"/>
      <c r="DV51" s="1245"/>
      <c r="DW51" s="1245"/>
      <c r="DX51" s="1246"/>
    </row>
    <row r="52" spans="1:128" ht="15" customHeight="1">
      <c r="A52" s="1092" t="s">
        <v>121</v>
      </c>
      <c r="B52" s="1239" t="s">
        <v>122</v>
      </c>
      <c r="C52" s="1467" t="s">
        <v>271</v>
      </c>
      <c r="D52" s="1240">
        <f t="shared" si="5"/>
        <v>317273.49</v>
      </c>
      <c r="E52" s="1241">
        <f t="shared" si="4"/>
        <v>62401.43</v>
      </c>
      <c r="F52" s="1242">
        <f t="shared" si="6"/>
        <v>36489.97</v>
      </c>
      <c r="G52" s="1243">
        <f t="shared" si="7"/>
        <v>36490.080000000002</v>
      </c>
      <c r="H52" s="1242">
        <f t="shared" si="7"/>
        <v>-0.11</v>
      </c>
      <c r="I52" s="1244"/>
      <c r="J52" s="1245"/>
      <c r="K52" s="1245"/>
      <c r="L52" s="1245"/>
      <c r="M52" s="1245"/>
      <c r="N52" s="1246"/>
      <c r="O52" s="1244"/>
      <c r="P52" s="1245"/>
      <c r="Q52" s="1245"/>
      <c r="R52" s="1245"/>
      <c r="S52" s="1245"/>
      <c r="T52" s="1246"/>
      <c r="U52" s="1247">
        <v>5979.11</v>
      </c>
      <c r="V52" s="1248">
        <v>0</v>
      </c>
      <c r="W52" s="1248">
        <v>35.590000000000003</v>
      </c>
      <c r="X52" s="1248">
        <v>1103.3</v>
      </c>
      <c r="Y52" s="1248">
        <v>0</v>
      </c>
      <c r="Z52" s="1249">
        <v>7118</v>
      </c>
      <c r="AA52" s="1247">
        <v>16580.150000000001</v>
      </c>
      <c r="AB52" s="1248">
        <v>0</v>
      </c>
      <c r="AC52" s="1248">
        <v>0</v>
      </c>
      <c r="AD52" s="1248">
        <v>4145.03</v>
      </c>
      <c r="AE52" s="1248">
        <v>0</v>
      </c>
      <c r="AF52" s="1249">
        <v>20725.18</v>
      </c>
      <c r="AG52" s="1244"/>
      <c r="AH52" s="1245"/>
      <c r="AI52" s="1245"/>
      <c r="AJ52" s="1245"/>
      <c r="AK52" s="1245"/>
      <c r="AL52" s="1246"/>
      <c r="AM52" s="1247">
        <v>11767.9</v>
      </c>
      <c r="AN52" s="1248">
        <v>0</v>
      </c>
      <c r="AO52" s="1248">
        <v>2941.96</v>
      </c>
      <c r="AP52" s="1248">
        <v>0</v>
      </c>
      <c r="AQ52" s="1248">
        <v>0</v>
      </c>
      <c r="AR52" s="1249">
        <v>14709.86</v>
      </c>
      <c r="AS52" s="1247">
        <v>2658.4</v>
      </c>
      <c r="AT52" s="1248">
        <v>0</v>
      </c>
      <c r="AU52" s="1248">
        <v>664.6</v>
      </c>
      <c r="AV52" s="1248">
        <v>0</v>
      </c>
      <c r="AW52" s="1248">
        <v>0</v>
      </c>
      <c r="AX52" s="1249">
        <v>3323</v>
      </c>
      <c r="AY52" s="1244"/>
      <c r="AZ52" s="1245"/>
      <c r="BA52" s="1245"/>
      <c r="BB52" s="1245"/>
      <c r="BC52" s="1245"/>
      <c r="BD52" s="1246"/>
      <c r="BE52" s="1247">
        <v>1273.06</v>
      </c>
      <c r="BF52" s="1248">
        <v>0</v>
      </c>
      <c r="BG52" s="1248">
        <v>2298.94</v>
      </c>
      <c r="BH52" s="1248">
        <v>0</v>
      </c>
      <c r="BI52" s="1248">
        <v>0</v>
      </c>
      <c r="BJ52" s="1249">
        <v>3572</v>
      </c>
      <c r="BK52" s="1244"/>
      <c r="BL52" s="1245"/>
      <c r="BM52" s="1245"/>
      <c r="BN52" s="1245"/>
      <c r="BO52" s="1245"/>
      <c r="BP52" s="1246"/>
      <c r="BQ52" s="1247">
        <v>43884</v>
      </c>
      <c r="BR52" s="1248">
        <v>0</v>
      </c>
      <c r="BS52" s="1248">
        <v>35161.9</v>
      </c>
      <c r="BT52" s="1248">
        <v>8722.1</v>
      </c>
      <c r="BU52" s="1248">
        <v>0</v>
      </c>
      <c r="BV52" s="1249">
        <v>87768</v>
      </c>
      <c r="BW52" s="1247">
        <v>31690.400000000001</v>
      </c>
      <c r="BX52" s="1248">
        <v>0</v>
      </c>
      <c r="BY52" s="1248">
        <v>18734.82</v>
      </c>
      <c r="BZ52" s="1248">
        <v>9249.6299999999992</v>
      </c>
      <c r="CA52" s="1248">
        <v>-0.1</v>
      </c>
      <c r="CB52" s="1249">
        <v>59674.75</v>
      </c>
      <c r="CC52" s="1247">
        <v>6086.21</v>
      </c>
      <c r="CD52" s="1248">
        <v>0</v>
      </c>
      <c r="CE52" s="1248">
        <v>0</v>
      </c>
      <c r="CF52" s="1248">
        <v>10726.52</v>
      </c>
      <c r="CG52" s="1248">
        <v>0</v>
      </c>
      <c r="CH52" s="1249">
        <v>16812.73</v>
      </c>
      <c r="CI52" s="1247">
        <v>65.34</v>
      </c>
      <c r="CJ52" s="1248">
        <v>0</v>
      </c>
      <c r="CK52" s="1248">
        <v>0</v>
      </c>
      <c r="CL52" s="1248">
        <v>204.66</v>
      </c>
      <c r="CM52" s="1248">
        <v>0</v>
      </c>
      <c r="CN52" s="1249">
        <v>270</v>
      </c>
      <c r="CO52" s="1247">
        <v>74125.649999999994</v>
      </c>
      <c r="CP52" s="1248">
        <v>0</v>
      </c>
      <c r="CQ52" s="1248">
        <v>0</v>
      </c>
      <c r="CR52" s="1248">
        <v>0</v>
      </c>
      <c r="CS52" s="1248">
        <v>0</v>
      </c>
      <c r="CT52" s="1249">
        <v>74125.649999999994</v>
      </c>
      <c r="CU52" s="1247">
        <v>-368.2</v>
      </c>
      <c r="CV52" s="1248">
        <v>0</v>
      </c>
      <c r="CW52" s="1248">
        <v>-403.4</v>
      </c>
      <c r="CX52" s="1248">
        <v>35.200000000000003</v>
      </c>
      <c r="CY52" s="1248">
        <v>0</v>
      </c>
      <c r="CZ52" s="1249">
        <v>-736.4</v>
      </c>
      <c r="DA52" s="1247">
        <v>113940</v>
      </c>
      <c r="DB52" s="1248">
        <v>0</v>
      </c>
      <c r="DC52" s="1248">
        <v>0</v>
      </c>
      <c r="DD52" s="1248">
        <v>0</v>
      </c>
      <c r="DE52" s="1248">
        <v>0</v>
      </c>
      <c r="DF52" s="1249">
        <v>113940</v>
      </c>
      <c r="DG52" s="1247">
        <v>4254.01</v>
      </c>
      <c r="DH52" s="1248">
        <v>0</v>
      </c>
      <c r="DI52" s="1248">
        <v>2935.25</v>
      </c>
      <c r="DJ52" s="1248">
        <v>1318.74</v>
      </c>
      <c r="DK52" s="1248">
        <v>0</v>
      </c>
      <c r="DL52" s="1249">
        <v>8508</v>
      </c>
      <c r="DM52" s="1247">
        <v>5337.46</v>
      </c>
      <c r="DN52" s="1248">
        <v>0</v>
      </c>
      <c r="DO52" s="1248">
        <v>31.77</v>
      </c>
      <c r="DP52" s="1248">
        <v>984.9</v>
      </c>
      <c r="DQ52" s="1248">
        <v>-0.01</v>
      </c>
      <c r="DR52" s="1249">
        <v>6354.12</v>
      </c>
      <c r="DS52" s="1244"/>
      <c r="DT52" s="1245"/>
      <c r="DU52" s="1245"/>
      <c r="DV52" s="1245"/>
      <c r="DW52" s="1245"/>
      <c r="DX52" s="1246"/>
    </row>
    <row r="53" spans="1:128" ht="15" customHeight="1">
      <c r="A53" s="1092" t="s">
        <v>123</v>
      </c>
      <c r="B53" s="1239" t="s">
        <v>278</v>
      </c>
      <c r="C53" s="1467" t="s">
        <v>273</v>
      </c>
      <c r="D53" s="1240">
        <f t="shared" si="5"/>
        <v>46138.18</v>
      </c>
      <c r="E53" s="1241">
        <f t="shared" si="4"/>
        <v>10341.469999999999</v>
      </c>
      <c r="F53" s="1242">
        <f t="shared" si="6"/>
        <v>5949.32</v>
      </c>
      <c r="G53" s="1243">
        <f t="shared" si="7"/>
        <v>5949.33</v>
      </c>
      <c r="H53" s="1242">
        <f t="shared" si="7"/>
        <v>-0.01</v>
      </c>
      <c r="I53" s="1244"/>
      <c r="J53" s="1245"/>
      <c r="K53" s="1245"/>
      <c r="L53" s="1245"/>
      <c r="M53" s="1245"/>
      <c r="N53" s="1246"/>
      <c r="O53" s="1244"/>
      <c r="P53" s="1245"/>
      <c r="Q53" s="1245"/>
      <c r="R53" s="1245"/>
      <c r="S53" s="1245"/>
      <c r="T53" s="1246"/>
      <c r="U53" s="1244"/>
      <c r="V53" s="1245"/>
      <c r="W53" s="1245"/>
      <c r="X53" s="1245"/>
      <c r="Y53" s="1245"/>
      <c r="Z53" s="1246"/>
      <c r="AA53" s="1247">
        <v>3847.41</v>
      </c>
      <c r="AB53" s="1248">
        <v>0</v>
      </c>
      <c r="AC53" s="1248">
        <v>0</v>
      </c>
      <c r="AD53" s="1248">
        <v>961.84</v>
      </c>
      <c r="AE53" s="1248">
        <v>0</v>
      </c>
      <c r="AF53" s="1249">
        <v>4809.25</v>
      </c>
      <c r="AG53" s="1244"/>
      <c r="AH53" s="1245"/>
      <c r="AI53" s="1245"/>
      <c r="AJ53" s="1245"/>
      <c r="AK53" s="1245"/>
      <c r="AL53" s="1246"/>
      <c r="AM53" s="1247">
        <v>1106.82</v>
      </c>
      <c r="AN53" s="1248">
        <v>0</v>
      </c>
      <c r="AO53" s="1248">
        <v>276.7</v>
      </c>
      <c r="AP53" s="1248">
        <v>0</v>
      </c>
      <c r="AQ53" s="1248">
        <v>0</v>
      </c>
      <c r="AR53" s="1249">
        <v>1383.52</v>
      </c>
      <c r="AS53" s="1247">
        <v>818.7</v>
      </c>
      <c r="AT53" s="1248">
        <v>0</v>
      </c>
      <c r="AU53" s="1248">
        <v>204.68</v>
      </c>
      <c r="AV53" s="1248">
        <v>0</v>
      </c>
      <c r="AW53" s="1248">
        <v>0</v>
      </c>
      <c r="AX53" s="1249">
        <v>1023.38</v>
      </c>
      <c r="AY53" s="1244"/>
      <c r="AZ53" s="1245"/>
      <c r="BA53" s="1245"/>
      <c r="BB53" s="1245"/>
      <c r="BC53" s="1245"/>
      <c r="BD53" s="1246"/>
      <c r="BE53" s="1247">
        <v>142.56</v>
      </c>
      <c r="BF53" s="1248">
        <v>0</v>
      </c>
      <c r="BG53" s="1248">
        <v>257.44</v>
      </c>
      <c r="BH53" s="1248">
        <v>0</v>
      </c>
      <c r="BI53" s="1248">
        <v>0</v>
      </c>
      <c r="BJ53" s="1249">
        <v>400</v>
      </c>
      <c r="BK53" s="1247">
        <v>13635</v>
      </c>
      <c r="BL53" s="1248">
        <v>0</v>
      </c>
      <c r="BM53" s="1248">
        <v>1727.1</v>
      </c>
      <c r="BN53" s="1248">
        <v>2817.9</v>
      </c>
      <c r="BO53" s="1248">
        <v>0</v>
      </c>
      <c r="BP53" s="1249">
        <v>18180</v>
      </c>
      <c r="BQ53" s="1247">
        <v>2399</v>
      </c>
      <c r="BR53" s="1248">
        <v>0</v>
      </c>
      <c r="BS53" s="1248">
        <v>2060.4</v>
      </c>
      <c r="BT53" s="1248">
        <v>338.6</v>
      </c>
      <c r="BU53" s="1248">
        <v>0</v>
      </c>
      <c r="BV53" s="1249">
        <v>4798</v>
      </c>
      <c r="BW53" s="1247">
        <v>2349.56</v>
      </c>
      <c r="BX53" s="1248">
        <v>0</v>
      </c>
      <c r="BY53" s="1248">
        <v>1479.24</v>
      </c>
      <c r="BZ53" s="1248">
        <v>702.33</v>
      </c>
      <c r="CA53" s="1248">
        <v>-0.02</v>
      </c>
      <c r="CB53" s="1249">
        <v>4531.1099999999997</v>
      </c>
      <c r="CC53" s="1244"/>
      <c r="CD53" s="1245"/>
      <c r="CE53" s="1245"/>
      <c r="CF53" s="1245"/>
      <c r="CG53" s="1245"/>
      <c r="CH53" s="1246"/>
      <c r="CI53" s="1244"/>
      <c r="CJ53" s="1245"/>
      <c r="CK53" s="1245"/>
      <c r="CL53" s="1245"/>
      <c r="CM53" s="1245"/>
      <c r="CN53" s="1246"/>
      <c r="CO53" s="1244"/>
      <c r="CP53" s="1245"/>
      <c r="CQ53" s="1245"/>
      <c r="CR53" s="1245"/>
      <c r="CS53" s="1245"/>
      <c r="CT53" s="1246"/>
      <c r="CU53" s="1247">
        <v>2055.5</v>
      </c>
      <c r="CV53" s="1248">
        <v>0</v>
      </c>
      <c r="CW53" s="1248">
        <v>2055.5</v>
      </c>
      <c r="CX53" s="1248">
        <v>0</v>
      </c>
      <c r="CY53" s="1248">
        <v>0</v>
      </c>
      <c r="CZ53" s="1249">
        <v>4111</v>
      </c>
      <c r="DA53" s="1247">
        <v>15911</v>
      </c>
      <c r="DB53" s="1248">
        <v>0</v>
      </c>
      <c r="DC53" s="1248">
        <v>0</v>
      </c>
      <c r="DD53" s="1248">
        <v>0</v>
      </c>
      <c r="DE53" s="1248">
        <v>0</v>
      </c>
      <c r="DF53" s="1249">
        <v>15911</v>
      </c>
      <c r="DG53" s="1247">
        <v>3300</v>
      </c>
      <c r="DH53" s="1248">
        <v>0</v>
      </c>
      <c r="DI53" s="1248">
        <v>2277</v>
      </c>
      <c r="DJ53" s="1248">
        <v>1023</v>
      </c>
      <c r="DK53" s="1248">
        <v>0</v>
      </c>
      <c r="DL53" s="1249">
        <v>6600</v>
      </c>
      <c r="DM53" s="1247">
        <v>572.63</v>
      </c>
      <c r="DN53" s="1248">
        <v>0</v>
      </c>
      <c r="DO53" s="1248">
        <v>3.41</v>
      </c>
      <c r="DP53" s="1248">
        <v>105.66</v>
      </c>
      <c r="DQ53" s="1248">
        <v>0.01</v>
      </c>
      <c r="DR53" s="1249">
        <v>681.71</v>
      </c>
      <c r="DS53" s="1244"/>
      <c r="DT53" s="1245"/>
      <c r="DU53" s="1245"/>
      <c r="DV53" s="1245"/>
      <c r="DW53" s="1245"/>
      <c r="DX53" s="1246"/>
    </row>
    <row r="54" spans="1:128" ht="15" customHeight="1">
      <c r="A54" s="1092" t="s">
        <v>125</v>
      </c>
      <c r="B54" s="1239" t="s">
        <v>126</v>
      </c>
      <c r="C54" s="1467" t="s">
        <v>274</v>
      </c>
      <c r="D54" s="1240">
        <f t="shared" si="5"/>
        <v>190771.66</v>
      </c>
      <c r="E54" s="1241">
        <f t="shared" si="4"/>
        <v>44701.429999999993</v>
      </c>
      <c r="F54" s="1242">
        <f t="shared" si="6"/>
        <v>12986.16</v>
      </c>
      <c r="G54" s="1243">
        <f t="shared" si="7"/>
        <v>12986.23</v>
      </c>
      <c r="H54" s="1242">
        <f t="shared" si="7"/>
        <v>-7.0000000000000007E-2</v>
      </c>
      <c r="I54" s="1244"/>
      <c r="J54" s="1245"/>
      <c r="K54" s="1245"/>
      <c r="L54" s="1245"/>
      <c r="M54" s="1245"/>
      <c r="N54" s="1246"/>
      <c r="O54" s="1244"/>
      <c r="P54" s="1245"/>
      <c r="Q54" s="1245"/>
      <c r="R54" s="1245"/>
      <c r="S54" s="1245"/>
      <c r="T54" s="1246"/>
      <c r="U54" s="1247">
        <v>1652.54</v>
      </c>
      <c r="V54" s="1248">
        <v>0</v>
      </c>
      <c r="W54" s="1248">
        <v>9.84</v>
      </c>
      <c r="X54" s="1248">
        <v>304.93</v>
      </c>
      <c r="Y54" s="1248">
        <v>0</v>
      </c>
      <c r="Z54" s="1249">
        <v>1967.31</v>
      </c>
      <c r="AA54" s="1247">
        <v>8793.16</v>
      </c>
      <c r="AB54" s="1248">
        <v>0</v>
      </c>
      <c r="AC54" s="1248">
        <v>0</v>
      </c>
      <c r="AD54" s="1248">
        <v>2198.3000000000002</v>
      </c>
      <c r="AE54" s="1248">
        <v>0</v>
      </c>
      <c r="AF54" s="1249">
        <v>10991.46</v>
      </c>
      <c r="AG54" s="1244"/>
      <c r="AH54" s="1245"/>
      <c r="AI54" s="1245"/>
      <c r="AJ54" s="1245"/>
      <c r="AK54" s="1245"/>
      <c r="AL54" s="1246"/>
      <c r="AM54" s="1247">
        <v>7705.4</v>
      </c>
      <c r="AN54" s="1248">
        <v>0</v>
      </c>
      <c r="AO54" s="1248">
        <v>1926.35</v>
      </c>
      <c r="AP54" s="1248">
        <v>0</v>
      </c>
      <c r="AQ54" s="1248">
        <v>0</v>
      </c>
      <c r="AR54" s="1249">
        <v>9631.75</v>
      </c>
      <c r="AS54" s="1247">
        <v>7117.78</v>
      </c>
      <c r="AT54" s="1248">
        <v>0</v>
      </c>
      <c r="AU54" s="1248">
        <v>1779.44</v>
      </c>
      <c r="AV54" s="1248">
        <v>0</v>
      </c>
      <c r="AW54" s="1248">
        <v>0</v>
      </c>
      <c r="AX54" s="1249">
        <v>8897.2199999999993</v>
      </c>
      <c r="AY54" s="1244"/>
      <c r="AZ54" s="1245"/>
      <c r="BA54" s="1245"/>
      <c r="BB54" s="1245"/>
      <c r="BC54" s="1245"/>
      <c r="BD54" s="1246"/>
      <c r="BE54" s="1247">
        <v>1231</v>
      </c>
      <c r="BF54" s="1248">
        <v>0</v>
      </c>
      <c r="BG54" s="1248">
        <v>2223</v>
      </c>
      <c r="BH54" s="1248">
        <v>0</v>
      </c>
      <c r="BI54" s="1248">
        <v>0</v>
      </c>
      <c r="BJ54" s="1249">
        <v>3454</v>
      </c>
      <c r="BK54" s="1247">
        <v>14578.51</v>
      </c>
      <c r="BL54" s="1248">
        <v>0</v>
      </c>
      <c r="BM54" s="1248">
        <v>1846.61</v>
      </c>
      <c r="BN54" s="1248">
        <v>3012.89</v>
      </c>
      <c r="BO54" s="1248">
        <v>-0.01</v>
      </c>
      <c r="BP54" s="1249">
        <v>19438</v>
      </c>
      <c r="BQ54" s="1247">
        <v>24483</v>
      </c>
      <c r="BR54" s="1248">
        <v>0</v>
      </c>
      <c r="BS54" s="1248">
        <v>21213.599999999999</v>
      </c>
      <c r="BT54" s="1248">
        <v>3269.4</v>
      </c>
      <c r="BU54" s="1248">
        <v>0</v>
      </c>
      <c r="BV54" s="1249">
        <v>48966</v>
      </c>
      <c r="BW54" s="1247">
        <v>9193.86</v>
      </c>
      <c r="BX54" s="1248">
        <v>0</v>
      </c>
      <c r="BY54" s="1248">
        <v>6291.03</v>
      </c>
      <c r="BZ54" s="1248">
        <v>2840.42</v>
      </c>
      <c r="CA54" s="1248">
        <v>-0.04</v>
      </c>
      <c r="CB54" s="1249">
        <v>18325.27</v>
      </c>
      <c r="CC54" s="1244"/>
      <c r="CD54" s="1245"/>
      <c r="CE54" s="1245"/>
      <c r="CF54" s="1245"/>
      <c r="CG54" s="1245"/>
      <c r="CH54" s="1246"/>
      <c r="CI54" s="1244"/>
      <c r="CJ54" s="1245"/>
      <c r="CK54" s="1245"/>
      <c r="CL54" s="1245"/>
      <c r="CM54" s="1245"/>
      <c r="CN54" s="1246"/>
      <c r="CO54" s="1247">
        <v>10814.85</v>
      </c>
      <c r="CP54" s="1248">
        <v>0</v>
      </c>
      <c r="CQ54" s="1248">
        <v>0</v>
      </c>
      <c r="CR54" s="1248">
        <v>0</v>
      </c>
      <c r="CS54" s="1248">
        <v>0</v>
      </c>
      <c r="CT54" s="1249">
        <v>10814.85</v>
      </c>
      <c r="CU54" s="1247">
        <v>9744.5</v>
      </c>
      <c r="CV54" s="1248">
        <v>0</v>
      </c>
      <c r="CW54" s="1248">
        <v>9359.7000000000007</v>
      </c>
      <c r="CX54" s="1248">
        <v>384.8</v>
      </c>
      <c r="CY54" s="1248">
        <v>0</v>
      </c>
      <c r="CZ54" s="1249">
        <v>19489</v>
      </c>
      <c r="DA54" s="1247">
        <v>90190.9</v>
      </c>
      <c r="DB54" s="1248">
        <v>0</v>
      </c>
      <c r="DC54" s="1248">
        <v>0</v>
      </c>
      <c r="DD54" s="1248">
        <v>0</v>
      </c>
      <c r="DE54" s="1248">
        <v>0</v>
      </c>
      <c r="DF54" s="1249">
        <v>90190.9</v>
      </c>
      <c r="DG54" s="1247">
        <v>30</v>
      </c>
      <c r="DH54" s="1248">
        <v>0</v>
      </c>
      <c r="DI54" s="1248">
        <v>20.7</v>
      </c>
      <c r="DJ54" s="1248">
        <v>9.3000000000000007</v>
      </c>
      <c r="DK54" s="1248">
        <v>0</v>
      </c>
      <c r="DL54" s="1249">
        <v>60</v>
      </c>
      <c r="DM54" s="1247">
        <v>5236.16</v>
      </c>
      <c r="DN54" s="1248">
        <v>0</v>
      </c>
      <c r="DO54" s="1248">
        <v>31.16</v>
      </c>
      <c r="DP54" s="1248">
        <v>966.19</v>
      </c>
      <c r="DQ54" s="1248">
        <v>-0.02</v>
      </c>
      <c r="DR54" s="1249">
        <v>6233.49</v>
      </c>
      <c r="DS54" s="1244"/>
      <c r="DT54" s="1245"/>
      <c r="DU54" s="1245"/>
      <c r="DV54" s="1245"/>
      <c r="DW54" s="1245"/>
      <c r="DX54" s="1246"/>
    </row>
    <row r="55" spans="1:128" ht="15" customHeight="1">
      <c r="A55" s="1092" t="s">
        <v>127</v>
      </c>
      <c r="B55" s="1239" t="s">
        <v>128</v>
      </c>
      <c r="C55" s="1467" t="s">
        <v>273</v>
      </c>
      <c r="D55" s="1240">
        <f t="shared" si="5"/>
        <v>159971.24</v>
      </c>
      <c r="E55" s="1241">
        <f t="shared" si="4"/>
        <v>31136.629999999997</v>
      </c>
      <c r="F55" s="1242">
        <f t="shared" si="6"/>
        <v>12020.49</v>
      </c>
      <c r="G55" s="1243">
        <f t="shared" si="7"/>
        <v>12020.65</v>
      </c>
      <c r="H55" s="1242">
        <f t="shared" si="7"/>
        <v>-0.16</v>
      </c>
      <c r="I55" s="1244"/>
      <c r="J55" s="1245"/>
      <c r="K55" s="1245"/>
      <c r="L55" s="1245"/>
      <c r="M55" s="1245"/>
      <c r="N55" s="1246"/>
      <c r="O55" s="1244"/>
      <c r="P55" s="1245"/>
      <c r="Q55" s="1245"/>
      <c r="R55" s="1245"/>
      <c r="S55" s="1245"/>
      <c r="T55" s="1246"/>
      <c r="U55" s="1247">
        <v>2432.66</v>
      </c>
      <c r="V55" s="1248">
        <v>0</v>
      </c>
      <c r="W55" s="1248">
        <v>14.48</v>
      </c>
      <c r="X55" s="1248">
        <v>448.9</v>
      </c>
      <c r="Y55" s="1248">
        <v>-0.04</v>
      </c>
      <c r="Z55" s="1249">
        <v>2896</v>
      </c>
      <c r="AA55" s="1247">
        <v>3356</v>
      </c>
      <c r="AB55" s="1248">
        <v>0</v>
      </c>
      <c r="AC55" s="1248">
        <v>0</v>
      </c>
      <c r="AD55" s="1248">
        <v>839</v>
      </c>
      <c r="AE55" s="1248">
        <v>0</v>
      </c>
      <c r="AF55" s="1249">
        <v>4195</v>
      </c>
      <c r="AG55" s="1244"/>
      <c r="AH55" s="1245"/>
      <c r="AI55" s="1245"/>
      <c r="AJ55" s="1245"/>
      <c r="AK55" s="1245"/>
      <c r="AL55" s="1246"/>
      <c r="AM55" s="1244"/>
      <c r="AN55" s="1245"/>
      <c r="AO55" s="1245"/>
      <c r="AP55" s="1245"/>
      <c r="AQ55" s="1245"/>
      <c r="AR55" s="1246"/>
      <c r="AS55" s="1247">
        <v>404.6</v>
      </c>
      <c r="AT55" s="1248">
        <v>0</v>
      </c>
      <c r="AU55" s="1248">
        <v>101.14</v>
      </c>
      <c r="AV55" s="1248">
        <v>0</v>
      </c>
      <c r="AW55" s="1248">
        <v>0</v>
      </c>
      <c r="AX55" s="1249">
        <v>505.74</v>
      </c>
      <c r="AY55" s="1244"/>
      <c r="AZ55" s="1245"/>
      <c r="BA55" s="1245"/>
      <c r="BB55" s="1245"/>
      <c r="BC55" s="1245"/>
      <c r="BD55" s="1246"/>
      <c r="BE55" s="1244"/>
      <c r="BF55" s="1245"/>
      <c r="BG55" s="1245"/>
      <c r="BH55" s="1245"/>
      <c r="BI55" s="1245"/>
      <c r="BJ55" s="1246"/>
      <c r="BK55" s="1247">
        <v>13770</v>
      </c>
      <c r="BL55" s="1248">
        <v>0</v>
      </c>
      <c r="BM55" s="1248">
        <v>1744.2</v>
      </c>
      <c r="BN55" s="1248">
        <v>2845.8</v>
      </c>
      <c r="BO55" s="1248">
        <v>0</v>
      </c>
      <c r="BP55" s="1249">
        <v>18360</v>
      </c>
      <c r="BQ55" s="1247">
        <v>22013.7</v>
      </c>
      <c r="BR55" s="1248">
        <v>0</v>
      </c>
      <c r="BS55" s="1248">
        <v>19152.66</v>
      </c>
      <c r="BT55" s="1248">
        <v>2861.04</v>
      </c>
      <c r="BU55" s="1248">
        <v>0</v>
      </c>
      <c r="BV55" s="1249">
        <v>44027.4</v>
      </c>
      <c r="BW55" s="1247">
        <v>9866.94</v>
      </c>
      <c r="BX55" s="1248">
        <v>0</v>
      </c>
      <c r="BY55" s="1248">
        <v>6788.57</v>
      </c>
      <c r="BZ55" s="1248">
        <v>3055.17</v>
      </c>
      <c r="CA55" s="1248">
        <v>-0.1</v>
      </c>
      <c r="CB55" s="1249">
        <v>19710.580000000002</v>
      </c>
      <c r="CC55" s="1244"/>
      <c r="CD55" s="1245"/>
      <c r="CE55" s="1245"/>
      <c r="CF55" s="1245"/>
      <c r="CG55" s="1245"/>
      <c r="CH55" s="1246"/>
      <c r="CI55" s="1244"/>
      <c r="CJ55" s="1245"/>
      <c r="CK55" s="1245"/>
      <c r="CL55" s="1245"/>
      <c r="CM55" s="1245"/>
      <c r="CN55" s="1246"/>
      <c r="CO55" s="1247">
        <v>37092.33</v>
      </c>
      <c r="CP55" s="1248">
        <v>0</v>
      </c>
      <c r="CQ55" s="1248">
        <v>0</v>
      </c>
      <c r="CR55" s="1248">
        <v>0</v>
      </c>
      <c r="CS55" s="1248">
        <v>0</v>
      </c>
      <c r="CT55" s="1249">
        <v>37092.33</v>
      </c>
      <c r="CU55" s="1247">
        <v>1295.43</v>
      </c>
      <c r="CV55" s="1248">
        <v>0</v>
      </c>
      <c r="CW55" s="1248">
        <v>1036.3499999999999</v>
      </c>
      <c r="CX55" s="1248">
        <v>259.08999999999997</v>
      </c>
      <c r="CY55" s="1248">
        <v>0</v>
      </c>
      <c r="CZ55" s="1249">
        <v>2590.87</v>
      </c>
      <c r="DA55" s="1247">
        <v>62707.53</v>
      </c>
      <c r="DB55" s="1248">
        <v>0</v>
      </c>
      <c r="DC55" s="1248">
        <v>0</v>
      </c>
      <c r="DD55" s="1248">
        <v>0</v>
      </c>
      <c r="DE55" s="1248">
        <v>0</v>
      </c>
      <c r="DF55" s="1249">
        <v>62707.53</v>
      </c>
      <c r="DG55" s="1247">
        <v>3300</v>
      </c>
      <c r="DH55" s="1248">
        <v>0</v>
      </c>
      <c r="DI55" s="1248">
        <v>2277</v>
      </c>
      <c r="DJ55" s="1248">
        <v>1023</v>
      </c>
      <c r="DK55" s="1248">
        <v>0</v>
      </c>
      <c r="DL55" s="1249">
        <v>6600</v>
      </c>
      <c r="DM55" s="1247">
        <v>3732.05</v>
      </c>
      <c r="DN55" s="1248">
        <v>0</v>
      </c>
      <c r="DO55" s="1248">
        <v>22.23</v>
      </c>
      <c r="DP55" s="1248">
        <v>688.65</v>
      </c>
      <c r="DQ55" s="1248">
        <v>-0.02</v>
      </c>
      <c r="DR55" s="1249">
        <v>4442.91</v>
      </c>
      <c r="DS55" s="1244"/>
      <c r="DT55" s="1245"/>
      <c r="DU55" s="1245"/>
      <c r="DV55" s="1245"/>
      <c r="DW55" s="1245"/>
      <c r="DX55" s="1246"/>
    </row>
    <row r="56" spans="1:128" ht="15" customHeight="1">
      <c r="A56" s="1092" t="s">
        <v>129</v>
      </c>
      <c r="B56" s="1239" t="s">
        <v>130</v>
      </c>
      <c r="C56" s="1467" t="s">
        <v>273</v>
      </c>
      <c r="D56" s="1240">
        <f t="shared" si="5"/>
        <v>101956.43</v>
      </c>
      <c r="E56" s="1241">
        <f t="shared" si="4"/>
        <v>21123.360000000001</v>
      </c>
      <c r="F56" s="1242">
        <f t="shared" si="6"/>
        <v>15290.900000000001</v>
      </c>
      <c r="G56" s="1243">
        <f t="shared" si="7"/>
        <v>8832.7800000000007</v>
      </c>
      <c r="H56" s="1242">
        <f t="shared" si="7"/>
        <v>6458.12</v>
      </c>
      <c r="I56" s="1244"/>
      <c r="J56" s="1245"/>
      <c r="K56" s="1245"/>
      <c r="L56" s="1245"/>
      <c r="M56" s="1245"/>
      <c r="N56" s="1246"/>
      <c r="O56" s="1244"/>
      <c r="P56" s="1245"/>
      <c r="Q56" s="1245"/>
      <c r="R56" s="1245"/>
      <c r="S56" s="1245"/>
      <c r="T56" s="1246"/>
      <c r="U56" s="1247">
        <v>604.79999999999995</v>
      </c>
      <c r="V56" s="1248">
        <v>0</v>
      </c>
      <c r="W56" s="1248">
        <v>3.6</v>
      </c>
      <c r="X56" s="1248">
        <v>111.6</v>
      </c>
      <c r="Y56" s="1248">
        <v>0</v>
      </c>
      <c r="Z56" s="1249">
        <v>720</v>
      </c>
      <c r="AA56" s="1247">
        <v>72</v>
      </c>
      <c r="AB56" s="1248">
        <v>0</v>
      </c>
      <c r="AC56" s="1248">
        <v>0</v>
      </c>
      <c r="AD56" s="1248">
        <v>18</v>
      </c>
      <c r="AE56" s="1248">
        <v>0</v>
      </c>
      <c r="AF56" s="1249">
        <v>90</v>
      </c>
      <c r="AG56" s="1244"/>
      <c r="AH56" s="1245"/>
      <c r="AI56" s="1245"/>
      <c r="AJ56" s="1245"/>
      <c r="AK56" s="1245"/>
      <c r="AL56" s="1246"/>
      <c r="AM56" s="1247">
        <v>684.26</v>
      </c>
      <c r="AN56" s="1248">
        <v>0</v>
      </c>
      <c r="AO56" s="1248">
        <v>171.07</v>
      </c>
      <c r="AP56" s="1248">
        <v>0</v>
      </c>
      <c r="AQ56" s="1248">
        <v>0</v>
      </c>
      <c r="AR56" s="1249">
        <v>855.33</v>
      </c>
      <c r="AS56" s="1247">
        <v>648.89</v>
      </c>
      <c r="AT56" s="1248">
        <v>0</v>
      </c>
      <c r="AU56" s="1248">
        <v>162.22</v>
      </c>
      <c r="AV56" s="1248">
        <v>0</v>
      </c>
      <c r="AW56" s="1248">
        <v>0</v>
      </c>
      <c r="AX56" s="1249">
        <v>811.11</v>
      </c>
      <c r="AY56" s="1244"/>
      <c r="AZ56" s="1245"/>
      <c r="BA56" s="1245"/>
      <c r="BB56" s="1245"/>
      <c r="BC56" s="1245"/>
      <c r="BD56" s="1246"/>
      <c r="BE56" s="1244"/>
      <c r="BF56" s="1245"/>
      <c r="BG56" s="1245"/>
      <c r="BH56" s="1245"/>
      <c r="BI56" s="1245"/>
      <c r="BJ56" s="1246"/>
      <c r="BK56" s="1247">
        <v>14119.49</v>
      </c>
      <c r="BL56" s="1248">
        <v>0</v>
      </c>
      <c r="BM56" s="1248">
        <v>1788.47</v>
      </c>
      <c r="BN56" s="1248">
        <v>2918.03</v>
      </c>
      <c r="BO56" s="1248">
        <v>5699.01</v>
      </c>
      <c r="BP56" s="1249">
        <v>24525</v>
      </c>
      <c r="BQ56" s="1247">
        <v>14332.1</v>
      </c>
      <c r="BR56" s="1248">
        <v>0</v>
      </c>
      <c r="BS56" s="1248">
        <v>12623.14</v>
      </c>
      <c r="BT56" s="1248">
        <v>1708.96</v>
      </c>
      <c r="BU56" s="1248">
        <v>110.15</v>
      </c>
      <c r="BV56" s="1249">
        <v>28774.35</v>
      </c>
      <c r="BW56" s="1247">
        <v>5715.99</v>
      </c>
      <c r="BX56" s="1248">
        <v>0</v>
      </c>
      <c r="BY56" s="1248">
        <v>3944.04</v>
      </c>
      <c r="BZ56" s="1248">
        <v>1771.97</v>
      </c>
      <c r="CA56" s="1248">
        <v>648.96</v>
      </c>
      <c r="CB56" s="1249">
        <v>12080.96</v>
      </c>
      <c r="CC56" s="1244"/>
      <c r="CD56" s="1245"/>
      <c r="CE56" s="1245"/>
      <c r="CF56" s="1245"/>
      <c r="CG56" s="1245"/>
      <c r="CH56" s="1246"/>
      <c r="CI56" s="1244"/>
      <c r="CJ56" s="1245"/>
      <c r="CK56" s="1245"/>
      <c r="CL56" s="1245"/>
      <c r="CM56" s="1245"/>
      <c r="CN56" s="1246"/>
      <c r="CO56" s="1244"/>
      <c r="CP56" s="1245"/>
      <c r="CQ56" s="1245"/>
      <c r="CR56" s="1245"/>
      <c r="CS56" s="1245"/>
      <c r="CT56" s="1246"/>
      <c r="CU56" s="1244"/>
      <c r="CV56" s="1245"/>
      <c r="CW56" s="1245"/>
      <c r="CX56" s="1245"/>
      <c r="CY56" s="1245"/>
      <c r="CZ56" s="1246"/>
      <c r="DA56" s="1247">
        <v>55648</v>
      </c>
      <c r="DB56" s="1248">
        <v>0</v>
      </c>
      <c r="DC56" s="1248">
        <v>0</v>
      </c>
      <c r="DD56" s="1248">
        <v>0</v>
      </c>
      <c r="DE56" s="1248">
        <v>0</v>
      </c>
      <c r="DF56" s="1249">
        <v>55648</v>
      </c>
      <c r="DG56" s="1247">
        <v>3465.43</v>
      </c>
      <c r="DH56" s="1248">
        <v>0</v>
      </c>
      <c r="DI56" s="1248">
        <v>2391.15</v>
      </c>
      <c r="DJ56" s="1248">
        <v>1074.28</v>
      </c>
      <c r="DK56" s="1248">
        <v>0</v>
      </c>
      <c r="DL56" s="1249">
        <v>6930.86</v>
      </c>
      <c r="DM56" s="1247">
        <v>6665.47</v>
      </c>
      <c r="DN56" s="1248">
        <v>0</v>
      </c>
      <c r="DO56" s="1248">
        <v>39.67</v>
      </c>
      <c r="DP56" s="1248">
        <v>1229.94</v>
      </c>
      <c r="DQ56" s="1248">
        <v>0</v>
      </c>
      <c r="DR56" s="1249">
        <v>7935.08</v>
      </c>
      <c r="DS56" s="1244"/>
      <c r="DT56" s="1245"/>
      <c r="DU56" s="1245"/>
      <c r="DV56" s="1245"/>
      <c r="DW56" s="1245"/>
      <c r="DX56" s="1246"/>
    </row>
    <row r="57" spans="1:128" ht="15" customHeight="1">
      <c r="A57" s="1092" t="s">
        <v>131</v>
      </c>
      <c r="B57" s="1239" t="s">
        <v>132</v>
      </c>
      <c r="C57" s="1467" t="s">
        <v>275</v>
      </c>
      <c r="D57" s="1240">
        <f t="shared" si="5"/>
        <v>226851.82</v>
      </c>
      <c r="E57" s="1241">
        <f t="shared" si="4"/>
        <v>75118.36</v>
      </c>
      <c r="F57" s="1242">
        <f t="shared" si="6"/>
        <v>48466.73</v>
      </c>
      <c r="G57" s="1243">
        <f t="shared" si="7"/>
        <v>48466.920000000006</v>
      </c>
      <c r="H57" s="1242">
        <f t="shared" si="7"/>
        <v>-0.19</v>
      </c>
      <c r="I57" s="1244"/>
      <c r="J57" s="1245"/>
      <c r="K57" s="1245"/>
      <c r="L57" s="1245"/>
      <c r="M57" s="1245"/>
      <c r="N57" s="1246"/>
      <c r="O57" s="1247">
        <v>-200</v>
      </c>
      <c r="P57" s="1248">
        <v>0</v>
      </c>
      <c r="Q57" s="1248">
        <v>0</v>
      </c>
      <c r="R57" s="1248">
        <v>-50</v>
      </c>
      <c r="S57" s="1248">
        <v>0</v>
      </c>
      <c r="T57" s="1249">
        <v>-250</v>
      </c>
      <c r="U57" s="1247">
        <v>6563.99</v>
      </c>
      <c r="V57" s="1248">
        <v>0</v>
      </c>
      <c r="W57" s="1248">
        <v>39.08</v>
      </c>
      <c r="X57" s="1248">
        <v>1211.24</v>
      </c>
      <c r="Y57" s="1248">
        <v>-0.02</v>
      </c>
      <c r="Z57" s="1249">
        <v>7814.29</v>
      </c>
      <c r="AA57" s="1247">
        <v>63285.48</v>
      </c>
      <c r="AB57" s="1248">
        <v>0</v>
      </c>
      <c r="AC57" s="1248">
        <v>0</v>
      </c>
      <c r="AD57" s="1248">
        <v>15821.4</v>
      </c>
      <c r="AE57" s="1248">
        <v>0</v>
      </c>
      <c r="AF57" s="1249">
        <v>79106.880000000005</v>
      </c>
      <c r="AG57" s="1244"/>
      <c r="AH57" s="1245"/>
      <c r="AI57" s="1245"/>
      <c r="AJ57" s="1245"/>
      <c r="AK57" s="1245"/>
      <c r="AL57" s="1246"/>
      <c r="AM57" s="1247">
        <v>7384.02</v>
      </c>
      <c r="AN57" s="1248">
        <v>0</v>
      </c>
      <c r="AO57" s="1248">
        <v>1846.01</v>
      </c>
      <c r="AP57" s="1248">
        <v>0</v>
      </c>
      <c r="AQ57" s="1248">
        <v>0</v>
      </c>
      <c r="AR57" s="1249">
        <v>9230.0300000000007</v>
      </c>
      <c r="AS57" s="1247">
        <v>2865.68</v>
      </c>
      <c r="AT57" s="1248">
        <v>0</v>
      </c>
      <c r="AU57" s="1248">
        <v>716.42</v>
      </c>
      <c r="AV57" s="1248">
        <v>0</v>
      </c>
      <c r="AW57" s="1248">
        <v>0</v>
      </c>
      <c r="AX57" s="1249">
        <v>3582.1</v>
      </c>
      <c r="AY57" s="1244"/>
      <c r="AZ57" s="1245"/>
      <c r="BA57" s="1245"/>
      <c r="BB57" s="1245"/>
      <c r="BC57" s="1245"/>
      <c r="BD57" s="1246"/>
      <c r="BE57" s="1247">
        <v>89.1</v>
      </c>
      <c r="BF57" s="1248">
        <v>0</v>
      </c>
      <c r="BG57" s="1248">
        <v>160.9</v>
      </c>
      <c r="BH57" s="1248">
        <v>0</v>
      </c>
      <c r="BI57" s="1248">
        <v>0</v>
      </c>
      <c r="BJ57" s="1249">
        <v>250</v>
      </c>
      <c r="BK57" s="1247">
        <v>11532.14</v>
      </c>
      <c r="BL57" s="1248">
        <v>0</v>
      </c>
      <c r="BM57" s="1248">
        <v>1460.73</v>
      </c>
      <c r="BN57" s="1248">
        <v>2383.31</v>
      </c>
      <c r="BO57" s="1248">
        <v>-0.01</v>
      </c>
      <c r="BP57" s="1249">
        <v>15376.17</v>
      </c>
      <c r="BQ57" s="1247">
        <v>22703.5</v>
      </c>
      <c r="BR57" s="1248">
        <v>0</v>
      </c>
      <c r="BS57" s="1248">
        <v>18859.3</v>
      </c>
      <c r="BT57" s="1248">
        <v>3844.2</v>
      </c>
      <c r="BU57" s="1248">
        <v>0</v>
      </c>
      <c r="BV57" s="1249">
        <v>45407</v>
      </c>
      <c r="BW57" s="1247">
        <v>72485.17</v>
      </c>
      <c r="BX57" s="1248">
        <v>0</v>
      </c>
      <c r="BY57" s="1248">
        <v>49481.96</v>
      </c>
      <c r="BZ57" s="1248">
        <v>22372.7</v>
      </c>
      <c r="CA57" s="1248">
        <v>-0.16</v>
      </c>
      <c r="CB57" s="1249">
        <v>144339.67000000001</v>
      </c>
      <c r="CC57" s="1247">
        <v>985.36</v>
      </c>
      <c r="CD57" s="1248">
        <v>0</v>
      </c>
      <c r="CE57" s="1248">
        <v>0</v>
      </c>
      <c r="CF57" s="1248">
        <v>1736.64</v>
      </c>
      <c r="CG57" s="1248">
        <v>0</v>
      </c>
      <c r="CH57" s="1249">
        <v>2722</v>
      </c>
      <c r="CI57" s="1244"/>
      <c r="CJ57" s="1245"/>
      <c r="CK57" s="1245"/>
      <c r="CL57" s="1245"/>
      <c r="CM57" s="1245"/>
      <c r="CN57" s="1246"/>
      <c r="CO57" s="1244"/>
      <c r="CP57" s="1245"/>
      <c r="CQ57" s="1245"/>
      <c r="CR57" s="1245"/>
      <c r="CS57" s="1245"/>
      <c r="CT57" s="1246"/>
      <c r="CU57" s="1244"/>
      <c r="CV57" s="1245"/>
      <c r="CW57" s="1245"/>
      <c r="CX57" s="1245"/>
      <c r="CY57" s="1245"/>
      <c r="CZ57" s="1246"/>
      <c r="DA57" s="1247">
        <v>35456</v>
      </c>
      <c r="DB57" s="1248">
        <v>0</v>
      </c>
      <c r="DC57" s="1248">
        <v>0</v>
      </c>
      <c r="DD57" s="1248">
        <v>0</v>
      </c>
      <c r="DE57" s="1248">
        <v>0</v>
      </c>
      <c r="DF57" s="1249">
        <v>35456</v>
      </c>
      <c r="DG57" s="1247">
        <v>3701.38</v>
      </c>
      <c r="DH57" s="1248">
        <v>0</v>
      </c>
      <c r="DI57" s="1248">
        <v>2553.96</v>
      </c>
      <c r="DJ57" s="1248">
        <v>1147.43</v>
      </c>
      <c r="DK57" s="1248">
        <v>0</v>
      </c>
      <c r="DL57" s="1249">
        <v>7402.77</v>
      </c>
      <c r="DM57" s="1244"/>
      <c r="DN57" s="1245"/>
      <c r="DO57" s="1245"/>
      <c r="DP57" s="1245"/>
      <c r="DQ57" s="1245"/>
      <c r="DR57" s="1246"/>
      <c r="DS57" s="1244"/>
      <c r="DT57" s="1245"/>
      <c r="DU57" s="1245"/>
      <c r="DV57" s="1245"/>
      <c r="DW57" s="1245"/>
      <c r="DX57" s="1246"/>
    </row>
    <row r="58" spans="1:128" ht="15" customHeight="1">
      <c r="A58" s="1092" t="s">
        <v>133</v>
      </c>
      <c r="B58" s="1239" t="s">
        <v>134</v>
      </c>
      <c r="C58" s="1467" t="s">
        <v>274</v>
      </c>
      <c r="D58" s="1240">
        <f t="shared" si="5"/>
        <v>1821697.88</v>
      </c>
      <c r="E58" s="1241">
        <f t="shared" si="4"/>
        <v>657187.92999999993</v>
      </c>
      <c r="F58" s="1242">
        <f t="shared" si="6"/>
        <v>1036414.3599999999</v>
      </c>
      <c r="G58" s="1243">
        <f t="shared" si="7"/>
        <v>156790.46</v>
      </c>
      <c r="H58" s="1242">
        <f t="shared" si="7"/>
        <v>879623.89999999991</v>
      </c>
      <c r="I58" s="1244"/>
      <c r="J58" s="1245"/>
      <c r="K58" s="1245"/>
      <c r="L58" s="1245"/>
      <c r="M58" s="1245"/>
      <c r="N58" s="1246"/>
      <c r="O58" s="1244"/>
      <c r="P58" s="1245"/>
      <c r="Q58" s="1245"/>
      <c r="R58" s="1245"/>
      <c r="S58" s="1245"/>
      <c r="T58" s="1246"/>
      <c r="U58" s="1247">
        <v>5927.37</v>
      </c>
      <c r="V58" s="1248">
        <v>0</v>
      </c>
      <c r="W58" s="1248">
        <v>35.28</v>
      </c>
      <c r="X58" s="1248">
        <v>1093.74</v>
      </c>
      <c r="Y58" s="1248">
        <v>0</v>
      </c>
      <c r="Z58" s="1249">
        <v>7056.39</v>
      </c>
      <c r="AA58" s="1247">
        <v>29244.799999999999</v>
      </c>
      <c r="AB58" s="1248">
        <v>0</v>
      </c>
      <c r="AC58" s="1248">
        <v>0</v>
      </c>
      <c r="AD58" s="1248">
        <v>7311.2</v>
      </c>
      <c r="AE58" s="1248">
        <v>867528.49</v>
      </c>
      <c r="AF58" s="1249">
        <v>904084.49</v>
      </c>
      <c r="AG58" s="1244"/>
      <c r="AH58" s="1245"/>
      <c r="AI58" s="1245"/>
      <c r="AJ58" s="1245"/>
      <c r="AK58" s="1245"/>
      <c r="AL58" s="1246"/>
      <c r="AM58" s="1247">
        <v>7501.22</v>
      </c>
      <c r="AN58" s="1248">
        <v>0</v>
      </c>
      <c r="AO58" s="1248">
        <v>1875.31</v>
      </c>
      <c r="AP58" s="1248">
        <v>0</v>
      </c>
      <c r="AQ58" s="1248">
        <v>0</v>
      </c>
      <c r="AR58" s="1249">
        <v>9376.5300000000007</v>
      </c>
      <c r="AS58" s="1247">
        <v>10497.28</v>
      </c>
      <c r="AT58" s="1248">
        <v>0</v>
      </c>
      <c r="AU58" s="1248">
        <v>2624.35</v>
      </c>
      <c r="AV58" s="1248">
        <v>0</v>
      </c>
      <c r="AW58" s="1248">
        <v>0</v>
      </c>
      <c r="AX58" s="1249">
        <v>13121.63</v>
      </c>
      <c r="AY58" s="1244"/>
      <c r="AZ58" s="1245"/>
      <c r="BA58" s="1245"/>
      <c r="BB58" s="1245"/>
      <c r="BC58" s="1245"/>
      <c r="BD58" s="1246"/>
      <c r="BE58" s="1247">
        <v>327.88</v>
      </c>
      <c r="BF58" s="1248">
        <v>0</v>
      </c>
      <c r="BG58" s="1248">
        <v>592.12</v>
      </c>
      <c r="BH58" s="1248">
        <v>0</v>
      </c>
      <c r="BI58" s="1248">
        <v>0</v>
      </c>
      <c r="BJ58" s="1249">
        <v>920</v>
      </c>
      <c r="BK58" s="1247">
        <v>37316.85</v>
      </c>
      <c r="BL58" s="1248">
        <v>0</v>
      </c>
      <c r="BM58" s="1248">
        <v>4726.8100000000004</v>
      </c>
      <c r="BN58" s="1248">
        <v>7712.14</v>
      </c>
      <c r="BO58" s="1248">
        <v>-0.03</v>
      </c>
      <c r="BP58" s="1249">
        <v>49755.77</v>
      </c>
      <c r="BQ58" s="1247">
        <v>519494.87</v>
      </c>
      <c r="BR58" s="1248">
        <v>0</v>
      </c>
      <c r="BS58" s="1248">
        <v>450073.44</v>
      </c>
      <c r="BT58" s="1248">
        <v>69421.42</v>
      </c>
      <c r="BU58" s="1248">
        <v>-0.04</v>
      </c>
      <c r="BV58" s="1249">
        <v>1038989.69</v>
      </c>
      <c r="BW58" s="1247">
        <v>197729.96</v>
      </c>
      <c r="BX58" s="1248">
        <v>0</v>
      </c>
      <c r="BY58" s="1248">
        <v>130003.01</v>
      </c>
      <c r="BZ58" s="1248">
        <v>60116.68</v>
      </c>
      <c r="CA58" s="1248">
        <v>12090.1</v>
      </c>
      <c r="CB58" s="1249">
        <v>399939.75</v>
      </c>
      <c r="CC58" s="1247">
        <v>3586.36</v>
      </c>
      <c r="CD58" s="1248">
        <v>0</v>
      </c>
      <c r="CE58" s="1248">
        <v>0</v>
      </c>
      <c r="CF58" s="1248">
        <v>6320.76</v>
      </c>
      <c r="CG58" s="1248">
        <v>0</v>
      </c>
      <c r="CH58" s="1249">
        <v>9907.1200000000008</v>
      </c>
      <c r="CI58" s="1244"/>
      <c r="CJ58" s="1245"/>
      <c r="CK58" s="1245"/>
      <c r="CL58" s="1245"/>
      <c r="CM58" s="1245"/>
      <c r="CN58" s="1246"/>
      <c r="CO58" s="1247">
        <v>492437.3</v>
      </c>
      <c r="CP58" s="1248">
        <v>0</v>
      </c>
      <c r="CQ58" s="1248">
        <v>0</v>
      </c>
      <c r="CR58" s="1248">
        <v>0</v>
      </c>
      <c r="CS58" s="1248">
        <v>0</v>
      </c>
      <c r="CT58" s="1249">
        <v>492437.3</v>
      </c>
      <c r="CU58" s="1247">
        <v>60023.15</v>
      </c>
      <c r="CV58" s="1248">
        <v>0</v>
      </c>
      <c r="CW58" s="1248">
        <v>59799.85</v>
      </c>
      <c r="CX58" s="1248">
        <v>223.3</v>
      </c>
      <c r="CY58" s="1248">
        <v>-0.03</v>
      </c>
      <c r="CZ58" s="1249">
        <v>120046.27</v>
      </c>
      <c r="DA58" s="1247">
        <v>440039</v>
      </c>
      <c r="DB58" s="1248">
        <v>0</v>
      </c>
      <c r="DC58" s="1248">
        <v>0</v>
      </c>
      <c r="DD58" s="1248">
        <v>0</v>
      </c>
      <c r="DE58" s="1248">
        <v>5.41</v>
      </c>
      <c r="DF58" s="1249">
        <v>440044.41</v>
      </c>
      <c r="DG58" s="1247">
        <v>10749.5</v>
      </c>
      <c r="DH58" s="1248">
        <v>0</v>
      </c>
      <c r="DI58" s="1248">
        <v>7417.16</v>
      </c>
      <c r="DJ58" s="1248">
        <v>3332.33</v>
      </c>
      <c r="DK58" s="1248">
        <v>0</v>
      </c>
      <c r="DL58" s="1249">
        <v>21498.99</v>
      </c>
      <c r="DM58" s="1247">
        <v>6822.34</v>
      </c>
      <c r="DN58" s="1248">
        <v>0</v>
      </c>
      <c r="DO58" s="1248">
        <v>40.6</v>
      </c>
      <c r="DP58" s="1248">
        <v>1258.8900000000001</v>
      </c>
      <c r="DQ58" s="1248">
        <v>0</v>
      </c>
      <c r="DR58" s="1249">
        <v>8121.83</v>
      </c>
      <c r="DS58" s="1244"/>
      <c r="DT58" s="1245"/>
      <c r="DU58" s="1245"/>
      <c r="DV58" s="1245"/>
      <c r="DW58" s="1245"/>
      <c r="DX58" s="1246"/>
    </row>
    <row r="59" spans="1:128" ht="15" customHeight="1">
      <c r="A59" s="1092" t="s">
        <v>135</v>
      </c>
      <c r="B59" s="1239" t="s">
        <v>136</v>
      </c>
      <c r="C59" s="1467" t="s">
        <v>274</v>
      </c>
      <c r="D59" s="1240">
        <f t="shared" si="5"/>
        <v>174814.68000000002</v>
      </c>
      <c r="E59" s="1241">
        <f t="shared" si="4"/>
        <v>63945.319999999992</v>
      </c>
      <c r="F59" s="1242">
        <f t="shared" si="6"/>
        <v>24989.680000000004</v>
      </c>
      <c r="G59" s="1243">
        <f t="shared" si="7"/>
        <v>24989.830000000005</v>
      </c>
      <c r="H59" s="1242">
        <f t="shared" si="7"/>
        <v>-0.15</v>
      </c>
      <c r="I59" s="1244"/>
      <c r="J59" s="1245"/>
      <c r="K59" s="1245"/>
      <c r="L59" s="1245"/>
      <c r="M59" s="1245"/>
      <c r="N59" s="1246"/>
      <c r="O59" s="1244"/>
      <c r="P59" s="1245"/>
      <c r="Q59" s="1245"/>
      <c r="R59" s="1245"/>
      <c r="S59" s="1245"/>
      <c r="T59" s="1246"/>
      <c r="U59" s="1247">
        <v>3512.04</v>
      </c>
      <c r="V59" s="1248">
        <v>0</v>
      </c>
      <c r="W59" s="1248">
        <v>20.92</v>
      </c>
      <c r="X59" s="1248">
        <v>648.07000000000005</v>
      </c>
      <c r="Y59" s="1248">
        <v>-0.03</v>
      </c>
      <c r="Z59" s="1249">
        <v>4181</v>
      </c>
      <c r="AA59" s="1247">
        <v>9776.44</v>
      </c>
      <c r="AB59" s="1248">
        <v>0</v>
      </c>
      <c r="AC59" s="1248">
        <v>0</v>
      </c>
      <c r="AD59" s="1248">
        <v>2444.11</v>
      </c>
      <c r="AE59" s="1248">
        <v>0</v>
      </c>
      <c r="AF59" s="1249">
        <v>12220.55</v>
      </c>
      <c r="AG59" s="1244"/>
      <c r="AH59" s="1245"/>
      <c r="AI59" s="1245"/>
      <c r="AJ59" s="1245"/>
      <c r="AK59" s="1245"/>
      <c r="AL59" s="1246"/>
      <c r="AM59" s="1247">
        <v>4104.76</v>
      </c>
      <c r="AN59" s="1248">
        <v>0</v>
      </c>
      <c r="AO59" s="1248">
        <v>1026.19</v>
      </c>
      <c r="AP59" s="1248">
        <v>0</v>
      </c>
      <c r="AQ59" s="1248">
        <v>0</v>
      </c>
      <c r="AR59" s="1249">
        <v>5130.95</v>
      </c>
      <c r="AS59" s="1247">
        <v>3153.31</v>
      </c>
      <c r="AT59" s="1248">
        <v>0</v>
      </c>
      <c r="AU59" s="1248">
        <v>788.32</v>
      </c>
      <c r="AV59" s="1248">
        <v>0</v>
      </c>
      <c r="AW59" s="1248">
        <v>0</v>
      </c>
      <c r="AX59" s="1249">
        <v>3941.63</v>
      </c>
      <c r="AY59" s="1244"/>
      <c r="AZ59" s="1245"/>
      <c r="BA59" s="1245"/>
      <c r="BB59" s="1245"/>
      <c r="BC59" s="1245"/>
      <c r="BD59" s="1246"/>
      <c r="BE59" s="1247">
        <v>187.11</v>
      </c>
      <c r="BF59" s="1248">
        <v>0</v>
      </c>
      <c r="BG59" s="1248">
        <v>337.89</v>
      </c>
      <c r="BH59" s="1248">
        <v>0</v>
      </c>
      <c r="BI59" s="1248">
        <v>0</v>
      </c>
      <c r="BJ59" s="1249">
        <v>525</v>
      </c>
      <c r="BK59" s="1247">
        <v>16036.65</v>
      </c>
      <c r="BL59" s="1248">
        <v>0</v>
      </c>
      <c r="BM59" s="1248">
        <v>2031.31</v>
      </c>
      <c r="BN59" s="1248">
        <v>3314.24</v>
      </c>
      <c r="BO59" s="1248">
        <v>-0.01</v>
      </c>
      <c r="BP59" s="1249">
        <v>21382.19</v>
      </c>
      <c r="BQ59" s="1247">
        <v>43222</v>
      </c>
      <c r="BR59" s="1248">
        <v>0</v>
      </c>
      <c r="BS59" s="1248">
        <v>37711.699999999997</v>
      </c>
      <c r="BT59" s="1248">
        <v>5510.3</v>
      </c>
      <c r="BU59" s="1248">
        <v>0</v>
      </c>
      <c r="BV59" s="1249">
        <v>86444</v>
      </c>
      <c r="BW59" s="1247">
        <v>27790.82</v>
      </c>
      <c r="BX59" s="1248">
        <v>0</v>
      </c>
      <c r="BY59" s="1248">
        <v>19175.66</v>
      </c>
      <c r="BZ59" s="1248">
        <v>8615.15</v>
      </c>
      <c r="CA59" s="1248">
        <v>-0.11</v>
      </c>
      <c r="CB59" s="1249">
        <v>55581.52</v>
      </c>
      <c r="CC59" s="1247">
        <v>1887.78</v>
      </c>
      <c r="CD59" s="1248">
        <v>0</v>
      </c>
      <c r="CE59" s="1248">
        <v>0</v>
      </c>
      <c r="CF59" s="1248">
        <v>3327.08</v>
      </c>
      <c r="CG59" s="1248">
        <v>0</v>
      </c>
      <c r="CH59" s="1249">
        <v>5214.8599999999997</v>
      </c>
      <c r="CI59" s="1244"/>
      <c r="CJ59" s="1245"/>
      <c r="CK59" s="1245"/>
      <c r="CL59" s="1245"/>
      <c r="CM59" s="1245"/>
      <c r="CN59" s="1246"/>
      <c r="CO59" s="1244"/>
      <c r="CP59" s="1245"/>
      <c r="CQ59" s="1245"/>
      <c r="CR59" s="1245"/>
      <c r="CS59" s="1245"/>
      <c r="CT59" s="1246"/>
      <c r="CU59" s="1247">
        <v>947.5</v>
      </c>
      <c r="CV59" s="1248">
        <v>0</v>
      </c>
      <c r="CW59" s="1248">
        <v>758</v>
      </c>
      <c r="CX59" s="1248">
        <v>189.5</v>
      </c>
      <c r="CY59" s="1248">
        <v>0</v>
      </c>
      <c r="CZ59" s="1249">
        <v>1895</v>
      </c>
      <c r="DA59" s="1247">
        <v>61159.55</v>
      </c>
      <c r="DB59" s="1248">
        <v>0</v>
      </c>
      <c r="DC59" s="1248">
        <v>0</v>
      </c>
      <c r="DD59" s="1248">
        <v>0</v>
      </c>
      <c r="DE59" s="1248">
        <v>0</v>
      </c>
      <c r="DF59" s="1249">
        <v>61159.55</v>
      </c>
      <c r="DG59" s="1247">
        <v>3036.72</v>
      </c>
      <c r="DH59" s="1248">
        <v>0</v>
      </c>
      <c r="DI59" s="1248">
        <v>2095.33</v>
      </c>
      <c r="DJ59" s="1248">
        <v>941.38</v>
      </c>
      <c r="DK59" s="1248">
        <v>0</v>
      </c>
      <c r="DL59" s="1249">
        <v>6073.43</v>
      </c>
      <c r="DM59" s="1244"/>
      <c r="DN59" s="1245"/>
      <c r="DO59" s="1245"/>
      <c r="DP59" s="1245"/>
      <c r="DQ59" s="1245"/>
      <c r="DR59" s="1246"/>
      <c r="DS59" s="1244"/>
      <c r="DT59" s="1245"/>
      <c r="DU59" s="1245"/>
      <c r="DV59" s="1245"/>
      <c r="DW59" s="1245"/>
      <c r="DX59" s="1246"/>
    </row>
    <row r="60" spans="1:128" ht="15" customHeight="1">
      <c r="A60" s="1092" t="s">
        <v>137</v>
      </c>
      <c r="B60" s="1239" t="s">
        <v>138</v>
      </c>
      <c r="C60" s="1467" t="s">
        <v>273</v>
      </c>
      <c r="D60" s="1240">
        <f t="shared" si="5"/>
        <v>32766.33</v>
      </c>
      <c r="E60" s="1241">
        <f t="shared" si="4"/>
        <v>7347.93</v>
      </c>
      <c r="F60" s="1242">
        <f t="shared" si="6"/>
        <v>6494.1</v>
      </c>
      <c r="G60" s="1243">
        <f t="shared" si="7"/>
        <v>6494.14</v>
      </c>
      <c r="H60" s="1242">
        <f t="shared" si="7"/>
        <v>-4.0000000000000008E-2</v>
      </c>
      <c r="I60" s="1244"/>
      <c r="J60" s="1245"/>
      <c r="K60" s="1245"/>
      <c r="L60" s="1245"/>
      <c r="M60" s="1245"/>
      <c r="N60" s="1246"/>
      <c r="O60" s="1244"/>
      <c r="P60" s="1245"/>
      <c r="Q60" s="1245"/>
      <c r="R60" s="1245"/>
      <c r="S60" s="1245"/>
      <c r="T60" s="1246"/>
      <c r="U60" s="1247">
        <v>182.28</v>
      </c>
      <c r="V60" s="1248">
        <v>0</v>
      </c>
      <c r="W60" s="1248">
        <v>1.0900000000000001</v>
      </c>
      <c r="X60" s="1248">
        <v>33.64</v>
      </c>
      <c r="Y60" s="1248">
        <v>-0.01</v>
      </c>
      <c r="Z60" s="1249">
        <v>217</v>
      </c>
      <c r="AA60" s="1247">
        <v>11117.59</v>
      </c>
      <c r="AB60" s="1248">
        <v>0</v>
      </c>
      <c r="AC60" s="1248">
        <v>0</v>
      </c>
      <c r="AD60" s="1248">
        <v>2779.37</v>
      </c>
      <c r="AE60" s="1248">
        <v>0</v>
      </c>
      <c r="AF60" s="1249">
        <v>13896.96</v>
      </c>
      <c r="AG60" s="1244"/>
      <c r="AH60" s="1245"/>
      <c r="AI60" s="1245"/>
      <c r="AJ60" s="1245"/>
      <c r="AK60" s="1245"/>
      <c r="AL60" s="1246"/>
      <c r="AM60" s="1244"/>
      <c r="AN60" s="1245"/>
      <c r="AO60" s="1245"/>
      <c r="AP60" s="1245"/>
      <c r="AQ60" s="1245"/>
      <c r="AR60" s="1246"/>
      <c r="AS60" s="1244"/>
      <c r="AT60" s="1245"/>
      <c r="AU60" s="1245"/>
      <c r="AV60" s="1245"/>
      <c r="AW60" s="1245"/>
      <c r="AX60" s="1246"/>
      <c r="AY60" s="1244"/>
      <c r="AZ60" s="1245"/>
      <c r="BA60" s="1245"/>
      <c r="BB60" s="1245"/>
      <c r="BC60" s="1245"/>
      <c r="BD60" s="1246"/>
      <c r="BE60" s="1244"/>
      <c r="BF60" s="1245"/>
      <c r="BG60" s="1245"/>
      <c r="BH60" s="1245"/>
      <c r="BI60" s="1245"/>
      <c r="BJ60" s="1246"/>
      <c r="BK60" s="1244"/>
      <c r="BL60" s="1245"/>
      <c r="BM60" s="1245"/>
      <c r="BN60" s="1245"/>
      <c r="BO60" s="1245"/>
      <c r="BP60" s="1246"/>
      <c r="BQ60" s="1247">
        <v>1998</v>
      </c>
      <c r="BR60" s="1248">
        <v>0</v>
      </c>
      <c r="BS60" s="1248">
        <v>1735.4</v>
      </c>
      <c r="BT60" s="1248">
        <v>262.60000000000002</v>
      </c>
      <c r="BU60" s="1248">
        <v>0</v>
      </c>
      <c r="BV60" s="1249">
        <v>3996</v>
      </c>
      <c r="BW60" s="1247">
        <v>8230.86</v>
      </c>
      <c r="BX60" s="1248">
        <v>0</v>
      </c>
      <c r="BY60" s="1248">
        <v>3374.9</v>
      </c>
      <c r="BZ60" s="1248">
        <v>2128.88</v>
      </c>
      <c r="CA60" s="1248">
        <v>-0.04</v>
      </c>
      <c r="CB60" s="1249">
        <v>13734.6</v>
      </c>
      <c r="CC60" s="1244"/>
      <c r="CD60" s="1245"/>
      <c r="CE60" s="1245"/>
      <c r="CF60" s="1245"/>
      <c r="CG60" s="1245"/>
      <c r="CH60" s="1246"/>
      <c r="CI60" s="1244"/>
      <c r="CJ60" s="1245"/>
      <c r="CK60" s="1245"/>
      <c r="CL60" s="1245"/>
      <c r="CM60" s="1245"/>
      <c r="CN60" s="1246"/>
      <c r="CO60" s="1244"/>
      <c r="CP60" s="1245"/>
      <c r="CQ60" s="1245"/>
      <c r="CR60" s="1245"/>
      <c r="CS60" s="1245"/>
      <c r="CT60" s="1246"/>
      <c r="CU60" s="1247">
        <v>50</v>
      </c>
      <c r="CV60" s="1248">
        <v>0</v>
      </c>
      <c r="CW60" s="1248">
        <v>40</v>
      </c>
      <c r="CX60" s="1248">
        <v>10</v>
      </c>
      <c r="CY60" s="1248">
        <v>0</v>
      </c>
      <c r="CZ60" s="1249">
        <v>100</v>
      </c>
      <c r="DA60" s="1247">
        <v>6408</v>
      </c>
      <c r="DB60" s="1248">
        <v>0</v>
      </c>
      <c r="DC60" s="1248">
        <v>0</v>
      </c>
      <c r="DD60" s="1248">
        <v>0</v>
      </c>
      <c r="DE60" s="1248">
        <v>0</v>
      </c>
      <c r="DF60" s="1249">
        <v>6408</v>
      </c>
      <c r="DG60" s="1247">
        <v>3169.5</v>
      </c>
      <c r="DH60" s="1248">
        <v>0</v>
      </c>
      <c r="DI60" s="1248">
        <v>2186.96</v>
      </c>
      <c r="DJ60" s="1248">
        <v>982.55</v>
      </c>
      <c r="DK60" s="1248">
        <v>-0.01</v>
      </c>
      <c r="DL60" s="1249">
        <v>6339</v>
      </c>
      <c r="DM60" s="1247">
        <v>1610.1</v>
      </c>
      <c r="DN60" s="1248">
        <v>0</v>
      </c>
      <c r="DO60" s="1248">
        <v>9.58</v>
      </c>
      <c r="DP60" s="1248">
        <v>297.10000000000002</v>
      </c>
      <c r="DQ60" s="1248">
        <v>0.02</v>
      </c>
      <c r="DR60" s="1249">
        <v>1916.8</v>
      </c>
      <c r="DS60" s="1244"/>
      <c r="DT60" s="1245"/>
      <c r="DU60" s="1245"/>
      <c r="DV60" s="1245"/>
      <c r="DW60" s="1245"/>
      <c r="DX60" s="1246"/>
    </row>
    <row r="61" spans="1:128" ht="15" customHeight="1">
      <c r="A61" s="1092" t="s">
        <v>141</v>
      </c>
      <c r="B61" s="1239" t="s">
        <v>142</v>
      </c>
      <c r="C61" s="1467" t="s">
        <v>274</v>
      </c>
      <c r="D61" s="1240">
        <f t="shared" si="5"/>
        <v>86442.669999999984</v>
      </c>
      <c r="E61" s="1241">
        <f t="shared" si="4"/>
        <v>17973.41</v>
      </c>
      <c r="F61" s="1242">
        <f t="shared" si="6"/>
        <v>8820.4499999999989</v>
      </c>
      <c r="G61" s="1243">
        <f t="shared" si="7"/>
        <v>8820.6099999999988</v>
      </c>
      <c r="H61" s="1242">
        <f t="shared" si="7"/>
        <v>-0.16000000000000003</v>
      </c>
      <c r="I61" s="1244"/>
      <c r="J61" s="1245"/>
      <c r="K61" s="1245"/>
      <c r="L61" s="1245"/>
      <c r="M61" s="1245"/>
      <c r="N61" s="1246"/>
      <c r="O61" s="1244"/>
      <c r="P61" s="1245"/>
      <c r="Q61" s="1245"/>
      <c r="R61" s="1245"/>
      <c r="S61" s="1245"/>
      <c r="T61" s="1246"/>
      <c r="U61" s="1247">
        <v>1066.9100000000001</v>
      </c>
      <c r="V61" s="1248">
        <v>0</v>
      </c>
      <c r="W61" s="1248">
        <v>6.35</v>
      </c>
      <c r="X61" s="1248">
        <v>196.87</v>
      </c>
      <c r="Y61" s="1248">
        <v>0</v>
      </c>
      <c r="Z61" s="1249">
        <v>1270.1300000000001</v>
      </c>
      <c r="AA61" s="1247">
        <v>9778.93</v>
      </c>
      <c r="AB61" s="1248">
        <v>0</v>
      </c>
      <c r="AC61" s="1248">
        <v>0</v>
      </c>
      <c r="AD61" s="1248">
        <v>2444.7399999999998</v>
      </c>
      <c r="AE61" s="1248">
        <v>0</v>
      </c>
      <c r="AF61" s="1249">
        <v>12223.67</v>
      </c>
      <c r="AG61" s="1244"/>
      <c r="AH61" s="1245"/>
      <c r="AI61" s="1245"/>
      <c r="AJ61" s="1245"/>
      <c r="AK61" s="1245"/>
      <c r="AL61" s="1246"/>
      <c r="AM61" s="1247">
        <v>180.62</v>
      </c>
      <c r="AN61" s="1248">
        <v>0</v>
      </c>
      <c r="AO61" s="1248">
        <v>45.15</v>
      </c>
      <c r="AP61" s="1248">
        <v>0</v>
      </c>
      <c r="AQ61" s="1248">
        <v>0</v>
      </c>
      <c r="AR61" s="1249">
        <v>225.77</v>
      </c>
      <c r="AS61" s="1247">
        <v>2575.1</v>
      </c>
      <c r="AT61" s="1248">
        <v>0</v>
      </c>
      <c r="AU61" s="1248">
        <v>643.78</v>
      </c>
      <c r="AV61" s="1248">
        <v>0</v>
      </c>
      <c r="AW61" s="1248">
        <v>0</v>
      </c>
      <c r="AX61" s="1249">
        <v>3218.88</v>
      </c>
      <c r="AY61" s="1244"/>
      <c r="AZ61" s="1245"/>
      <c r="BA61" s="1245"/>
      <c r="BB61" s="1245"/>
      <c r="BC61" s="1245"/>
      <c r="BD61" s="1246"/>
      <c r="BE61" s="1247">
        <v>1024.23</v>
      </c>
      <c r="BF61" s="1248">
        <v>0</v>
      </c>
      <c r="BG61" s="1248">
        <v>1849.57</v>
      </c>
      <c r="BH61" s="1248">
        <v>0</v>
      </c>
      <c r="BI61" s="1248">
        <v>0</v>
      </c>
      <c r="BJ61" s="1249">
        <v>2873.8</v>
      </c>
      <c r="BK61" s="1247">
        <v>12669.13</v>
      </c>
      <c r="BL61" s="1248">
        <v>0</v>
      </c>
      <c r="BM61" s="1248">
        <v>1604.78</v>
      </c>
      <c r="BN61" s="1248">
        <v>2618.31</v>
      </c>
      <c r="BO61" s="1248">
        <v>-7.0000000000000007E-2</v>
      </c>
      <c r="BP61" s="1249">
        <v>16892.150000000001</v>
      </c>
      <c r="BQ61" s="1247">
        <v>10842.2</v>
      </c>
      <c r="BR61" s="1248">
        <v>0</v>
      </c>
      <c r="BS61" s="1248">
        <v>9445.92</v>
      </c>
      <c r="BT61" s="1248">
        <v>1396.28</v>
      </c>
      <c r="BU61" s="1248">
        <v>0</v>
      </c>
      <c r="BV61" s="1249">
        <v>21684.400000000001</v>
      </c>
      <c r="BW61" s="1247">
        <v>3501.84</v>
      </c>
      <c r="BX61" s="1248">
        <v>0</v>
      </c>
      <c r="BY61" s="1248">
        <v>2121.75</v>
      </c>
      <c r="BZ61" s="1248">
        <v>1031.57</v>
      </c>
      <c r="CA61" s="1248">
        <v>-0.08</v>
      </c>
      <c r="CB61" s="1249">
        <v>6655.08</v>
      </c>
      <c r="CC61" s="1244"/>
      <c r="CD61" s="1245"/>
      <c r="CE61" s="1245"/>
      <c r="CF61" s="1245"/>
      <c r="CG61" s="1245"/>
      <c r="CH61" s="1246"/>
      <c r="CI61" s="1244"/>
      <c r="CJ61" s="1245"/>
      <c r="CK61" s="1245"/>
      <c r="CL61" s="1245"/>
      <c r="CM61" s="1245"/>
      <c r="CN61" s="1246"/>
      <c r="CO61" s="1247">
        <v>4107.3999999999996</v>
      </c>
      <c r="CP61" s="1248">
        <v>0</v>
      </c>
      <c r="CQ61" s="1248">
        <v>0</v>
      </c>
      <c r="CR61" s="1248">
        <v>0</v>
      </c>
      <c r="CS61" s="1248">
        <v>0</v>
      </c>
      <c r="CT61" s="1249">
        <v>4107.3999999999996</v>
      </c>
      <c r="CU61" s="1244"/>
      <c r="CV61" s="1245"/>
      <c r="CW61" s="1245"/>
      <c r="CX61" s="1245"/>
      <c r="CY61" s="1245"/>
      <c r="CZ61" s="1246"/>
      <c r="DA61" s="1247">
        <v>36776.6</v>
      </c>
      <c r="DB61" s="1248">
        <v>0</v>
      </c>
      <c r="DC61" s="1248">
        <v>0</v>
      </c>
      <c r="DD61" s="1248">
        <v>0</v>
      </c>
      <c r="DE61" s="1248">
        <v>0</v>
      </c>
      <c r="DF61" s="1249">
        <v>36776.6</v>
      </c>
      <c r="DG61" s="1247">
        <v>3264.06</v>
      </c>
      <c r="DH61" s="1248">
        <v>0</v>
      </c>
      <c r="DI61" s="1248">
        <v>2252.1999999999998</v>
      </c>
      <c r="DJ61" s="1248">
        <v>1011.85</v>
      </c>
      <c r="DK61" s="1248">
        <v>0</v>
      </c>
      <c r="DL61" s="1249">
        <v>6528.11</v>
      </c>
      <c r="DM61" s="1247">
        <v>655.65</v>
      </c>
      <c r="DN61" s="1248">
        <v>0</v>
      </c>
      <c r="DO61" s="1248">
        <v>3.91</v>
      </c>
      <c r="DP61" s="1248">
        <v>120.99</v>
      </c>
      <c r="DQ61" s="1248">
        <v>-0.01</v>
      </c>
      <c r="DR61" s="1249">
        <v>780.54</v>
      </c>
      <c r="DS61" s="1244"/>
      <c r="DT61" s="1245"/>
      <c r="DU61" s="1245"/>
      <c r="DV61" s="1245"/>
      <c r="DW61" s="1245"/>
      <c r="DX61" s="1246"/>
    </row>
    <row r="62" spans="1:128" ht="15" customHeight="1">
      <c r="A62" s="1092" t="s">
        <v>147</v>
      </c>
      <c r="B62" s="1239" t="s">
        <v>148</v>
      </c>
      <c r="C62" s="1467" t="s">
        <v>271</v>
      </c>
      <c r="D62" s="1240">
        <f t="shared" si="5"/>
        <v>71785.73</v>
      </c>
      <c r="E62" s="1241">
        <f t="shared" si="4"/>
        <v>7950.24</v>
      </c>
      <c r="F62" s="1242">
        <f t="shared" si="6"/>
        <v>9118.4600000000009</v>
      </c>
      <c r="G62" s="1243">
        <f t="shared" si="7"/>
        <v>9118.4500000000007</v>
      </c>
      <c r="H62" s="1242">
        <f t="shared" si="7"/>
        <v>1.0000000000000002E-2</v>
      </c>
      <c r="I62" s="1244"/>
      <c r="J62" s="1245"/>
      <c r="K62" s="1245"/>
      <c r="L62" s="1245"/>
      <c r="M62" s="1245"/>
      <c r="N62" s="1246"/>
      <c r="O62" s="1244"/>
      <c r="P62" s="1245"/>
      <c r="Q62" s="1245"/>
      <c r="R62" s="1245"/>
      <c r="S62" s="1245"/>
      <c r="T62" s="1246"/>
      <c r="U62" s="1247">
        <v>997.98</v>
      </c>
      <c r="V62" s="1248">
        <v>0</v>
      </c>
      <c r="W62" s="1248">
        <v>5.94</v>
      </c>
      <c r="X62" s="1248">
        <v>184.15</v>
      </c>
      <c r="Y62" s="1248">
        <v>0</v>
      </c>
      <c r="Z62" s="1249">
        <v>1188.07</v>
      </c>
      <c r="AA62" s="1247">
        <v>11282</v>
      </c>
      <c r="AB62" s="1248">
        <v>0</v>
      </c>
      <c r="AC62" s="1248">
        <v>0</v>
      </c>
      <c r="AD62" s="1248">
        <v>2820.5</v>
      </c>
      <c r="AE62" s="1248">
        <v>0</v>
      </c>
      <c r="AF62" s="1249">
        <v>14102.5</v>
      </c>
      <c r="AG62" s="1244"/>
      <c r="AH62" s="1245"/>
      <c r="AI62" s="1245"/>
      <c r="AJ62" s="1245"/>
      <c r="AK62" s="1245"/>
      <c r="AL62" s="1246"/>
      <c r="AM62" s="1244"/>
      <c r="AN62" s="1245"/>
      <c r="AO62" s="1245"/>
      <c r="AP62" s="1245"/>
      <c r="AQ62" s="1245"/>
      <c r="AR62" s="1246"/>
      <c r="AS62" s="1244"/>
      <c r="AT62" s="1245"/>
      <c r="AU62" s="1245"/>
      <c r="AV62" s="1245"/>
      <c r="AW62" s="1245"/>
      <c r="AX62" s="1246"/>
      <c r="AY62" s="1244"/>
      <c r="AZ62" s="1245"/>
      <c r="BA62" s="1245"/>
      <c r="BB62" s="1245"/>
      <c r="BC62" s="1245"/>
      <c r="BD62" s="1246"/>
      <c r="BE62" s="1244"/>
      <c r="BF62" s="1245"/>
      <c r="BG62" s="1245"/>
      <c r="BH62" s="1245"/>
      <c r="BI62" s="1245"/>
      <c r="BJ62" s="1246"/>
      <c r="BK62" s="1247">
        <v>12675.67</v>
      </c>
      <c r="BL62" s="1248">
        <v>0</v>
      </c>
      <c r="BM62" s="1248">
        <v>1605.6</v>
      </c>
      <c r="BN62" s="1248">
        <v>2619.64</v>
      </c>
      <c r="BO62" s="1248">
        <v>-0.02</v>
      </c>
      <c r="BP62" s="1249">
        <v>16900.89</v>
      </c>
      <c r="BQ62" s="1247">
        <v>2384</v>
      </c>
      <c r="BR62" s="1248">
        <v>0</v>
      </c>
      <c r="BS62" s="1248">
        <v>2018.2</v>
      </c>
      <c r="BT62" s="1248">
        <v>365.8</v>
      </c>
      <c r="BU62" s="1248">
        <v>0</v>
      </c>
      <c r="BV62" s="1249">
        <v>4768</v>
      </c>
      <c r="BW62" s="1247">
        <v>1529.74</v>
      </c>
      <c r="BX62" s="1248">
        <v>0</v>
      </c>
      <c r="BY62" s="1248">
        <v>1055.52</v>
      </c>
      <c r="BZ62" s="1248">
        <v>474.21</v>
      </c>
      <c r="CA62" s="1248">
        <v>-0.01</v>
      </c>
      <c r="CB62" s="1249">
        <v>3059.46</v>
      </c>
      <c r="CC62" s="1247">
        <v>737.94</v>
      </c>
      <c r="CD62" s="1248">
        <v>0</v>
      </c>
      <c r="CE62" s="1248">
        <v>0</v>
      </c>
      <c r="CF62" s="1248">
        <v>1300.57</v>
      </c>
      <c r="CG62" s="1248">
        <v>0</v>
      </c>
      <c r="CH62" s="1249">
        <v>2038.51</v>
      </c>
      <c r="CI62" s="1244"/>
      <c r="CJ62" s="1245"/>
      <c r="CK62" s="1245"/>
      <c r="CL62" s="1245"/>
      <c r="CM62" s="1245"/>
      <c r="CN62" s="1246"/>
      <c r="CO62" s="1244"/>
      <c r="CP62" s="1245"/>
      <c r="CQ62" s="1245"/>
      <c r="CR62" s="1245"/>
      <c r="CS62" s="1245"/>
      <c r="CT62" s="1246"/>
      <c r="CU62" s="1247">
        <v>476</v>
      </c>
      <c r="CV62" s="1248">
        <v>0</v>
      </c>
      <c r="CW62" s="1248">
        <v>418.2</v>
      </c>
      <c r="CX62" s="1248">
        <v>57.8</v>
      </c>
      <c r="CY62" s="1248">
        <v>0</v>
      </c>
      <c r="CZ62" s="1249">
        <v>952</v>
      </c>
      <c r="DA62" s="1247">
        <v>37485</v>
      </c>
      <c r="DB62" s="1248">
        <v>0</v>
      </c>
      <c r="DC62" s="1248">
        <v>0</v>
      </c>
      <c r="DD62" s="1248">
        <v>0</v>
      </c>
      <c r="DE62" s="1248">
        <v>0</v>
      </c>
      <c r="DF62" s="1249">
        <v>37485</v>
      </c>
      <c r="DG62" s="1247">
        <v>4125</v>
      </c>
      <c r="DH62" s="1248">
        <v>0</v>
      </c>
      <c r="DI62" s="1248">
        <v>2846.25</v>
      </c>
      <c r="DJ62" s="1248">
        <v>1278.75</v>
      </c>
      <c r="DK62" s="1248">
        <v>0</v>
      </c>
      <c r="DL62" s="1249">
        <v>8250</v>
      </c>
      <c r="DM62" s="1247">
        <v>92.4</v>
      </c>
      <c r="DN62" s="1248">
        <v>0</v>
      </c>
      <c r="DO62" s="1248">
        <v>0.53</v>
      </c>
      <c r="DP62" s="1248">
        <v>17.03</v>
      </c>
      <c r="DQ62" s="1248">
        <v>0.04</v>
      </c>
      <c r="DR62" s="1249">
        <v>110</v>
      </c>
      <c r="DS62" s="1244"/>
      <c r="DT62" s="1245"/>
      <c r="DU62" s="1245"/>
      <c r="DV62" s="1245"/>
      <c r="DW62" s="1245"/>
      <c r="DX62" s="1246"/>
    </row>
    <row r="63" spans="1:128" ht="15" customHeight="1">
      <c r="A63" s="1092" t="s">
        <v>149</v>
      </c>
      <c r="B63" s="1239" t="s">
        <v>150</v>
      </c>
      <c r="C63" s="1467" t="s">
        <v>272</v>
      </c>
      <c r="D63" s="1240">
        <f t="shared" si="5"/>
        <v>150358.72</v>
      </c>
      <c r="E63" s="1241">
        <f t="shared" si="4"/>
        <v>52588.66</v>
      </c>
      <c r="F63" s="1242">
        <f t="shared" si="6"/>
        <v>30030.91</v>
      </c>
      <c r="G63" s="1243">
        <f t="shared" si="7"/>
        <v>29688.29</v>
      </c>
      <c r="H63" s="1242">
        <f t="shared" si="7"/>
        <v>342.62</v>
      </c>
      <c r="I63" s="1244"/>
      <c r="J63" s="1245"/>
      <c r="K63" s="1245"/>
      <c r="L63" s="1245"/>
      <c r="M63" s="1245"/>
      <c r="N63" s="1246"/>
      <c r="O63" s="1244"/>
      <c r="P63" s="1245"/>
      <c r="Q63" s="1245"/>
      <c r="R63" s="1245"/>
      <c r="S63" s="1245"/>
      <c r="T63" s="1246"/>
      <c r="U63" s="1247">
        <v>6158.61</v>
      </c>
      <c r="V63" s="1248">
        <v>0</v>
      </c>
      <c r="W63" s="1248">
        <v>36.67</v>
      </c>
      <c r="X63" s="1248">
        <v>1136.42</v>
      </c>
      <c r="Y63" s="1248">
        <v>-0.02</v>
      </c>
      <c r="Z63" s="1249">
        <v>7331.68</v>
      </c>
      <c r="AA63" s="1247">
        <v>15499.6</v>
      </c>
      <c r="AB63" s="1248">
        <v>0</v>
      </c>
      <c r="AC63" s="1248">
        <v>0</v>
      </c>
      <c r="AD63" s="1248">
        <v>3874.93</v>
      </c>
      <c r="AE63" s="1248">
        <v>0</v>
      </c>
      <c r="AF63" s="1249">
        <v>19374.53</v>
      </c>
      <c r="AG63" s="1244"/>
      <c r="AH63" s="1245"/>
      <c r="AI63" s="1245"/>
      <c r="AJ63" s="1245"/>
      <c r="AK63" s="1245"/>
      <c r="AL63" s="1246"/>
      <c r="AM63" s="1244"/>
      <c r="AN63" s="1245"/>
      <c r="AO63" s="1245"/>
      <c r="AP63" s="1245"/>
      <c r="AQ63" s="1245"/>
      <c r="AR63" s="1246"/>
      <c r="AS63" s="1244"/>
      <c r="AT63" s="1245"/>
      <c r="AU63" s="1245"/>
      <c r="AV63" s="1245"/>
      <c r="AW63" s="1245"/>
      <c r="AX63" s="1246"/>
      <c r="AY63" s="1244"/>
      <c r="AZ63" s="1245"/>
      <c r="BA63" s="1245"/>
      <c r="BB63" s="1245"/>
      <c r="BC63" s="1245"/>
      <c r="BD63" s="1246"/>
      <c r="BE63" s="1244"/>
      <c r="BF63" s="1245"/>
      <c r="BG63" s="1245"/>
      <c r="BH63" s="1245"/>
      <c r="BI63" s="1245"/>
      <c r="BJ63" s="1246"/>
      <c r="BK63" s="1247">
        <v>18702.7</v>
      </c>
      <c r="BL63" s="1248">
        <v>0</v>
      </c>
      <c r="BM63" s="1248">
        <v>2369</v>
      </c>
      <c r="BN63" s="1248">
        <v>3865.24</v>
      </c>
      <c r="BO63" s="1248">
        <v>-7.0000000000000007E-2</v>
      </c>
      <c r="BP63" s="1249">
        <v>24936.87</v>
      </c>
      <c r="BQ63" s="1247">
        <v>19313.8</v>
      </c>
      <c r="BR63" s="1248">
        <v>0</v>
      </c>
      <c r="BS63" s="1248">
        <v>16071.64</v>
      </c>
      <c r="BT63" s="1248">
        <v>3242.16</v>
      </c>
      <c r="BU63" s="1248">
        <v>0</v>
      </c>
      <c r="BV63" s="1249">
        <v>38627.599999999999</v>
      </c>
      <c r="BW63" s="1247">
        <v>47483.39</v>
      </c>
      <c r="BX63" s="1248">
        <v>0</v>
      </c>
      <c r="BY63" s="1248">
        <v>32684.91</v>
      </c>
      <c r="BZ63" s="1248">
        <v>14705.48</v>
      </c>
      <c r="CA63" s="1248">
        <v>-0.22</v>
      </c>
      <c r="CB63" s="1249">
        <v>94873.56</v>
      </c>
      <c r="CC63" s="1247">
        <v>760.66</v>
      </c>
      <c r="CD63" s="1248">
        <v>0</v>
      </c>
      <c r="CE63" s="1248">
        <v>0</v>
      </c>
      <c r="CF63" s="1248">
        <v>1340.59</v>
      </c>
      <c r="CG63" s="1248">
        <v>0</v>
      </c>
      <c r="CH63" s="1249">
        <v>2101.25</v>
      </c>
      <c r="CI63" s="1244"/>
      <c r="CJ63" s="1245"/>
      <c r="CK63" s="1245"/>
      <c r="CL63" s="1245"/>
      <c r="CM63" s="1245"/>
      <c r="CN63" s="1246"/>
      <c r="CO63" s="1244"/>
      <c r="CP63" s="1245"/>
      <c r="CQ63" s="1245"/>
      <c r="CR63" s="1245"/>
      <c r="CS63" s="1245"/>
      <c r="CT63" s="1246"/>
      <c r="CU63" s="1244"/>
      <c r="CV63" s="1245"/>
      <c r="CW63" s="1245"/>
      <c r="CX63" s="1245"/>
      <c r="CY63" s="1245"/>
      <c r="CZ63" s="1246"/>
      <c r="DA63" s="1247">
        <v>35561</v>
      </c>
      <c r="DB63" s="1248">
        <v>0</v>
      </c>
      <c r="DC63" s="1248">
        <v>0</v>
      </c>
      <c r="DD63" s="1248">
        <v>0</v>
      </c>
      <c r="DE63" s="1248">
        <v>0</v>
      </c>
      <c r="DF63" s="1249">
        <v>35561</v>
      </c>
      <c r="DG63" s="1247">
        <v>2025.44</v>
      </c>
      <c r="DH63" s="1248">
        <v>0</v>
      </c>
      <c r="DI63" s="1248">
        <v>1397.55</v>
      </c>
      <c r="DJ63" s="1248">
        <v>627.88</v>
      </c>
      <c r="DK63" s="1248">
        <v>0</v>
      </c>
      <c r="DL63" s="1249">
        <v>4050.87</v>
      </c>
      <c r="DM63" s="1247">
        <v>4853.5200000000004</v>
      </c>
      <c r="DN63" s="1248">
        <v>0</v>
      </c>
      <c r="DO63" s="1248">
        <v>28.89</v>
      </c>
      <c r="DP63" s="1248">
        <v>895.59</v>
      </c>
      <c r="DQ63" s="1248">
        <v>342.93</v>
      </c>
      <c r="DR63" s="1249">
        <v>6120.93</v>
      </c>
      <c r="DS63" s="1244"/>
      <c r="DT63" s="1245"/>
      <c r="DU63" s="1245"/>
      <c r="DV63" s="1245"/>
      <c r="DW63" s="1245"/>
      <c r="DX63" s="1246"/>
    </row>
    <row r="64" spans="1:128" ht="15" customHeight="1">
      <c r="A64" s="1092" t="s">
        <v>151</v>
      </c>
      <c r="B64" s="1239" t="s">
        <v>152</v>
      </c>
      <c r="C64" s="1467" t="s">
        <v>273</v>
      </c>
      <c r="D64" s="1240">
        <f t="shared" si="5"/>
        <v>94578.619999999981</v>
      </c>
      <c r="E64" s="1241">
        <f t="shared" si="4"/>
        <v>27899.39</v>
      </c>
      <c r="F64" s="1242">
        <f t="shared" si="6"/>
        <v>15852.689999999997</v>
      </c>
      <c r="G64" s="1243">
        <f t="shared" si="7"/>
        <v>15564.719999999998</v>
      </c>
      <c r="H64" s="1242">
        <f t="shared" si="7"/>
        <v>287.96999999999997</v>
      </c>
      <c r="I64" s="1244"/>
      <c r="J64" s="1245"/>
      <c r="K64" s="1245"/>
      <c r="L64" s="1245"/>
      <c r="M64" s="1245"/>
      <c r="N64" s="1246"/>
      <c r="O64" s="1244"/>
      <c r="P64" s="1245"/>
      <c r="Q64" s="1245"/>
      <c r="R64" s="1245"/>
      <c r="S64" s="1245"/>
      <c r="T64" s="1246"/>
      <c r="U64" s="1247">
        <v>1305.3499999999999</v>
      </c>
      <c r="V64" s="1248">
        <v>0</v>
      </c>
      <c r="W64" s="1248">
        <v>7.77</v>
      </c>
      <c r="X64" s="1248">
        <v>240.87</v>
      </c>
      <c r="Y64" s="1248">
        <v>0.01</v>
      </c>
      <c r="Z64" s="1249">
        <v>1554</v>
      </c>
      <c r="AA64" s="1247">
        <v>17750</v>
      </c>
      <c r="AB64" s="1248">
        <v>0</v>
      </c>
      <c r="AC64" s="1248">
        <v>0</v>
      </c>
      <c r="AD64" s="1248">
        <v>4437.5</v>
      </c>
      <c r="AE64" s="1248">
        <v>0</v>
      </c>
      <c r="AF64" s="1249">
        <v>22187.5</v>
      </c>
      <c r="AG64" s="1244"/>
      <c r="AH64" s="1245"/>
      <c r="AI64" s="1245"/>
      <c r="AJ64" s="1245"/>
      <c r="AK64" s="1245"/>
      <c r="AL64" s="1246"/>
      <c r="AM64" s="1247">
        <v>366.26</v>
      </c>
      <c r="AN64" s="1248">
        <v>0</v>
      </c>
      <c r="AO64" s="1248">
        <v>91.57</v>
      </c>
      <c r="AP64" s="1248">
        <v>0</v>
      </c>
      <c r="AQ64" s="1248">
        <v>0</v>
      </c>
      <c r="AR64" s="1249">
        <v>457.83</v>
      </c>
      <c r="AS64" s="1247">
        <v>1031.8599999999999</v>
      </c>
      <c r="AT64" s="1248">
        <v>0</v>
      </c>
      <c r="AU64" s="1248">
        <v>257.97000000000003</v>
      </c>
      <c r="AV64" s="1248">
        <v>0</v>
      </c>
      <c r="AW64" s="1248">
        <v>0</v>
      </c>
      <c r="AX64" s="1249">
        <v>1289.83</v>
      </c>
      <c r="AY64" s="1244"/>
      <c r="AZ64" s="1245"/>
      <c r="BA64" s="1245"/>
      <c r="BB64" s="1245"/>
      <c r="BC64" s="1245"/>
      <c r="BD64" s="1246"/>
      <c r="BE64" s="1244"/>
      <c r="BF64" s="1245"/>
      <c r="BG64" s="1245"/>
      <c r="BH64" s="1245"/>
      <c r="BI64" s="1245"/>
      <c r="BJ64" s="1246"/>
      <c r="BK64" s="1247">
        <v>13112.81</v>
      </c>
      <c r="BL64" s="1248">
        <v>0</v>
      </c>
      <c r="BM64" s="1248">
        <v>1660.96</v>
      </c>
      <c r="BN64" s="1248">
        <v>2709.97</v>
      </c>
      <c r="BO64" s="1248">
        <v>-0.02</v>
      </c>
      <c r="BP64" s="1249">
        <v>17483.72</v>
      </c>
      <c r="BQ64" s="1247">
        <v>16504.5</v>
      </c>
      <c r="BR64" s="1248">
        <v>0</v>
      </c>
      <c r="BS64" s="1248">
        <v>14189.2</v>
      </c>
      <c r="BT64" s="1248">
        <v>2315.3000000000002</v>
      </c>
      <c r="BU64" s="1248">
        <v>288</v>
      </c>
      <c r="BV64" s="1249">
        <v>33297</v>
      </c>
      <c r="BW64" s="1247">
        <v>13790.13</v>
      </c>
      <c r="BX64" s="1248">
        <v>0</v>
      </c>
      <c r="BY64" s="1248">
        <v>9413.66</v>
      </c>
      <c r="BZ64" s="1248">
        <v>4256.3</v>
      </c>
      <c r="CA64" s="1248">
        <v>-0.05</v>
      </c>
      <c r="CB64" s="1249">
        <v>27460.04</v>
      </c>
      <c r="CC64" s="1247">
        <v>307.7</v>
      </c>
      <c r="CD64" s="1248">
        <v>0</v>
      </c>
      <c r="CE64" s="1248">
        <v>0</v>
      </c>
      <c r="CF64" s="1248">
        <v>542.29999999999995</v>
      </c>
      <c r="CG64" s="1248">
        <v>0</v>
      </c>
      <c r="CH64" s="1249">
        <v>850</v>
      </c>
      <c r="CI64" s="1244"/>
      <c r="CJ64" s="1245"/>
      <c r="CK64" s="1245"/>
      <c r="CL64" s="1245"/>
      <c r="CM64" s="1245"/>
      <c r="CN64" s="1246"/>
      <c r="CO64" s="1247">
        <v>6718</v>
      </c>
      <c r="CP64" s="1248">
        <v>0</v>
      </c>
      <c r="CQ64" s="1248">
        <v>0</v>
      </c>
      <c r="CR64" s="1248">
        <v>0</v>
      </c>
      <c r="CS64" s="1248">
        <v>0</v>
      </c>
      <c r="CT64" s="1249">
        <v>6718</v>
      </c>
      <c r="CU64" s="1244"/>
      <c r="CV64" s="1245"/>
      <c r="CW64" s="1245"/>
      <c r="CX64" s="1245"/>
      <c r="CY64" s="1245"/>
      <c r="CZ64" s="1246"/>
      <c r="DA64" s="1247">
        <v>20178</v>
      </c>
      <c r="DB64" s="1248">
        <v>0</v>
      </c>
      <c r="DC64" s="1248">
        <v>0</v>
      </c>
      <c r="DD64" s="1248">
        <v>0</v>
      </c>
      <c r="DE64" s="1248">
        <v>0</v>
      </c>
      <c r="DF64" s="1249">
        <v>20178</v>
      </c>
      <c r="DG64" s="1247">
        <v>3300</v>
      </c>
      <c r="DH64" s="1248">
        <v>0</v>
      </c>
      <c r="DI64" s="1248">
        <v>2277</v>
      </c>
      <c r="DJ64" s="1248">
        <v>1023</v>
      </c>
      <c r="DK64" s="1248">
        <v>0</v>
      </c>
      <c r="DL64" s="1249">
        <v>6600</v>
      </c>
      <c r="DM64" s="1247">
        <v>214.01</v>
      </c>
      <c r="DN64" s="1248">
        <v>0</v>
      </c>
      <c r="DO64" s="1248">
        <v>1.26</v>
      </c>
      <c r="DP64" s="1248">
        <v>39.479999999999997</v>
      </c>
      <c r="DQ64" s="1248">
        <v>0.03</v>
      </c>
      <c r="DR64" s="1249">
        <v>254.78</v>
      </c>
      <c r="DS64" s="1244"/>
      <c r="DT64" s="1245"/>
      <c r="DU64" s="1245"/>
      <c r="DV64" s="1245"/>
      <c r="DW64" s="1245"/>
      <c r="DX64" s="1246"/>
    </row>
    <row r="65" spans="1:128" ht="15" customHeight="1">
      <c r="A65" s="1092" t="s">
        <v>153</v>
      </c>
      <c r="B65" s="1239" t="s">
        <v>154</v>
      </c>
      <c r="C65" s="1467" t="s">
        <v>275</v>
      </c>
      <c r="D65" s="1240">
        <f t="shared" si="5"/>
        <v>392875.04</v>
      </c>
      <c r="E65" s="1241">
        <f t="shared" si="4"/>
        <v>118247.2</v>
      </c>
      <c r="F65" s="1242">
        <f t="shared" si="6"/>
        <v>56480.36</v>
      </c>
      <c r="G65" s="1243">
        <f t="shared" si="7"/>
        <v>56475.43</v>
      </c>
      <c r="H65" s="1242">
        <f t="shared" si="7"/>
        <v>4.93</v>
      </c>
      <c r="I65" s="1247">
        <v>0</v>
      </c>
      <c r="J65" s="1248">
        <v>0</v>
      </c>
      <c r="K65" s="1248">
        <v>2105</v>
      </c>
      <c r="L65" s="1248">
        <v>0</v>
      </c>
      <c r="M65" s="1248">
        <v>0</v>
      </c>
      <c r="N65" s="1249">
        <v>2105</v>
      </c>
      <c r="O65" s="1247">
        <v>0</v>
      </c>
      <c r="P65" s="1248">
        <v>0</v>
      </c>
      <c r="Q65" s="1248">
        <v>0</v>
      </c>
      <c r="R65" s="1248">
        <v>0</v>
      </c>
      <c r="S65" s="1248">
        <v>5</v>
      </c>
      <c r="T65" s="1249">
        <v>5</v>
      </c>
      <c r="U65" s="1247">
        <v>9722.57</v>
      </c>
      <c r="V65" s="1248">
        <v>0</v>
      </c>
      <c r="W65" s="1248">
        <v>57.89</v>
      </c>
      <c r="X65" s="1248">
        <v>1794.04</v>
      </c>
      <c r="Y65" s="1248">
        <v>-0.01</v>
      </c>
      <c r="Z65" s="1249">
        <v>11574.49</v>
      </c>
      <c r="AA65" s="1247">
        <v>39992.06</v>
      </c>
      <c r="AB65" s="1248">
        <v>0</v>
      </c>
      <c r="AC65" s="1248">
        <v>0</v>
      </c>
      <c r="AD65" s="1248">
        <v>9997.99</v>
      </c>
      <c r="AE65" s="1248">
        <v>0</v>
      </c>
      <c r="AF65" s="1249">
        <v>49990.05</v>
      </c>
      <c r="AG65" s="1244"/>
      <c r="AH65" s="1245"/>
      <c r="AI65" s="1245"/>
      <c r="AJ65" s="1245"/>
      <c r="AK65" s="1245"/>
      <c r="AL65" s="1246"/>
      <c r="AM65" s="1247">
        <v>6773.34</v>
      </c>
      <c r="AN65" s="1248">
        <v>0</v>
      </c>
      <c r="AO65" s="1248">
        <v>1693.34</v>
      </c>
      <c r="AP65" s="1248">
        <v>0</v>
      </c>
      <c r="AQ65" s="1248">
        <v>0</v>
      </c>
      <c r="AR65" s="1249">
        <v>8466.68</v>
      </c>
      <c r="AS65" s="1247">
        <v>4131.92</v>
      </c>
      <c r="AT65" s="1248">
        <v>0</v>
      </c>
      <c r="AU65" s="1248">
        <v>1032.97</v>
      </c>
      <c r="AV65" s="1248">
        <v>0</v>
      </c>
      <c r="AW65" s="1248">
        <v>0</v>
      </c>
      <c r="AX65" s="1249">
        <v>5164.8900000000003</v>
      </c>
      <c r="AY65" s="1244"/>
      <c r="AZ65" s="1245"/>
      <c r="BA65" s="1245"/>
      <c r="BB65" s="1245"/>
      <c r="BC65" s="1245"/>
      <c r="BD65" s="1246"/>
      <c r="BE65" s="1247">
        <v>233.13</v>
      </c>
      <c r="BF65" s="1248">
        <v>0</v>
      </c>
      <c r="BG65" s="1248">
        <v>421.01</v>
      </c>
      <c r="BH65" s="1248">
        <v>0</v>
      </c>
      <c r="BI65" s="1248">
        <v>0</v>
      </c>
      <c r="BJ65" s="1249">
        <v>654.14</v>
      </c>
      <c r="BK65" s="1247">
        <v>31041.02</v>
      </c>
      <c r="BL65" s="1248">
        <v>0</v>
      </c>
      <c r="BM65" s="1248">
        <v>3931.87</v>
      </c>
      <c r="BN65" s="1248">
        <v>6415.14</v>
      </c>
      <c r="BO65" s="1248">
        <v>-0.03</v>
      </c>
      <c r="BP65" s="1249">
        <v>41388</v>
      </c>
      <c r="BQ65" s="1247">
        <v>70600.25</v>
      </c>
      <c r="BR65" s="1248">
        <v>0</v>
      </c>
      <c r="BS65" s="1248">
        <v>56985.5</v>
      </c>
      <c r="BT65" s="1248">
        <v>13614.75</v>
      </c>
      <c r="BU65" s="1248">
        <v>0</v>
      </c>
      <c r="BV65" s="1249">
        <v>141200.5</v>
      </c>
      <c r="BW65" s="1247">
        <v>67910.009999999995</v>
      </c>
      <c r="BX65" s="1248">
        <v>0</v>
      </c>
      <c r="BY65" s="1248">
        <v>46054.79</v>
      </c>
      <c r="BZ65" s="1248">
        <v>20904.79</v>
      </c>
      <c r="CA65" s="1248">
        <v>-0.05</v>
      </c>
      <c r="CB65" s="1249">
        <v>134869.54</v>
      </c>
      <c r="CC65" s="1244"/>
      <c r="CD65" s="1245"/>
      <c r="CE65" s="1245"/>
      <c r="CF65" s="1245"/>
      <c r="CG65" s="1245"/>
      <c r="CH65" s="1246"/>
      <c r="CI65" s="1244"/>
      <c r="CJ65" s="1245"/>
      <c r="CK65" s="1245"/>
      <c r="CL65" s="1245"/>
      <c r="CM65" s="1245"/>
      <c r="CN65" s="1246"/>
      <c r="CO65" s="1247">
        <v>10393.4</v>
      </c>
      <c r="CP65" s="1248">
        <v>0</v>
      </c>
      <c r="CQ65" s="1248">
        <v>0</v>
      </c>
      <c r="CR65" s="1248">
        <v>0</v>
      </c>
      <c r="CS65" s="1248">
        <v>0</v>
      </c>
      <c r="CT65" s="1249">
        <v>10393.4</v>
      </c>
      <c r="CU65" s="1244"/>
      <c r="CV65" s="1245"/>
      <c r="CW65" s="1245"/>
      <c r="CX65" s="1245"/>
      <c r="CY65" s="1245"/>
      <c r="CZ65" s="1246"/>
      <c r="DA65" s="1247">
        <v>137605.6</v>
      </c>
      <c r="DB65" s="1248">
        <v>0</v>
      </c>
      <c r="DC65" s="1248">
        <v>0</v>
      </c>
      <c r="DD65" s="1248">
        <v>0</v>
      </c>
      <c r="DE65" s="1248">
        <v>0</v>
      </c>
      <c r="DF65" s="1249">
        <v>137605.6</v>
      </c>
      <c r="DG65" s="1247">
        <v>8594</v>
      </c>
      <c r="DH65" s="1248">
        <v>0</v>
      </c>
      <c r="DI65" s="1248">
        <v>5929.86</v>
      </c>
      <c r="DJ65" s="1248">
        <v>2664.14</v>
      </c>
      <c r="DK65" s="1248">
        <v>0</v>
      </c>
      <c r="DL65" s="1249">
        <v>17188</v>
      </c>
      <c r="DM65" s="1247">
        <v>5877.74</v>
      </c>
      <c r="DN65" s="1248">
        <v>0</v>
      </c>
      <c r="DO65" s="1248">
        <v>34.97</v>
      </c>
      <c r="DP65" s="1248">
        <v>1084.58</v>
      </c>
      <c r="DQ65" s="1248">
        <v>0.02</v>
      </c>
      <c r="DR65" s="1249">
        <v>6997.31</v>
      </c>
      <c r="DS65" s="1244"/>
      <c r="DT65" s="1245"/>
      <c r="DU65" s="1245"/>
      <c r="DV65" s="1245"/>
      <c r="DW65" s="1245"/>
      <c r="DX65" s="1246"/>
    </row>
    <row r="66" spans="1:128" ht="15" customHeight="1">
      <c r="A66" s="1092" t="s">
        <v>155</v>
      </c>
      <c r="B66" s="1239" t="s">
        <v>156</v>
      </c>
      <c r="C66" s="1467" t="s">
        <v>272</v>
      </c>
      <c r="D66" s="1240">
        <f t="shared" si="5"/>
        <v>45801.8</v>
      </c>
      <c r="E66" s="1241">
        <f t="shared" si="4"/>
        <v>7290.3700000000008</v>
      </c>
      <c r="F66" s="1242">
        <f t="shared" si="6"/>
        <v>8251.75</v>
      </c>
      <c r="G66" s="1243">
        <f t="shared" si="7"/>
        <v>4508.9800000000005</v>
      </c>
      <c r="H66" s="1242">
        <f t="shared" si="7"/>
        <v>3742.7699999999995</v>
      </c>
      <c r="I66" s="1244"/>
      <c r="J66" s="1245"/>
      <c r="K66" s="1245"/>
      <c r="L66" s="1245"/>
      <c r="M66" s="1245"/>
      <c r="N66" s="1246"/>
      <c r="O66" s="1247">
        <v>0</v>
      </c>
      <c r="P66" s="1248">
        <v>0</v>
      </c>
      <c r="Q66" s="1248">
        <v>0</v>
      </c>
      <c r="R66" s="1248">
        <v>0</v>
      </c>
      <c r="S66" s="1248">
        <v>20.97</v>
      </c>
      <c r="T66" s="1249">
        <v>20.97</v>
      </c>
      <c r="U66" s="1247">
        <v>1008</v>
      </c>
      <c r="V66" s="1248">
        <v>0</v>
      </c>
      <c r="W66" s="1248">
        <v>6</v>
      </c>
      <c r="X66" s="1248">
        <v>186</v>
      </c>
      <c r="Y66" s="1248">
        <v>0</v>
      </c>
      <c r="Z66" s="1249">
        <v>1200</v>
      </c>
      <c r="AA66" s="1247">
        <v>9799.68</v>
      </c>
      <c r="AB66" s="1248">
        <v>0</v>
      </c>
      <c r="AC66" s="1248">
        <v>0</v>
      </c>
      <c r="AD66" s="1248">
        <v>2449.9299999999998</v>
      </c>
      <c r="AE66" s="1248">
        <v>3721.81</v>
      </c>
      <c r="AF66" s="1249">
        <v>15971.42</v>
      </c>
      <c r="AG66" s="1244"/>
      <c r="AH66" s="1245"/>
      <c r="AI66" s="1245"/>
      <c r="AJ66" s="1245"/>
      <c r="AK66" s="1245"/>
      <c r="AL66" s="1246"/>
      <c r="AM66" s="1244"/>
      <c r="AN66" s="1245"/>
      <c r="AO66" s="1245"/>
      <c r="AP66" s="1245"/>
      <c r="AQ66" s="1245"/>
      <c r="AR66" s="1246"/>
      <c r="AS66" s="1244"/>
      <c r="AT66" s="1245"/>
      <c r="AU66" s="1245"/>
      <c r="AV66" s="1245"/>
      <c r="AW66" s="1245"/>
      <c r="AX66" s="1246"/>
      <c r="AY66" s="1244"/>
      <c r="AZ66" s="1245"/>
      <c r="BA66" s="1245"/>
      <c r="BB66" s="1245"/>
      <c r="BC66" s="1245"/>
      <c r="BD66" s="1246"/>
      <c r="BE66" s="1244"/>
      <c r="BF66" s="1245"/>
      <c r="BG66" s="1245"/>
      <c r="BH66" s="1245"/>
      <c r="BI66" s="1245"/>
      <c r="BJ66" s="1246"/>
      <c r="BK66" s="1244"/>
      <c r="BL66" s="1245"/>
      <c r="BM66" s="1245"/>
      <c r="BN66" s="1245"/>
      <c r="BO66" s="1245"/>
      <c r="BP66" s="1246"/>
      <c r="BQ66" s="1247">
        <v>6439.5</v>
      </c>
      <c r="BR66" s="1248">
        <v>0</v>
      </c>
      <c r="BS66" s="1248">
        <v>5409</v>
      </c>
      <c r="BT66" s="1248">
        <v>1030.5</v>
      </c>
      <c r="BU66" s="1248">
        <v>0</v>
      </c>
      <c r="BV66" s="1249">
        <v>12879</v>
      </c>
      <c r="BW66" s="1247">
        <v>2214.63</v>
      </c>
      <c r="BX66" s="1248">
        <v>0</v>
      </c>
      <c r="BY66" s="1248">
        <v>1528.1</v>
      </c>
      <c r="BZ66" s="1248">
        <v>686.53</v>
      </c>
      <c r="CA66" s="1248">
        <v>-0.01</v>
      </c>
      <c r="CB66" s="1249">
        <v>4429.25</v>
      </c>
      <c r="CC66" s="1244"/>
      <c r="CD66" s="1245"/>
      <c r="CE66" s="1245"/>
      <c r="CF66" s="1245"/>
      <c r="CG66" s="1245"/>
      <c r="CH66" s="1246"/>
      <c r="CI66" s="1244"/>
      <c r="CJ66" s="1245"/>
      <c r="CK66" s="1245"/>
      <c r="CL66" s="1245"/>
      <c r="CM66" s="1245"/>
      <c r="CN66" s="1246"/>
      <c r="CO66" s="1247">
        <v>841.96</v>
      </c>
      <c r="CP66" s="1248">
        <v>0</v>
      </c>
      <c r="CQ66" s="1248">
        <v>0</v>
      </c>
      <c r="CR66" s="1248">
        <v>0</v>
      </c>
      <c r="CS66" s="1248">
        <v>0</v>
      </c>
      <c r="CT66" s="1249">
        <v>841.96</v>
      </c>
      <c r="CU66" s="1244"/>
      <c r="CV66" s="1245"/>
      <c r="CW66" s="1245"/>
      <c r="CX66" s="1245"/>
      <c r="CY66" s="1245"/>
      <c r="CZ66" s="1246"/>
      <c r="DA66" s="1247">
        <v>24994.720000000001</v>
      </c>
      <c r="DB66" s="1248">
        <v>0</v>
      </c>
      <c r="DC66" s="1248">
        <v>0</v>
      </c>
      <c r="DD66" s="1248">
        <v>0</v>
      </c>
      <c r="DE66" s="1248">
        <v>0</v>
      </c>
      <c r="DF66" s="1249">
        <v>24994.720000000001</v>
      </c>
      <c r="DG66" s="1247">
        <v>503.31</v>
      </c>
      <c r="DH66" s="1248">
        <v>0</v>
      </c>
      <c r="DI66" s="1248">
        <v>347.27</v>
      </c>
      <c r="DJ66" s="1248">
        <v>156.02000000000001</v>
      </c>
      <c r="DK66" s="1248">
        <v>0</v>
      </c>
      <c r="DL66" s="1249">
        <v>1006.6</v>
      </c>
      <c r="DM66" s="1244"/>
      <c r="DN66" s="1245"/>
      <c r="DO66" s="1245"/>
      <c r="DP66" s="1245"/>
      <c r="DQ66" s="1245"/>
      <c r="DR66" s="1246"/>
      <c r="DS66" s="1244"/>
      <c r="DT66" s="1245"/>
      <c r="DU66" s="1245"/>
      <c r="DV66" s="1245"/>
      <c r="DW66" s="1245"/>
      <c r="DX66" s="1246"/>
    </row>
    <row r="67" spans="1:128" ht="15" customHeight="1">
      <c r="A67" s="1092" t="s">
        <v>157</v>
      </c>
      <c r="B67" s="1239" t="s">
        <v>158</v>
      </c>
      <c r="C67" s="1467" t="s">
        <v>273</v>
      </c>
      <c r="D67" s="1240">
        <f t="shared" si="5"/>
        <v>72201.849999999991</v>
      </c>
      <c r="E67" s="1241">
        <f t="shared" si="4"/>
        <v>36049.550000000003</v>
      </c>
      <c r="F67" s="1242">
        <f t="shared" si="6"/>
        <v>9744.7899999999991</v>
      </c>
      <c r="G67" s="1243">
        <f t="shared" si="7"/>
        <v>9744.82</v>
      </c>
      <c r="H67" s="1242">
        <f t="shared" si="7"/>
        <v>-3.0000000000000002E-2</v>
      </c>
      <c r="I67" s="1244"/>
      <c r="J67" s="1245"/>
      <c r="K67" s="1245"/>
      <c r="L67" s="1245"/>
      <c r="M67" s="1245"/>
      <c r="N67" s="1246"/>
      <c r="O67" s="1244"/>
      <c r="P67" s="1245"/>
      <c r="Q67" s="1245"/>
      <c r="R67" s="1245"/>
      <c r="S67" s="1245"/>
      <c r="T67" s="1246"/>
      <c r="U67" s="1247">
        <v>420</v>
      </c>
      <c r="V67" s="1248">
        <v>0</v>
      </c>
      <c r="W67" s="1248">
        <v>2.5</v>
      </c>
      <c r="X67" s="1248">
        <v>77.5</v>
      </c>
      <c r="Y67" s="1248">
        <v>0</v>
      </c>
      <c r="Z67" s="1249">
        <v>500</v>
      </c>
      <c r="AA67" s="1244"/>
      <c r="AB67" s="1245"/>
      <c r="AC67" s="1245"/>
      <c r="AD67" s="1245"/>
      <c r="AE67" s="1245"/>
      <c r="AF67" s="1246"/>
      <c r="AG67" s="1244"/>
      <c r="AH67" s="1245"/>
      <c r="AI67" s="1245"/>
      <c r="AJ67" s="1245"/>
      <c r="AK67" s="1245"/>
      <c r="AL67" s="1246"/>
      <c r="AM67" s="1244"/>
      <c r="AN67" s="1245"/>
      <c r="AO67" s="1245"/>
      <c r="AP67" s="1245"/>
      <c r="AQ67" s="1245"/>
      <c r="AR67" s="1246"/>
      <c r="AS67" s="1244"/>
      <c r="AT67" s="1245"/>
      <c r="AU67" s="1245"/>
      <c r="AV67" s="1245"/>
      <c r="AW67" s="1245"/>
      <c r="AX67" s="1246"/>
      <c r="AY67" s="1244"/>
      <c r="AZ67" s="1245"/>
      <c r="BA67" s="1245"/>
      <c r="BB67" s="1245"/>
      <c r="BC67" s="1245"/>
      <c r="BD67" s="1246"/>
      <c r="BE67" s="1244"/>
      <c r="BF67" s="1245"/>
      <c r="BG67" s="1245"/>
      <c r="BH67" s="1245"/>
      <c r="BI67" s="1245"/>
      <c r="BJ67" s="1246"/>
      <c r="BK67" s="1244"/>
      <c r="BL67" s="1245"/>
      <c r="BM67" s="1245"/>
      <c r="BN67" s="1245"/>
      <c r="BO67" s="1245"/>
      <c r="BP67" s="1246"/>
      <c r="BQ67" s="1247">
        <v>19707</v>
      </c>
      <c r="BR67" s="1248">
        <v>0</v>
      </c>
      <c r="BS67" s="1248">
        <v>16726.900000000001</v>
      </c>
      <c r="BT67" s="1248">
        <v>2980.1</v>
      </c>
      <c r="BU67" s="1248">
        <v>0</v>
      </c>
      <c r="BV67" s="1249">
        <v>39414</v>
      </c>
      <c r="BW67" s="1247">
        <v>11355.93</v>
      </c>
      <c r="BX67" s="1248">
        <v>0</v>
      </c>
      <c r="BY67" s="1248">
        <v>7263.26</v>
      </c>
      <c r="BZ67" s="1248">
        <v>3415.37</v>
      </c>
      <c r="CA67" s="1248">
        <v>-0.05</v>
      </c>
      <c r="CB67" s="1249">
        <v>22034.51</v>
      </c>
      <c r="CC67" s="1244"/>
      <c r="CD67" s="1245"/>
      <c r="CE67" s="1245"/>
      <c r="CF67" s="1245"/>
      <c r="CG67" s="1245"/>
      <c r="CH67" s="1246"/>
      <c r="CI67" s="1244"/>
      <c r="CJ67" s="1245"/>
      <c r="CK67" s="1245"/>
      <c r="CL67" s="1245"/>
      <c r="CM67" s="1245"/>
      <c r="CN67" s="1246"/>
      <c r="CO67" s="1247">
        <v>6168</v>
      </c>
      <c r="CP67" s="1248">
        <v>0</v>
      </c>
      <c r="CQ67" s="1248">
        <v>0</v>
      </c>
      <c r="CR67" s="1248">
        <v>0</v>
      </c>
      <c r="CS67" s="1248">
        <v>0</v>
      </c>
      <c r="CT67" s="1249">
        <v>6168</v>
      </c>
      <c r="CU67" s="1247">
        <v>11945.5</v>
      </c>
      <c r="CV67" s="1248">
        <v>0</v>
      </c>
      <c r="CW67" s="1248">
        <v>9777.5</v>
      </c>
      <c r="CX67" s="1248">
        <v>2168</v>
      </c>
      <c r="CY67" s="1248">
        <v>0</v>
      </c>
      <c r="CZ67" s="1249">
        <v>23891</v>
      </c>
      <c r="DA67" s="1247">
        <v>18867</v>
      </c>
      <c r="DB67" s="1248">
        <v>0</v>
      </c>
      <c r="DC67" s="1248">
        <v>0</v>
      </c>
      <c r="DD67" s="1248">
        <v>0</v>
      </c>
      <c r="DE67" s="1248">
        <v>0</v>
      </c>
      <c r="DF67" s="1249">
        <v>18867</v>
      </c>
      <c r="DG67" s="1247">
        <v>3299.7</v>
      </c>
      <c r="DH67" s="1248">
        <v>0</v>
      </c>
      <c r="DI67" s="1248">
        <v>2276.79</v>
      </c>
      <c r="DJ67" s="1248">
        <v>1022.91</v>
      </c>
      <c r="DK67" s="1248">
        <v>0</v>
      </c>
      <c r="DL67" s="1249">
        <v>6599.4</v>
      </c>
      <c r="DM67" s="1247">
        <v>438.72</v>
      </c>
      <c r="DN67" s="1248">
        <v>0</v>
      </c>
      <c r="DO67" s="1248">
        <v>2.6</v>
      </c>
      <c r="DP67" s="1248">
        <v>80.94</v>
      </c>
      <c r="DQ67" s="1248">
        <v>0.02</v>
      </c>
      <c r="DR67" s="1249">
        <v>522.28</v>
      </c>
      <c r="DS67" s="1244"/>
      <c r="DT67" s="1245"/>
      <c r="DU67" s="1245"/>
      <c r="DV67" s="1245"/>
      <c r="DW67" s="1245"/>
      <c r="DX67" s="1246"/>
    </row>
    <row r="68" spans="1:128" ht="15" customHeight="1">
      <c r="A68" s="1092" t="s">
        <v>163</v>
      </c>
      <c r="B68" s="1239" t="s">
        <v>164</v>
      </c>
      <c r="C68" s="1467" t="s">
        <v>271</v>
      </c>
      <c r="D68" s="1240">
        <f t="shared" si="5"/>
        <v>226401.52999999997</v>
      </c>
      <c r="E68" s="1241">
        <f t="shared" si="4"/>
        <v>40982.640000000007</v>
      </c>
      <c r="F68" s="1242">
        <f t="shared" si="6"/>
        <v>20725.070000000003</v>
      </c>
      <c r="G68" s="1243">
        <f t="shared" si="7"/>
        <v>20635.170000000002</v>
      </c>
      <c r="H68" s="1242">
        <f t="shared" si="7"/>
        <v>89.9</v>
      </c>
      <c r="I68" s="1247">
        <v>0</v>
      </c>
      <c r="J68" s="1248">
        <v>0</v>
      </c>
      <c r="K68" s="1248">
        <v>5231.09</v>
      </c>
      <c r="L68" s="1248">
        <v>0</v>
      </c>
      <c r="M68" s="1248">
        <v>0</v>
      </c>
      <c r="N68" s="1249">
        <v>5231.09</v>
      </c>
      <c r="O68" s="1244"/>
      <c r="P68" s="1245"/>
      <c r="Q68" s="1245"/>
      <c r="R68" s="1245"/>
      <c r="S68" s="1245"/>
      <c r="T68" s="1246"/>
      <c r="U68" s="1247">
        <v>4882.8900000000003</v>
      </c>
      <c r="V68" s="1248">
        <v>0</v>
      </c>
      <c r="W68" s="1248">
        <v>29.07</v>
      </c>
      <c r="X68" s="1248">
        <v>901</v>
      </c>
      <c r="Y68" s="1248">
        <v>0</v>
      </c>
      <c r="Z68" s="1249">
        <v>5812.96</v>
      </c>
      <c r="AA68" s="1247">
        <v>30843.24</v>
      </c>
      <c r="AB68" s="1248">
        <v>0</v>
      </c>
      <c r="AC68" s="1248">
        <v>0</v>
      </c>
      <c r="AD68" s="1248">
        <v>7710.81</v>
      </c>
      <c r="AE68" s="1248">
        <v>0</v>
      </c>
      <c r="AF68" s="1249">
        <v>38554.050000000003</v>
      </c>
      <c r="AG68" s="1244"/>
      <c r="AH68" s="1245"/>
      <c r="AI68" s="1245"/>
      <c r="AJ68" s="1245"/>
      <c r="AK68" s="1245"/>
      <c r="AL68" s="1246"/>
      <c r="AM68" s="1244"/>
      <c r="AN68" s="1245"/>
      <c r="AO68" s="1245"/>
      <c r="AP68" s="1245"/>
      <c r="AQ68" s="1245"/>
      <c r="AR68" s="1246"/>
      <c r="AS68" s="1247">
        <v>3092.03</v>
      </c>
      <c r="AT68" s="1248">
        <v>0</v>
      </c>
      <c r="AU68" s="1248">
        <v>773.01</v>
      </c>
      <c r="AV68" s="1248">
        <v>0</v>
      </c>
      <c r="AW68" s="1248">
        <v>0</v>
      </c>
      <c r="AX68" s="1249">
        <v>3865.04</v>
      </c>
      <c r="AY68" s="1244"/>
      <c r="AZ68" s="1245"/>
      <c r="BA68" s="1245"/>
      <c r="BB68" s="1245"/>
      <c r="BC68" s="1245"/>
      <c r="BD68" s="1246"/>
      <c r="BE68" s="1247">
        <v>294.02999999999997</v>
      </c>
      <c r="BF68" s="1248">
        <v>0</v>
      </c>
      <c r="BG68" s="1248">
        <v>530.97</v>
      </c>
      <c r="BH68" s="1248">
        <v>0</v>
      </c>
      <c r="BI68" s="1248">
        <v>0</v>
      </c>
      <c r="BJ68" s="1249">
        <v>825</v>
      </c>
      <c r="BK68" s="1247">
        <v>37.5</v>
      </c>
      <c r="BL68" s="1248">
        <v>0</v>
      </c>
      <c r="BM68" s="1248">
        <v>4.75</v>
      </c>
      <c r="BN68" s="1248">
        <v>7.75</v>
      </c>
      <c r="BO68" s="1248">
        <v>0</v>
      </c>
      <c r="BP68" s="1249">
        <v>50</v>
      </c>
      <c r="BQ68" s="1247">
        <v>28487.4</v>
      </c>
      <c r="BR68" s="1248">
        <v>0</v>
      </c>
      <c r="BS68" s="1248">
        <v>24481</v>
      </c>
      <c r="BT68" s="1248">
        <v>4006.4</v>
      </c>
      <c r="BU68" s="1248">
        <v>0</v>
      </c>
      <c r="BV68" s="1249">
        <v>56974.8</v>
      </c>
      <c r="BW68" s="1247">
        <v>14207.69</v>
      </c>
      <c r="BX68" s="1248">
        <v>0</v>
      </c>
      <c r="BY68" s="1248">
        <v>9334.94</v>
      </c>
      <c r="BZ68" s="1248">
        <v>4318.46</v>
      </c>
      <c r="CA68" s="1248">
        <v>89.92</v>
      </c>
      <c r="CB68" s="1249">
        <v>27951.01</v>
      </c>
      <c r="CC68" s="1247">
        <v>573.51</v>
      </c>
      <c r="CD68" s="1248">
        <v>0</v>
      </c>
      <c r="CE68" s="1248">
        <v>0</v>
      </c>
      <c r="CF68" s="1248">
        <v>1010.73</v>
      </c>
      <c r="CG68" s="1248">
        <v>0</v>
      </c>
      <c r="CH68" s="1249">
        <v>1584.24</v>
      </c>
      <c r="CI68" s="1244"/>
      <c r="CJ68" s="1245"/>
      <c r="CK68" s="1245"/>
      <c r="CL68" s="1245"/>
      <c r="CM68" s="1245"/>
      <c r="CN68" s="1246"/>
      <c r="CO68" s="1247">
        <v>4822</v>
      </c>
      <c r="CP68" s="1248">
        <v>0</v>
      </c>
      <c r="CQ68" s="1248">
        <v>0</v>
      </c>
      <c r="CR68" s="1248">
        <v>0</v>
      </c>
      <c r="CS68" s="1248">
        <v>0</v>
      </c>
      <c r="CT68" s="1249">
        <v>4822</v>
      </c>
      <c r="CU68" s="1244"/>
      <c r="CV68" s="1245"/>
      <c r="CW68" s="1245"/>
      <c r="CX68" s="1245"/>
      <c r="CY68" s="1245"/>
      <c r="CZ68" s="1246"/>
      <c r="DA68" s="1247">
        <v>125148.7</v>
      </c>
      <c r="DB68" s="1248">
        <v>0</v>
      </c>
      <c r="DC68" s="1248">
        <v>0</v>
      </c>
      <c r="DD68" s="1248">
        <v>0</v>
      </c>
      <c r="DE68" s="1248">
        <v>0</v>
      </c>
      <c r="DF68" s="1249">
        <v>125148.7</v>
      </c>
      <c r="DG68" s="1247">
        <v>751.99</v>
      </c>
      <c r="DH68" s="1248">
        <v>0</v>
      </c>
      <c r="DI68" s="1248">
        <v>518.87</v>
      </c>
      <c r="DJ68" s="1248">
        <v>233.12</v>
      </c>
      <c r="DK68" s="1248">
        <v>-0.02</v>
      </c>
      <c r="DL68" s="1249">
        <v>1503.96</v>
      </c>
      <c r="DM68" s="1247">
        <v>13260.55</v>
      </c>
      <c r="DN68" s="1248">
        <v>0</v>
      </c>
      <c r="DO68" s="1248">
        <v>78.94</v>
      </c>
      <c r="DP68" s="1248">
        <v>2446.9</v>
      </c>
      <c r="DQ68" s="1248">
        <v>0</v>
      </c>
      <c r="DR68" s="1249">
        <v>15786.39</v>
      </c>
      <c r="DS68" s="1244"/>
      <c r="DT68" s="1245"/>
      <c r="DU68" s="1245"/>
      <c r="DV68" s="1245"/>
      <c r="DW68" s="1245"/>
      <c r="DX68" s="1246"/>
    </row>
    <row r="69" spans="1:128" ht="15" customHeight="1">
      <c r="A69" s="1092" t="s">
        <v>165</v>
      </c>
      <c r="B69" s="1239" t="s">
        <v>166</v>
      </c>
      <c r="C69" s="1467" t="s">
        <v>273</v>
      </c>
      <c r="D69" s="1240">
        <f t="shared" si="5"/>
        <v>79933.45</v>
      </c>
      <c r="E69" s="1241">
        <f t="shared" si="4"/>
        <v>9373.01</v>
      </c>
      <c r="F69" s="1242">
        <f t="shared" si="6"/>
        <v>7977.12</v>
      </c>
      <c r="G69" s="1243">
        <f t="shared" si="7"/>
        <v>7977.2</v>
      </c>
      <c r="H69" s="1242">
        <f t="shared" si="7"/>
        <v>-0.08</v>
      </c>
      <c r="I69" s="1244"/>
      <c r="J69" s="1245"/>
      <c r="K69" s="1245"/>
      <c r="L69" s="1245"/>
      <c r="M69" s="1245"/>
      <c r="N69" s="1246"/>
      <c r="O69" s="1244"/>
      <c r="P69" s="1245"/>
      <c r="Q69" s="1245"/>
      <c r="R69" s="1245"/>
      <c r="S69" s="1245"/>
      <c r="T69" s="1246"/>
      <c r="U69" s="1247">
        <v>2054.58</v>
      </c>
      <c r="V69" s="1248">
        <v>0</v>
      </c>
      <c r="W69" s="1248">
        <v>12.23</v>
      </c>
      <c r="X69" s="1248">
        <v>379.13</v>
      </c>
      <c r="Y69" s="1248">
        <v>0</v>
      </c>
      <c r="Z69" s="1249">
        <v>2445.94</v>
      </c>
      <c r="AA69" s="1247">
        <v>11617.86</v>
      </c>
      <c r="AB69" s="1248">
        <v>0</v>
      </c>
      <c r="AC69" s="1248">
        <v>0</v>
      </c>
      <c r="AD69" s="1248">
        <v>2904.47</v>
      </c>
      <c r="AE69" s="1248">
        <v>0</v>
      </c>
      <c r="AF69" s="1249">
        <v>14522.33</v>
      </c>
      <c r="AG69" s="1244"/>
      <c r="AH69" s="1245"/>
      <c r="AI69" s="1245"/>
      <c r="AJ69" s="1245"/>
      <c r="AK69" s="1245"/>
      <c r="AL69" s="1246"/>
      <c r="AM69" s="1244"/>
      <c r="AN69" s="1245"/>
      <c r="AO69" s="1245"/>
      <c r="AP69" s="1245"/>
      <c r="AQ69" s="1245"/>
      <c r="AR69" s="1246"/>
      <c r="AS69" s="1247">
        <v>775.2</v>
      </c>
      <c r="AT69" s="1248">
        <v>0</v>
      </c>
      <c r="AU69" s="1248">
        <v>193.8</v>
      </c>
      <c r="AV69" s="1248">
        <v>0</v>
      </c>
      <c r="AW69" s="1248">
        <v>0</v>
      </c>
      <c r="AX69" s="1249">
        <v>969</v>
      </c>
      <c r="AY69" s="1244"/>
      <c r="AZ69" s="1245"/>
      <c r="BA69" s="1245"/>
      <c r="BB69" s="1245"/>
      <c r="BC69" s="1245"/>
      <c r="BD69" s="1246"/>
      <c r="BE69" s="1247">
        <v>298.44</v>
      </c>
      <c r="BF69" s="1248">
        <v>0</v>
      </c>
      <c r="BG69" s="1248">
        <v>538.94000000000005</v>
      </c>
      <c r="BH69" s="1248">
        <v>0</v>
      </c>
      <c r="BI69" s="1248">
        <v>0</v>
      </c>
      <c r="BJ69" s="1249">
        <v>837.38</v>
      </c>
      <c r="BK69" s="1247">
        <v>11603.63</v>
      </c>
      <c r="BL69" s="1248">
        <v>0</v>
      </c>
      <c r="BM69" s="1248">
        <v>1469.79</v>
      </c>
      <c r="BN69" s="1248">
        <v>2398.08</v>
      </c>
      <c r="BO69" s="1248">
        <v>0</v>
      </c>
      <c r="BP69" s="1249">
        <v>15471.5</v>
      </c>
      <c r="BQ69" s="1247">
        <v>3441.5</v>
      </c>
      <c r="BR69" s="1248">
        <v>0</v>
      </c>
      <c r="BS69" s="1248">
        <v>3009.8</v>
      </c>
      <c r="BT69" s="1248">
        <v>431.7</v>
      </c>
      <c r="BU69" s="1248">
        <v>0</v>
      </c>
      <c r="BV69" s="1249">
        <v>6883</v>
      </c>
      <c r="BW69" s="1247">
        <v>1887.23</v>
      </c>
      <c r="BX69" s="1248">
        <v>0</v>
      </c>
      <c r="BY69" s="1248">
        <v>1302.2</v>
      </c>
      <c r="BZ69" s="1248">
        <v>585.07000000000005</v>
      </c>
      <c r="CA69" s="1248">
        <v>-7.0000000000000007E-2</v>
      </c>
      <c r="CB69" s="1249">
        <v>3774.43</v>
      </c>
      <c r="CC69" s="1244"/>
      <c r="CD69" s="1245"/>
      <c r="CE69" s="1245"/>
      <c r="CF69" s="1245"/>
      <c r="CG69" s="1245"/>
      <c r="CH69" s="1246"/>
      <c r="CI69" s="1244"/>
      <c r="CJ69" s="1245"/>
      <c r="CK69" s="1245"/>
      <c r="CL69" s="1245"/>
      <c r="CM69" s="1245"/>
      <c r="CN69" s="1246"/>
      <c r="CO69" s="1247">
        <v>1508</v>
      </c>
      <c r="CP69" s="1248">
        <v>0</v>
      </c>
      <c r="CQ69" s="1248">
        <v>0</v>
      </c>
      <c r="CR69" s="1248">
        <v>0</v>
      </c>
      <c r="CS69" s="1248">
        <v>0</v>
      </c>
      <c r="CT69" s="1249">
        <v>1508</v>
      </c>
      <c r="CU69" s="1244"/>
      <c r="CV69" s="1245"/>
      <c r="CW69" s="1245"/>
      <c r="CX69" s="1245"/>
      <c r="CY69" s="1245"/>
      <c r="CZ69" s="1246"/>
      <c r="DA69" s="1247">
        <v>42622</v>
      </c>
      <c r="DB69" s="1248">
        <v>0</v>
      </c>
      <c r="DC69" s="1248">
        <v>0</v>
      </c>
      <c r="DD69" s="1248">
        <v>0</v>
      </c>
      <c r="DE69" s="1248">
        <v>0</v>
      </c>
      <c r="DF69" s="1249">
        <v>42622</v>
      </c>
      <c r="DG69" s="1247">
        <v>4125.01</v>
      </c>
      <c r="DH69" s="1248">
        <v>0</v>
      </c>
      <c r="DI69" s="1248">
        <v>2846.25</v>
      </c>
      <c r="DJ69" s="1248">
        <v>1278.75</v>
      </c>
      <c r="DK69" s="1248">
        <v>-0.01</v>
      </c>
      <c r="DL69" s="1249">
        <v>8250</v>
      </c>
      <c r="DM69" s="1244"/>
      <c r="DN69" s="1245"/>
      <c r="DO69" s="1245"/>
      <c r="DP69" s="1245"/>
      <c r="DQ69" s="1245"/>
      <c r="DR69" s="1246"/>
      <c r="DS69" s="1244"/>
      <c r="DT69" s="1245"/>
      <c r="DU69" s="1245"/>
      <c r="DV69" s="1245"/>
      <c r="DW69" s="1245"/>
      <c r="DX69" s="1246"/>
    </row>
    <row r="70" spans="1:128" ht="15" customHeight="1">
      <c r="A70" s="1092" t="s">
        <v>169</v>
      </c>
      <c r="B70" s="1239" t="s">
        <v>170</v>
      </c>
      <c r="C70" s="1467" t="s">
        <v>273</v>
      </c>
      <c r="D70" s="1240">
        <f t="shared" si="5"/>
        <v>223891.9</v>
      </c>
      <c r="E70" s="1241">
        <f t="shared" ref="E70:E125" si="8">+K70+Q70+W70+AC70+AI70+AO70+AU70+BA70+BG70+BM70+BS70+BY70+CE70+CK70+CQ70+CW70+DC70+DI70+DO70+DU70</f>
        <v>89185.069999999992</v>
      </c>
      <c r="F70" s="1242">
        <f t="shared" si="6"/>
        <v>42750.400000000001</v>
      </c>
      <c r="G70" s="1243">
        <f t="shared" ref="G70:H125" si="9">+L70+R70+X70+AD70+AJ70+AP70+AV70+BB70+BH70+BN70+BT70+BZ70+CF70+CL70+CR70+CX70+DD70+DJ70+DP70+DV70</f>
        <v>42547.72</v>
      </c>
      <c r="H70" s="1242">
        <f t="shared" si="9"/>
        <v>202.68</v>
      </c>
      <c r="I70" s="1244"/>
      <c r="J70" s="1245"/>
      <c r="K70" s="1245"/>
      <c r="L70" s="1245"/>
      <c r="M70" s="1245"/>
      <c r="N70" s="1246"/>
      <c r="O70" s="1244"/>
      <c r="P70" s="1245"/>
      <c r="Q70" s="1245"/>
      <c r="R70" s="1245"/>
      <c r="S70" s="1245"/>
      <c r="T70" s="1246"/>
      <c r="U70" s="1247">
        <v>1009.68</v>
      </c>
      <c r="V70" s="1248">
        <v>0</v>
      </c>
      <c r="W70" s="1248">
        <v>6.01</v>
      </c>
      <c r="X70" s="1248">
        <v>186.31</v>
      </c>
      <c r="Y70" s="1248">
        <v>0</v>
      </c>
      <c r="Z70" s="1249">
        <v>1202</v>
      </c>
      <c r="AA70" s="1247">
        <v>26285.040000000001</v>
      </c>
      <c r="AB70" s="1248">
        <v>0</v>
      </c>
      <c r="AC70" s="1248">
        <v>0</v>
      </c>
      <c r="AD70" s="1248">
        <v>6571.24</v>
      </c>
      <c r="AE70" s="1248">
        <v>0</v>
      </c>
      <c r="AF70" s="1249">
        <v>32856.28</v>
      </c>
      <c r="AG70" s="1244"/>
      <c r="AH70" s="1245"/>
      <c r="AI70" s="1245"/>
      <c r="AJ70" s="1245"/>
      <c r="AK70" s="1245"/>
      <c r="AL70" s="1246"/>
      <c r="AM70" s="1244"/>
      <c r="AN70" s="1245"/>
      <c r="AO70" s="1245"/>
      <c r="AP70" s="1245"/>
      <c r="AQ70" s="1245"/>
      <c r="AR70" s="1246"/>
      <c r="AS70" s="1247">
        <v>984.91</v>
      </c>
      <c r="AT70" s="1248">
        <v>0</v>
      </c>
      <c r="AU70" s="1248">
        <v>246.23</v>
      </c>
      <c r="AV70" s="1248">
        <v>0</v>
      </c>
      <c r="AW70" s="1248">
        <v>0</v>
      </c>
      <c r="AX70" s="1249">
        <v>1231.1400000000001</v>
      </c>
      <c r="AY70" s="1244"/>
      <c r="AZ70" s="1245"/>
      <c r="BA70" s="1245"/>
      <c r="BB70" s="1245"/>
      <c r="BC70" s="1245"/>
      <c r="BD70" s="1246"/>
      <c r="BE70" s="1244"/>
      <c r="BF70" s="1245"/>
      <c r="BG70" s="1245"/>
      <c r="BH70" s="1245"/>
      <c r="BI70" s="1245"/>
      <c r="BJ70" s="1246"/>
      <c r="BK70" s="1244"/>
      <c r="BL70" s="1245"/>
      <c r="BM70" s="1245"/>
      <c r="BN70" s="1245"/>
      <c r="BO70" s="1245"/>
      <c r="BP70" s="1246"/>
      <c r="BQ70" s="1247">
        <v>18251.580000000002</v>
      </c>
      <c r="BR70" s="1248">
        <v>0</v>
      </c>
      <c r="BS70" s="1248">
        <v>15322.68</v>
      </c>
      <c r="BT70" s="1248">
        <v>2928.9</v>
      </c>
      <c r="BU70" s="1248">
        <v>202.84</v>
      </c>
      <c r="BV70" s="1249">
        <v>36706</v>
      </c>
      <c r="BW70" s="1247">
        <v>103542.61</v>
      </c>
      <c r="BX70" s="1248">
        <v>0</v>
      </c>
      <c r="BY70" s="1248">
        <v>71167.95</v>
      </c>
      <c r="BZ70" s="1248">
        <v>32047.55</v>
      </c>
      <c r="CA70" s="1248">
        <v>-0.16</v>
      </c>
      <c r="CB70" s="1249">
        <v>206757.95</v>
      </c>
      <c r="CC70" s="1244"/>
      <c r="CD70" s="1245"/>
      <c r="CE70" s="1245"/>
      <c r="CF70" s="1245"/>
      <c r="CG70" s="1245"/>
      <c r="CH70" s="1246"/>
      <c r="CI70" s="1244"/>
      <c r="CJ70" s="1245"/>
      <c r="CK70" s="1245"/>
      <c r="CL70" s="1245"/>
      <c r="CM70" s="1245"/>
      <c r="CN70" s="1246"/>
      <c r="CO70" s="1244"/>
      <c r="CP70" s="1245"/>
      <c r="CQ70" s="1245"/>
      <c r="CR70" s="1245"/>
      <c r="CS70" s="1245"/>
      <c r="CT70" s="1246"/>
      <c r="CU70" s="1247">
        <v>1679</v>
      </c>
      <c r="CV70" s="1248">
        <v>0</v>
      </c>
      <c r="CW70" s="1248">
        <v>1423.9</v>
      </c>
      <c r="CX70" s="1248">
        <v>255.1</v>
      </c>
      <c r="CY70" s="1248">
        <v>0</v>
      </c>
      <c r="CZ70" s="1249">
        <v>3358</v>
      </c>
      <c r="DA70" s="1247">
        <v>70112</v>
      </c>
      <c r="DB70" s="1248">
        <v>0</v>
      </c>
      <c r="DC70" s="1248">
        <v>0</v>
      </c>
      <c r="DD70" s="1248">
        <v>0</v>
      </c>
      <c r="DE70" s="1248">
        <v>0</v>
      </c>
      <c r="DF70" s="1249">
        <v>70112</v>
      </c>
      <c r="DG70" s="1247">
        <v>1471</v>
      </c>
      <c r="DH70" s="1248">
        <v>0</v>
      </c>
      <c r="DI70" s="1248">
        <v>1014.99</v>
      </c>
      <c r="DJ70" s="1248">
        <v>456.01</v>
      </c>
      <c r="DK70" s="1248">
        <v>0</v>
      </c>
      <c r="DL70" s="1249">
        <v>2942</v>
      </c>
      <c r="DM70" s="1247">
        <v>556.08000000000004</v>
      </c>
      <c r="DN70" s="1248">
        <v>0</v>
      </c>
      <c r="DO70" s="1248">
        <v>3.31</v>
      </c>
      <c r="DP70" s="1248">
        <v>102.61</v>
      </c>
      <c r="DQ70" s="1248">
        <v>0</v>
      </c>
      <c r="DR70" s="1249">
        <v>662</v>
      </c>
      <c r="DS70" s="1244"/>
      <c r="DT70" s="1245"/>
      <c r="DU70" s="1245"/>
      <c r="DV70" s="1245"/>
      <c r="DW70" s="1245"/>
      <c r="DX70" s="1246"/>
    </row>
    <row r="71" spans="1:128" ht="15" customHeight="1">
      <c r="A71" s="1092" t="s">
        <v>171</v>
      </c>
      <c r="B71" s="1239" t="s">
        <v>172</v>
      </c>
      <c r="C71" s="1467" t="s">
        <v>274</v>
      </c>
      <c r="D71" s="1240">
        <f t="shared" ref="D71:D125" si="10">+I71+J71+O71+P71+U71+V71+AA71+AB71+AG71+AH71+AM71+AN71+AS71+AT71+AY71+AZ71+BE71+BF71+BK71+BL71+BQ71+BR71+BW71+BX71+CC71+CD71+CI71+CJ71+CO71+CP71+CU71+CV71+DA71+DB71+DG71+DH71+DM71+DN71+DS71+DT71</f>
        <v>215097.74999999997</v>
      </c>
      <c r="E71" s="1241">
        <f t="shared" si="8"/>
        <v>55159.4</v>
      </c>
      <c r="F71" s="1242">
        <f t="shared" ref="F71:F125" si="11">+G71+H71</f>
        <v>20814.219999999998</v>
      </c>
      <c r="G71" s="1243">
        <f t="shared" si="9"/>
        <v>19347.339999999997</v>
      </c>
      <c r="H71" s="1242">
        <f t="shared" si="9"/>
        <v>1466.88</v>
      </c>
      <c r="I71" s="1244"/>
      <c r="J71" s="1245"/>
      <c r="K71" s="1245"/>
      <c r="L71" s="1245"/>
      <c r="M71" s="1245"/>
      <c r="N71" s="1246"/>
      <c r="O71" s="1244"/>
      <c r="P71" s="1245"/>
      <c r="Q71" s="1245"/>
      <c r="R71" s="1245"/>
      <c r="S71" s="1245"/>
      <c r="T71" s="1246"/>
      <c r="U71" s="1247">
        <v>1500.82</v>
      </c>
      <c r="V71" s="1248">
        <v>0</v>
      </c>
      <c r="W71" s="1248">
        <v>8.94</v>
      </c>
      <c r="X71" s="1248">
        <v>276.94</v>
      </c>
      <c r="Y71" s="1248">
        <v>0</v>
      </c>
      <c r="Z71" s="1249">
        <v>1786.7</v>
      </c>
      <c r="AA71" s="1247">
        <v>8649.0499999999993</v>
      </c>
      <c r="AB71" s="1248">
        <v>0</v>
      </c>
      <c r="AC71" s="1248">
        <v>0</v>
      </c>
      <c r="AD71" s="1248">
        <v>2162.31</v>
      </c>
      <c r="AE71" s="1248">
        <v>0</v>
      </c>
      <c r="AF71" s="1249">
        <v>10811.36</v>
      </c>
      <c r="AG71" s="1244"/>
      <c r="AH71" s="1245"/>
      <c r="AI71" s="1245"/>
      <c r="AJ71" s="1245"/>
      <c r="AK71" s="1245"/>
      <c r="AL71" s="1246"/>
      <c r="AM71" s="1244"/>
      <c r="AN71" s="1245"/>
      <c r="AO71" s="1245"/>
      <c r="AP71" s="1245"/>
      <c r="AQ71" s="1245"/>
      <c r="AR71" s="1246"/>
      <c r="AS71" s="1247">
        <v>1120</v>
      </c>
      <c r="AT71" s="1248">
        <v>0</v>
      </c>
      <c r="AU71" s="1248">
        <v>280</v>
      </c>
      <c r="AV71" s="1248">
        <v>0</v>
      </c>
      <c r="AW71" s="1248">
        <v>0</v>
      </c>
      <c r="AX71" s="1249">
        <v>1400</v>
      </c>
      <c r="AY71" s="1244"/>
      <c r="AZ71" s="1245"/>
      <c r="BA71" s="1245"/>
      <c r="BB71" s="1245"/>
      <c r="BC71" s="1245"/>
      <c r="BD71" s="1246"/>
      <c r="BE71" s="1247">
        <v>105.14</v>
      </c>
      <c r="BF71" s="1248">
        <v>0</v>
      </c>
      <c r="BG71" s="1248">
        <v>189.86</v>
      </c>
      <c r="BH71" s="1248">
        <v>0</v>
      </c>
      <c r="BI71" s="1248">
        <v>0</v>
      </c>
      <c r="BJ71" s="1249">
        <v>295</v>
      </c>
      <c r="BK71" s="1247">
        <v>13840.88</v>
      </c>
      <c r="BL71" s="1248">
        <v>0</v>
      </c>
      <c r="BM71" s="1248">
        <v>1753.22</v>
      </c>
      <c r="BN71" s="1248">
        <v>2860.49</v>
      </c>
      <c r="BO71" s="1248">
        <v>-0.09</v>
      </c>
      <c r="BP71" s="1249">
        <v>18454.5</v>
      </c>
      <c r="BQ71" s="1247">
        <v>54942.400000000001</v>
      </c>
      <c r="BR71" s="1248">
        <v>0</v>
      </c>
      <c r="BS71" s="1248">
        <v>47019.54</v>
      </c>
      <c r="BT71" s="1248">
        <v>7922.86</v>
      </c>
      <c r="BU71" s="1248">
        <v>0</v>
      </c>
      <c r="BV71" s="1249">
        <v>109884.8</v>
      </c>
      <c r="BW71" s="1247">
        <v>14244.37</v>
      </c>
      <c r="BX71" s="1248">
        <v>0</v>
      </c>
      <c r="BY71" s="1248">
        <v>5875.9</v>
      </c>
      <c r="BZ71" s="1248">
        <v>3690.71</v>
      </c>
      <c r="CA71" s="1248">
        <v>-0.03</v>
      </c>
      <c r="CB71" s="1249">
        <v>23810.95</v>
      </c>
      <c r="CC71" s="1247">
        <v>819.29</v>
      </c>
      <c r="CD71" s="1248">
        <v>0</v>
      </c>
      <c r="CE71" s="1248">
        <v>0</v>
      </c>
      <c r="CF71" s="1248">
        <v>1443.91</v>
      </c>
      <c r="CG71" s="1248">
        <v>0</v>
      </c>
      <c r="CH71" s="1249">
        <v>2263.1999999999998</v>
      </c>
      <c r="CI71" s="1244"/>
      <c r="CJ71" s="1245"/>
      <c r="CK71" s="1245"/>
      <c r="CL71" s="1245"/>
      <c r="CM71" s="1245"/>
      <c r="CN71" s="1246"/>
      <c r="CO71" s="1247">
        <v>26764</v>
      </c>
      <c r="CP71" s="1248">
        <v>0</v>
      </c>
      <c r="CQ71" s="1248">
        <v>0</v>
      </c>
      <c r="CR71" s="1248">
        <v>0</v>
      </c>
      <c r="CS71" s="1248">
        <v>0</v>
      </c>
      <c r="CT71" s="1249">
        <v>26764</v>
      </c>
      <c r="CU71" s="1244"/>
      <c r="CV71" s="1245"/>
      <c r="CW71" s="1245"/>
      <c r="CX71" s="1245"/>
      <c r="CY71" s="1245"/>
      <c r="CZ71" s="1246"/>
      <c r="DA71" s="1247">
        <v>87745.97</v>
      </c>
      <c r="DB71" s="1248">
        <v>0</v>
      </c>
      <c r="DC71" s="1248">
        <v>0</v>
      </c>
      <c r="DD71" s="1248">
        <v>0</v>
      </c>
      <c r="DE71" s="1248">
        <v>1467</v>
      </c>
      <c r="DF71" s="1249">
        <v>89212.97</v>
      </c>
      <c r="DG71" s="1244"/>
      <c r="DH71" s="1245"/>
      <c r="DI71" s="1245"/>
      <c r="DJ71" s="1245"/>
      <c r="DK71" s="1245"/>
      <c r="DL71" s="1246"/>
      <c r="DM71" s="1247">
        <v>5365.83</v>
      </c>
      <c r="DN71" s="1248">
        <v>0</v>
      </c>
      <c r="DO71" s="1248">
        <v>31.94</v>
      </c>
      <c r="DP71" s="1248">
        <v>990.12</v>
      </c>
      <c r="DQ71" s="1248">
        <v>0</v>
      </c>
      <c r="DR71" s="1249">
        <v>6387.89</v>
      </c>
      <c r="DS71" s="1244"/>
      <c r="DT71" s="1245"/>
      <c r="DU71" s="1245"/>
      <c r="DV71" s="1245"/>
      <c r="DW71" s="1245"/>
      <c r="DX71" s="1246"/>
    </row>
    <row r="72" spans="1:128" ht="15" customHeight="1">
      <c r="A72" s="1092" t="s">
        <v>173</v>
      </c>
      <c r="B72" s="1239" t="s">
        <v>174</v>
      </c>
      <c r="C72" s="1467" t="s">
        <v>274</v>
      </c>
      <c r="D72" s="1240">
        <f t="shared" si="10"/>
        <v>142231.05000000002</v>
      </c>
      <c r="E72" s="1241">
        <f t="shared" si="8"/>
        <v>23875.11</v>
      </c>
      <c r="F72" s="1242">
        <f t="shared" si="11"/>
        <v>13846.61</v>
      </c>
      <c r="G72" s="1243">
        <f t="shared" si="9"/>
        <v>13807.400000000001</v>
      </c>
      <c r="H72" s="1242">
        <f t="shared" si="9"/>
        <v>39.210000000000008</v>
      </c>
      <c r="I72" s="1244"/>
      <c r="J72" s="1245"/>
      <c r="K72" s="1245"/>
      <c r="L72" s="1245"/>
      <c r="M72" s="1245"/>
      <c r="N72" s="1246"/>
      <c r="O72" s="1244"/>
      <c r="P72" s="1245"/>
      <c r="Q72" s="1245"/>
      <c r="R72" s="1245"/>
      <c r="S72" s="1245"/>
      <c r="T72" s="1246"/>
      <c r="U72" s="1247">
        <v>3645.68</v>
      </c>
      <c r="V72" s="1248">
        <v>0</v>
      </c>
      <c r="W72" s="1248">
        <v>21.71</v>
      </c>
      <c r="X72" s="1248">
        <v>672.73</v>
      </c>
      <c r="Y72" s="1248">
        <v>-0.03</v>
      </c>
      <c r="Z72" s="1249">
        <v>4340.09</v>
      </c>
      <c r="AA72" s="1247">
        <v>16839.990000000002</v>
      </c>
      <c r="AB72" s="1248">
        <v>0</v>
      </c>
      <c r="AC72" s="1248">
        <v>0</v>
      </c>
      <c r="AD72" s="1248">
        <v>4210.01</v>
      </c>
      <c r="AE72" s="1248">
        <v>39.49</v>
      </c>
      <c r="AF72" s="1249">
        <v>21089.49</v>
      </c>
      <c r="AG72" s="1244"/>
      <c r="AH72" s="1245"/>
      <c r="AI72" s="1245"/>
      <c r="AJ72" s="1245"/>
      <c r="AK72" s="1245"/>
      <c r="AL72" s="1246"/>
      <c r="AM72" s="1247">
        <v>1899.19</v>
      </c>
      <c r="AN72" s="1248">
        <v>0</v>
      </c>
      <c r="AO72" s="1248">
        <v>474.8</v>
      </c>
      <c r="AP72" s="1248">
        <v>0</v>
      </c>
      <c r="AQ72" s="1248">
        <v>0</v>
      </c>
      <c r="AR72" s="1249">
        <v>2373.9899999999998</v>
      </c>
      <c r="AS72" s="1247">
        <v>1351.19</v>
      </c>
      <c r="AT72" s="1248">
        <v>0</v>
      </c>
      <c r="AU72" s="1248">
        <v>337.8</v>
      </c>
      <c r="AV72" s="1248">
        <v>0</v>
      </c>
      <c r="AW72" s="1248">
        <v>0</v>
      </c>
      <c r="AX72" s="1249">
        <v>1688.99</v>
      </c>
      <c r="AY72" s="1244"/>
      <c r="AZ72" s="1245"/>
      <c r="BA72" s="1245"/>
      <c r="BB72" s="1245"/>
      <c r="BC72" s="1245"/>
      <c r="BD72" s="1246"/>
      <c r="BE72" s="1247">
        <v>160.38</v>
      </c>
      <c r="BF72" s="1248">
        <v>0</v>
      </c>
      <c r="BG72" s="1248">
        <v>289.62</v>
      </c>
      <c r="BH72" s="1248">
        <v>0</v>
      </c>
      <c r="BI72" s="1248">
        <v>0</v>
      </c>
      <c r="BJ72" s="1249">
        <v>450</v>
      </c>
      <c r="BK72" s="1247">
        <v>12529.73</v>
      </c>
      <c r="BL72" s="1248">
        <v>0</v>
      </c>
      <c r="BM72" s="1248">
        <v>1587.14</v>
      </c>
      <c r="BN72" s="1248">
        <v>2589.52</v>
      </c>
      <c r="BO72" s="1248">
        <v>-0.12</v>
      </c>
      <c r="BP72" s="1249">
        <v>16706.27</v>
      </c>
      <c r="BQ72" s="1247">
        <v>8197</v>
      </c>
      <c r="BR72" s="1248">
        <v>0</v>
      </c>
      <c r="BS72" s="1248">
        <v>6767.7</v>
      </c>
      <c r="BT72" s="1248">
        <v>1429.3</v>
      </c>
      <c r="BU72" s="1248">
        <v>0</v>
      </c>
      <c r="BV72" s="1249">
        <v>16394</v>
      </c>
      <c r="BW72" s="1247">
        <v>9800.0400000000009</v>
      </c>
      <c r="BX72" s="1248">
        <v>0</v>
      </c>
      <c r="BY72" s="1248">
        <v>6652.81</v>
      </c>
      <c r="BZ72" s="1248">
        <v>3018.02</v>
      </c>
      <c r="CA72" s="1248">
        <v>-0.15</v>
      </c>
      <c r="CB72" s="1249">
        <v>19470.72</v>
      </c>
      <c r="CC72" s="1244"/>
      <c r="CD72" s="1245"/>
      <c r="CE72" s="1245"/>
      <c r="CF72" s="1245"/>
      <c r="CG72" s="1245"/>
      <c r="CH72" s="1246"/>
      <c r="CI72" s="1244"/>
      <c r="CJ72" s="1245"/>
      <c r="CK72" s="1245"/>
      <c r="CL72" s="1245"/>
      <c r="CM72" s="1245"/>
      <c r="CN72" s="1246"/>
      <c r="CO72" s="1244"/>
      <c r="CP72" s="1245"/>
      <c r="CQ72" s="1245"/>
      <c r="CR72" s="1245"/>
      <c r="CS72" s="1245"/>
      <c r="CT72" s="1246"/>
      <c r="CU72" s="1247">
        <v>6123.5</v>
      </c>
      <c r="CV72" s="1248">
        <v>0</v>
      </c>
      <c r="CW72" s="1248">
        <v>5328.3</v>
      </c>
      <c r="CX72" s="1248">
        <v>795.2</v>
      </c>
      <c r="CY72" s="1248">
        <v>0</v>
      </c>
      <c r="CZ72" s="1249">
        <v>12247</v>
      </c>
      <c r="DA72" s="1247">
        <v>78143</v>
      </c>
      <c r="DB72" s="1248">
        <v>0</v>
      </c>
      <c r="DC72" s="1248">
        <v>0</v>
      </c>
      <c r="DD72" s="1248">
        <v>0</v>
      </c>
      <c r="DE72" s="1248">
        <v>0</v>
      </c>
      <c r="DF72" s="1249">
        <v>78143</v>
      </c>
      <c r="DG72" s="1247">
        <v>3500</v>
      </c>
      <c r="DH72" s="1248">
        <v>0</v>
      </c>
      <c r="DI72" s="1248">
        <v>2415</v>
      </c>
      <c r="DJ72" s="1248">
        <v>1085</v>
      </c>
      <c r="DK72" s="1248">
        <v>0</v>
      </c>
      <c r="DL72" s="1249">
        <v>7000</v>
      </c>
      <c r="DM72" s="1247">
        <v>41.35</v>
      </c>
      <c r="DN72" s="1248">
        <v>0</v>
      </c>
      <c r="DO72" s="1248">
        <v>0.23</v>
      </c>
      <c r="DP72" s="1248">
        <v>7.62</v>
      </c>
      <c r="DQ72" s="1248">
        <v>0.02</v>
      </c>
      <c r="DR72" s="1249">
        <v>49.22</v>
      </c>
      <c r="DS72" s="1244"/>
      <c r="DT72" s="1245"/>
      <c r="DU72" s="1245"/>
      <c r="DV72" s="1245"/>
      <c r="DW72" s="1245"/>
      <c r="DX72" s="1246"/>
    </row>
    <row r="73" spans="1:128" ht="15" customHeight="1">
      <c r="A73" s="1092" t="s">
        <v>175</v>
      </c>
      <c r="B73" s="1239" t="s">
        <v>176</v>
      </c>
      <c r="C73" s="1467" t="s">
        <v>275</v>
      </c>
      <c r="D73" s="1240">
        <f t="shared" si="10"/>
        <v>136689.38</v>
      </c>
      <c r="E73" s="1241">
        <f t="shared" si="8"/>
        <v>30618.76</v>
      </c>
      <c r="F73" s="1242">
        <f t="shared" si="11"/>
        <v>20312.79</v>
      </c>
      <c r="G73" s="1243">
        <f t="shared" si="9"/>
        <v>20312.91</v>
      </c>
      <c r="H73" s="1242">
        <f t="shared" si="9"/>
        <v>-0.12000000000000001</v>
      </c>
      <c r="I73" s="1244"/>
      <c r="J73" s="1245"/>
      <c r="K73" s="1245"/>
      <c r="L73" s="1245"/>
      <c r="M73" s="1245"/>
      <c r="N73" s="1246"/>
      <c r="O73" s="1244"/>
      <c r="P73" s="1245"/>
      <c r="Q73" s="1245"/>
      <c r="R73" s="1245"/>
      <c r="S73" s="1245"/>
      <c r="T73" s="1246"/>
      <c r="U73" s="1247">
        <v>1684.3</v>
      </c>
      <c r="V73" s="1248">
        <v>0</v>
      </c>
      <c r="W73" s="1248">
        <v>10.029999999999999</v>
      </c>
      <c r="X73" s="1248">
        <v>310.8</v>
      </c>
      <c r="Y73" s="1248">
        <v>-0.01</v>
      </c>
      <c r="Z73" s="1249">
        <v>2005.12</v>
      </c>
      <c r="AA73" s="1247">
        <v>22137.38</v>
      </c>
      <c r="AB73" s="1248">
        <v>0</v>
      </c>
      <c r="AC73" s="1248">
        <v>0</v>
      </c>
      <c r="AD73" s="1248">
        <v>5534.35</v>
      </c>
      <c r="AE73" s="1248">
        <v>0</v>
      </c>
      <c r="AF73" s="1249">
        <v>27671.73</v>
      </c>
      <c r="AG73" s="1244"/>
      <c r="AH73" s="1245"/>
      <c r="AI73" s="1245"/>
      <c r="AJ73" s="1245"/>
      <c r="AK73" s="1245"/>
      <c r="AL73" s="1246"/>
      <c r="AM73" s="1244"/>
      <c r="AN73" s="1245"/>
      <c r="AO73" s="1245"/>
      <c r="AP73" s="1245"/>
      <c r="AQ73" s="1245"/>
      <c r="AR73" s="1246"/>
      <c r="AS73" s="1247">
        <v>209.15</v>
      </c>
      <c r="AT73" s="1248">
        <v>0</v>
      </c>
      <c r="AU73" s="1248">
        <v>52.29</v>
      </c>
      <c r="AV73" s="1248">
        <v>0</v>
      </c>
      <c r="AW73" s="1248">
        <v>0</v>
      </c>
      <c r="AX73" s="1249">
        <v>261.44</v>
      </c>
      <c r="AY73" s="1244"/>
      <c r="AZ73" s="1245"/>
      <c r="BA73" s="1245"/>
      <c r="BB73" s="1245"/>
      <c r="BC73" s="1245"/>
      <c r="BD73" s="1246"/>
      <c r="BE73" s="1244"/>
      <c r="BF73" s="1245"/>
      <c r="BG73" s="1245"/>
      <c r="BH73" s="1245"/>
      <c r="BI73" s="1245"/>
      <c r="BJ73" s="1246"/>
      <c r="BK73" s="1247">
        <v>3755.59</v>
      </c>
      <c r="BL73" s="1248">
        <v>0</v>
      </c>
      <c r="BM73" s="1248">
        <v>475.72</v>
      </c>
      <c r="BN73" s="1248">
        <v>776.16</v>
      </c>
      <c r="BO73" s="1248">
        <v>-0.03</v>
      </c>
      <c r="BP73" s="1249">
        <v>5007.4399999999996</v>
      </c>
      <c r="BQ73" s="1247">
        <v>7409</v>
      </c>
      <c r="BR73" s="1248">
        <v>0</v>
      </c>
      <c r="BS73" s="1248">
        <v>6177.6</v>
      </c>
      <c r="BT73" s="1248">
        <v>1231.4000000000001</v>
      </c>
      <c r="BU73" s="1248">
        <v>0</v>
      </c>
      <c r="BV73" s="1249">
        <v>14818</v>
      </c>
      <c r="BW73" s="1247">
        <v>30502.17</v>
      </c>
      <c r="BX73" s="1248">
        <v>0</v>
      </c>
      <c r="BY73" s="1248">
        <v>20815.310000000001</v>
      </c>
      <c r="BZ73" s="1248">
        <v>9413.2800000000007</v>
      </c>
      <c r="CA73" s="1248">
        <v>-0.12</v>
      </c>
      <c r="CB73" s="1249">
        <v>60730.64</v>
      </c>
      <c r="CC73" s="1244"/>
      <c r="CD73" s="1245"/>
      <c r="CE73" s="1245"/>
      <c r="CF73" s="1245"/>
      <c r="CG73" s="1245"/>
      <c r="CH73" s="1246"/>
      <c r="CI73" s="1244"/>
      <c r="CJ73" s="1245"/>
      <c r="CK73" s="1245"/>
      <c r="CL73" s="1245"/>
      <c r="CM73" s="1245"/>
      <c r="CN73" s="1246"/>
      <c r="CO73" s="1247">
        <v>4676</v>
      </c>
      <c r="CP73" s="1248">
        <v>0</v>
      </c>
      <c r="CQ73" s="1248">
        <v>0</v>
      </c>
      <c r="CR73" s="1248">
        <v>0</v>
      </c>
      <c r="CS73" s="1248">
        <v>0</v>
      </c>
      <c r="CT73" s="1249">
        <v>4676</v>
      </c>
      <c r="CU73" s="1244"/>
      <c r="CV73" s="1245"/>
      <c r="CW73" s="1245"/>
      <c r="CX73" s="1245"/>
      <c r="CY73" s="1245"/>
      <c r="CZ73" s="1246"/>
      <c r="DA73" s="1247">
        <v>52793</v>
      </c>
      <c r="DB73" s="1248">
        <v>0</v>
      </c>
      <c r="DC73" s="1248">
        <v>0</v>
      </c>
      <c r="DD73" s="1248">
        <v>0</v>
      </c>
      <c r="DE73" s="1248">
        <v>0</v>
      </c>
      <c r="DF73" s="1249">
        <v>52793</v>
      </c>
      <c r="DG73" s="1247">
        <v>4396.3999999999996</v>
      </c>
      <c r="DH73" s="1248">
        <v>0</v>
      </c>
      <c r="DI73" s="1248">
        <v>3033.51</v>
      </c>
      <c r="DJ73" s="1248">
        <v>1362.89</v>
      </c>
      <c r="DK73" s="1248">
        <v>-0.01</v>
      </c>
      <c r="DL73" s="1249">
        <v>8792.7900000000009</v>
      </c>
      <c r="DM73" s="1247">
        <v>9126.39</v>
      </c>
      <c r="DN73" s="1248">
        <v>0</v>
      </c>
      <c r="DO73" s="1248">
        <v>54.3</v>
      </c>
      <c r="DP73" s="1248">
        <v>1684.03</v>
      </c>
      <c r="DQ73" s="1248">
        <v>0.05</v>
      </c>
      <c r="DR73" s="1249">
        <v>10864.77</v>
      </c>
      <c r="DS73" s="1244"/>
      <c r="DT73" s="1245"/>
      <c r="DU73" s="1245"/>
      <c r="DV73" s="1245"/>
      <c r="DW73" s="1245"/>
      <c r="DX73" s="1246"/>
    </row>
    <row r="74" spans="1:128" ht="15" customHeight="1">
      <c r="A74" s="1092" t="s">
        <v>179</v>
      </c>
      <c r="B74" s="1239" t="s">
        <v>180</v>
      </c>
      <c r="C74" s="1467" t="s">
        <v>272</v>
      </c>
      <c r="D74" s="1240">
        <f t="shared" si="10"/>
        <v>352813.75</v>
      </c>
      <c r="E74" s="1241">
        <f t="shared" si="8"/>
        <v>51322.630000000005</v>
      </c>
      <c r="F74" s="1242">
        <f t="shared" si="11"/>
        <v>40026.910000000003</v>
      </c>
      <c r="G74" s="1243">
        <f t="shared" si="9"/>
        <v>38834.160000000003</v>
      </c>
      <c r="H74" s="1242">
        <f t="shared" si="9"/>
        <v>1192.75</v>
      </c>
      <c r="I74" s="1244"/>
      <c r="J74" s="1245"/>
      <c r="K74" s="1245"/>
      <c r="L74" s="1245"/>
      <c r="M74" s="1245"/>
      <c r="N74" s="1246"/>
      <c r="O74" s="1247">
        <v>-12.82</v>
      </c>
      <c r="P74" s="1248">
        <v>0</v>
      </c>
      <c r="Q74" s="1248">
        <v>0</v>
      </c>
      <c r="R74" s="1248">
        <v>-3.2</v>
      </c>
      <c r="S74" s="1248">
        <v>0</v>
      </c>
      <c r="T74" s="1249">
        <v>-16.02</v>
      </c>
      <c r="U74" s="1247">
        <v>10561.26</v>
      </c>
      <c r="V74" s="1248">
        <v>0</v>
      </c>
      <c r="W74" s="1248">
        <v>62.86</v>
      </c>
      <c r="X74" s="1248">
        <v>1948.8</v>
      </c>
      <c r="Y74" s="1248">
        <v>0.02</v>
      </c>
      <c r="Z74" s="1249">
        <v>12572.94</v>
      </c>
      <c r="AA74" s="1247">
        <v>52115.68</v>
      </c>
      <c r="AB74" s="1248">
        <v>0</v>
      </c>
      <c r="AC74" s="1248">
        <v>0</v>
      </c>
      <c r="AD74" s="1248">
        <v>13028.94</v>
      </c>
      <c r="AE74" s="1248">
        <v>0</v>
      </c>
      <c r="AF74" s="1249">
        <v>65144.62</v>
      </c>
      <c r="AG74" s="1247">
        <v>18243.669999999998</v>
      </c>
      <c r="AH74" s="1248">
        <v>0</v>
      </c>
      <c r="AI74" s="1248">
        <v>4290.71</v>
      </c>
      <c r="AJ74" s="1248">
        <v>4133.51</v>
      </c>
      <c r="AK74" s="1248">
        <v>-0.03</v>
      </c>
      <c r="AL74" s="1249">
        <v>26667.86</v>
      </c>
      <c r="AM74" s="1247">
        <v>2444.8000000000002</v>
      </c>
      <c r="AN74" s="1248">
        <v>0</v>
      </c>
      <c r="AO74" s="1248">
        <v>611.20000000000005</v>
      </c>
      <c r="AP74" s="1248">
        <v>0</v>
      </c>
      <c r="AQ74" s="1248">
        <v>0</v>
      </c>
      <c r="AR74" s="1249">
        <v>3056</v>
      </c>
      <c r="AS74" s="1247">
        <v>3094.57</v>
      </c>
      <c r="AT74" s="1248">
        <v>0</v>
      </c>
      <c r="AU74" s="1248">
        <v>773.65</v>
      </c>
      <c r="AV74" s="1248">
        <v>0</v>
      </c>
      <c r="AW74" s="1248">
        <v>0</v>
      </c>
      <c r="AX74" s="1249">
        <v>3868.22</v>
      </c>
      <c r="AY74" s="1244"/>
      <c r="AZ74" s="1245"/>
      <c r="BA74" s="1245"/>
      <c r="BB74" s="1245"/>
      <c r="BC74" s="1245"/>
      <c r="BD74" s="1246"/>
      <c r="BE74" s="1247">
        <v>222.75</v>
      </c>
      <c r="BF74" s="1248">
        <v>0</v>
      </c>
      <c r="BG74" s="1248">
        <v>402.25</v>
      </c>
      <c r="BH74" s="1248">
        <v>0</v>
      </c>
      <c r="BI74" s="1248">
        <v>0</v>
      </c>
      <c r="BJ74" s="1249">
        <v>625</v>
      </c>
      <c r="BK74" s="1247">
        <v>29906.65</v>
      </c>
      <c r="BL74" s="1248">
        <v>0</v>
      </c>
      <c r="BM74" s="1248">
        <v>3788.17</v>
      </c>
      <c r="BN74" s="1248">
        <v>6180.71</v>
      </c>
      <c r="BO74" s="1248">
        <v>-0.02</v>
      </c>
      <c r="BP74" s="1249">
        <v>39875.51</v>
      </c>
      <c r="BQ74" s="1247">
        <v>36216.5</v>
      </c>
      <c r="BR74" s="1248">
        <v>0</v>
      </c>
      <c r="BS74" s="1248">
        <v>29902.2</v>
      </c>
      <c r="BT74" s="1248">
        <v>6314.3</v>
      </c>
      <c r="BU74" s="1248">
        <v>0</v>
      </c>
      <c r="BV74" s="1249">
        <v>72433</v>
      </c>
      <c r="BW74" s="1247">
        <v>10215.459999999999</v>
      </c>
      <c r="BX74" s="1248">
        <v>0</v>
      </c>
      <c r="BY74" s="1248">
        <v>7029.58</v>
      </c>
      <c r="BZ74" s="1248">
        <v>3163.35</v>
      </c>
      <c r="CA74" s="1248">
        <v>514.79</v>
      </c>
      <c r="CB74" s="1249">
        <v>20923.18</v>
      </c>
      <c r="CC74" s="1244"/>
      <c r="CD74" s="1245"/>
      <c r="CE74" s="1245"/>
      <c r="CF74" s="1245"/>
      <c r="CG74" s="1245"/>
      <c r="CH74" s="1246"/>
      <c r="CI74" s="1244"/>
      <c r="CJ74" s="1245"/>
      <c r="CK74" s="1245"/>
      <c r="CL74" s="1245"/>
      <c r="CM74" s="1245"/>
      <c r="CN74" s="1246"/>
      <c r="CO74" s="1247">
        <v>5644</v>
      </c>
      <c r="CP74" s="1248">
        <v>0</v>
      </c>
      <c r="CQ74" s="1248">
        <v>0</v>
      </c>
      <c r="CR74" s="1248">
        <v>0</v>
      </c>
      <c r="CS74" s="1248">
        <v>0</v>
      </c>
      <c r="CT74" s="1249">
        <v>5644</v>
      </c>
      <c r="CU74" s="1247">
        <v>-50</v>
      </c>
      <c r="CV74" s="1248">
        <v>0</v>
      </c>
      <c r="CW74" s="1248">
        <v>-40</v>
      </c>
      <c r="CX74" s="1248">
        <v>-10</v>
      </c>
      <c r="CY74" s="1248">
        <v>0</v>
      </c>
      <c r="CZ74" s="1249">
        <v>-100</v>
      </c>
      <c r="DA74" s="1247">
        <v>166483</v>
      </c>
      <c r="DB74" s="1248">
        <v>0</v>
      </c>
      <c r="DC74" s="1248">
        <v>0</v>
      </c>
      <c r="DD74" s="1248">
        <v>0</v>
      </c>
      <c r="DE74" s="1248">
        <v>678</v>
      </c>
      <c r="DF74" s="1249">
        <v>167161</v>
      </c>
      <c r="DG74" s="1247">
        <v>6427.17</v>
      </c>
      <c r="DH74" s="1248">
        <v>0</v>
      </c>
      <c r="DI74" s="1248">
        <v>4434.75</v>
      </c>
      <c r="DJ74" s="1248">
        <v>1992.43</v>
      </c>
      <c r="DK74" s="1248">
        <v>-0.01</v>
      </c>
      <c r="DL74" s="1249">
        <v>12854.34</v>
      </c>
      <c r="DM74" s="1247">
        <v>11301.06</v>
      </c>
      <c r="DN74" s="1248">
        <v>0</v>
      </c>
      <c r="DO74" s="1248">
        <v>67.260000000000005</v>
      </c>
      <c r="DP74" s="1248">
        <v>2085.3200000000002</v>
      </c>
      <c r="DQ74" s="1248">
        <v>0</v>
      </c>
      <c r="DR74" s="1249">
        <v>13453.64</v>
      </c>
      <c r="DS74" s="1244"/>
      <c r="DT74" s="1245"/>
      <c r="DU74" s="1245"/>
      <c r="DV74" s="1245"/>
      <c r="DW74" s="1245"/>
      <c r="DX74" s="1246"/>
    </row>
    <row r="75" spans="1:128" ht="15" customHeight="1">
      <c r="A75" s="1092" t="s">
        <v>183</v>
      </c>
      <c r="B75" s="1239" t="s">
        <v>184</v>
      </c>
      <c r="C75" s="1467" t="s">
        <v>273</v>
      </c>
      <c r="D75" s="1240">
        <f t="shared" si="10"/>
        <v>111952.01000000001</v>
      </c>
      <c r="E75" s="1241">
        <f t="shared" si="8"/>
        <v>24250.71</v>
      </c>
      <c r="F75" s="1242">
        <f t="shared" si="11"/>
        <v>9506.83</v>
      </c>
      <c r="G75" s="1243">
        <f t="shared" si="9"/>
        <v>9506.94</v>
      </c>
      <c r="H75" s="1242">
        <f t="shared" si="9"/>
        <v>-0.11000000000000001</v>
      </c>
      <c r="I75" s="1244"/>
      <c r="J75" s="1245"/>
      <c r="K75" s="1245"/>
      <c r="L75" s="1245"/>
      <c r="M75" s="1245"/>
      <c r="N75" s="1246"/>
      <c r="O75" s="1244"/>
      <c r="P75" s="1245"/>
      <c r="Q75" s="1245"/>
      <c r="R75" s="1245"/>
      <c r="S75" s="1245"/>
      <c r="T75" s="1246"/>
      <c r="U75" s="1244"/>
      <c r="V75" s="1245"/>
      <c r="W75" s="1245"/>
      <c r="X75" s="1245"/>
      <c r="Y75" s="1245"/>
      <c r="Z75" s="1246"/>
      <c r="AA75" s="1247">
        <v>6057.43</v>
      </c>
      <c r="AB75" s="1248">
        <v>0</v>
      </c>
      <c r="AC75" s="1248">
        <v>0</v>
      </c>
      <c r="AD75" s="1248">
        <v>1514.34</v>
      </c>
      <c r="AE75" s="1248">
        <v>0</v>
      </c>
      <c r="AF75" s="1249">
        <v>7571.77</v>
      </c>
      <c r="AG75" s="1244"/>
      <c r="AH75" s="1245"/>
      <c r="AI75" s="1245"/>
      <c r="AJ75" s="1245"/>
      <c r="AK75" s="1245"/>
      <c r="AL75" s="1246"/>
      <c r="AM75" s="1244"/>
      <c r="AN75" s="1245"/>
      <c r="AO75" s="1245"/>
      <c r="AP75" s="1245"/>
      <c r="AQ75" s="1245"/>
      <c r="AR75" s="1246"/>
      <c r="AS75" s="1247">
        <v>2013.8</v>
      </c>
      <c r="AT75" s="1248">
        <v>0</v>
      </c>
      <c r="AU75" s="1248">
        <v>503.45</v>
      </c>
      <c r="AV75" s="1248">
        <v>0</v>
      </c>
      <c r="AW75" s="1248">
        <v>0</v>
      </c>
      <c r="AX75" s="1249">
        <v>2517.25</v>
      </c>
      <c r="AY75" s="1244"/>
      <c r="AZ75" s="1245"/>
      <c r="BA75" s="1245"/>
      <c r="BB75" s="1245"/>
      <c r="BC75" s="1245"/>
      <c r="BD75" s="1246"/>
      <c r="BE75" s="1244"/>
      <c r="BF75" s="1245"/>
      <c r="BG75" s="1245"/>
      <c r="BH75" s="1245"/>
      <c r="BI75" s="1245"/>
      <c r="BJ75" s="1246"/>
      <c r="BK75" s="1247">
        <v>13824.77</v>
      </c>
      <c r="BL75" s="1248">
        <v>0</v>
      </c>
      <c r="BM75" s="1248">
        <v>1751.14</v>
      </c>
      <c r="BN75" s="1248">
        <v>2857.11</v>
      </c>
      <c r="BO75" s="1248">
        <v>-0.02</v>
      </c>
      <c r="BP75" s="1249">
        <v>18433</v>
      </c>
      <c r="BQ75" s="1247">
        <v>18157.2</v>
      </c>
      <c r="BR75" s="1248">
        <v>0</v>
      </c>
      <c r="BS75" s="1248">
        <v>15868</v>
      </c>
      <c r="BT75" s="1248">
        <v>2289.1999999999998</v>
      </c>
      <c r="BU75" s="1248">
        <v>0</v>
      </c>
      <c r="BV75" s="1249">
        <v>36314.400000000001</v>
      </c>
      <c r="BW75" s="1247">
        <v>6088.61</v>
      </c>
      <c r="BX75" s="1248">
        <v>0</v>
      </c>
      <c r="BY75" s="1248">
        <v>3851.11</v>
      </c>
      <c r="BZ75" s="1248">
        <v>1823.28</v>
      </c>
      <c r="CA75" s="1248">
        <v>-7.0000000000000007E-2</v>
      </c>
      <c r="CB75" s="1249">
        <v>11762.93</v>
      </c>
      <c r="CC75" s="1244"/>
      <c r="CD75" s="1245"/>
      <c r="CE75" s="1245"/>
      <c r="CF75" s="1245"/>
      <c r="CG75" s="1245"/>
      <c r="CH75" s="1246"/>
      <c r="CI75" s="1244"/>
      <c r="CJ75" s="1245"/>
      <c r="CK75" s="1245"/>
      <c r="CL75" s="1245"/>
      <c r="CM75" s="1245"/>
      <c r="CN75" s="1246"/>
      <c r="CO75" s="1247">
        <v>11889.4</v>
      </c>
      <c r="CP75" s="1248">
        <v>0</v>
      </c>
      <c r="CQ75" s="1248">
        <v>0</v>
      </c>
      <c r="CR75" s="1248">
        <v>0</v>
      </c>
      <c r="CS75" s="1248">
        <v>0</v>
      </c>
      <c r="CT75" s="1249">
        <v>11889.4</v>
      </c>
      <c r="CU75" s="1244"/>
      <c r="CV75" s="1245"/>
      <c r="CW75" s="1245"/>
      <c r="CX75" s="1245"/>
      <c r="CY75" s="1245"/>
      <c r="CZ75" s="1246"/>
      <c r="DA75" s="1247">
        <v>50620.800000000003</v>
      </c>
      <c r="DB75" s="1248">
        <v>0</v>
      </c>
      <c r="DC75" s="1248">
        <v>0</v>
      </c>
      <c r="DD75" s="1248">
        <v>0</v>
      </c>
      <c r="DE75" s="1248">
        <v>0</v>
      </c>
      <c r="DF75" s="1249">
        <v>50620.800000000003</v>
      </c>
      <c r="DG75" s="1247">
        <v>3300</v>
      </c>
      <c r="DH75" s="1248">
        <v>0</v>
      </c>
      <c r="DI75" s="1248">
        <v>2277.0100000000002</v>
      </c>
      <c r="DJ75" s="1248">
        <v>1023.01</v>
      </c>
      <c r="DK75" s="1248">
        <v>-0.02</v>
      </c>
      <c r="DL75" s="1249">
        <v>6600</v>
      </c>
      <c r="DM75" s="1244"/>
      <c r="DN75" s="1245"/>
      <c r="DO75" s="1245"/>
      <c r="DP75" s="1245"/>
      <c r="DQ75" s="1245"/>
      <c r="DR75" s="1246"/>
      <c r="DS75" s="1244"/>
      <c r="DT75" s="1245"/>
      <c r="DU75" s="1245"/>
      <c r="DV75" s="1245"/>
      <c r="DW75" s="1245"/>
      <c r="DX75" s="1246"/>
    </row>
    <row r="76" spans="1:128" ht="15" customHeight="1">
      <c r="A76" s="1092" t="s">
        <v>185</v>
      </c>
      <c r="B76" s="1239" t="s">
        <v>186</v>
      </c>
      <c r="C76" s="1467" t="s">
        <v>273</v>
      </c>
      <c r="D76" s="1240">
        <f t="shared" si="10"/>
        <v>202150.67</v>
      </c>
      <c r="E76" s="1241">
        <f t="shared" si="8"/>
        <v>74235.789999999994</v>
      </c>
      <c r="F76" s="1242">
        <f t="shared" si="11"/>
        <v>31751.46</v>
      </c>
      <c r="G76" s="1243">
        <f t="shared" si="9"/>
        <v>31751.59</v>
      </c>
      <c r="H76" s="1242">
        <f t="shared" si="9"/>
        <v>-0.13</v>
      </c>
      <c r="I76" s="1247">
        <v>0</v>
      </c>
      <c r="J76" s="1248">
        <v>0</v>
      </c>
      <c r="K76" s="1248">
        <v>1678.75</v>
      </c>
      <c r="L76" s="1248">
        <v>0</v>
      </c>
      <c r="M76" s="1248">
        <v>0</v>
      </c>
      <c r="N76" s="1249">
        <v>1678.75</v>
      </c>
      <c r="O76" s="1244"/>
      <c r="P76" s="1245"/>
      <c r="Q76" s="1245"/>
      <c r="R76" s="1245"/>
      <c r="S76" s="1245"/>
      <c r="T76" s="1246"/>
      <c r="U76" s="1247">
        <v>4219.32</v>
      </c>
      <c r="V76" s="1248">
        <v>0</v>
      </c>
      <c r="W76" s="1248">
        <v>25.13</v>
      </c>
      <c r="X76" s="1248">
        <v>778.57</v>
      </c>
      <c r="Y76" s="1248">
        <v>-0.02</v>
      </c>
      <c r="Z76" s="1249">
        <v>5023</v>
      </c>
      <c r="AA76" s="1247">
        <v>13604.35</v>
      </c>
      <c r="AB76" s="1248">
        <v>0</v>
      </c>
      <c r="AC76" s="1248">
        <v>0</v>
      </c>
      <c r="AD76" s="1248">
        <v>3401.1</v>
      </c>
      <c r="AE76" s="1248">
        <v>0</v>
      </c>
      <c r="AF76" s="1249">
        <v>17005.45</v>
      </c>
      <c r="AG76" s="1244"/>
      <c r="AH76" s="1245"/>
      <c r="AI76" s="1245"/>
      <c r="AJ76" s="1245"/>
      <c r="AK76" s="1245"/>
      <c r="AL76" s="1246"/>
      <c r="AM76" s="1244"/>
      <c r="AN76" s="1245"/>
      <c r="AO76" s="1245"/>
      <c r="AP76" s="1245"/>
      <c r="AQ76" s="1245"/>
      <c r="AR76" s="1246"/>
      <c r="AS76" s="1247">
        <v>1809.04</v>
      </c>
      <c r="AT76" s="1248">
        <v>0</v>
      </c>
      <c r="AU76" s="1248">
        <v>452.26</v>
      </c>
      <c r="AV76" s="1248">
        <v>0</v>
      </c>
      <c r="AW76" s="1248">
        <v>0</v>
      </c>
      <c r="AX76" s="1249">
        <v>2261.3000000000002</v>
      </c>
      <c r="AY76" s="1244"/>
      <c r="AZ76" s="1245"/>
      <c r="BA76" s="1245"/>
      <c r="BB76" s="1245"/>
      <c r="BC76" s="1245"/>
      <c r="BD76" s="1246"/>
      <c r="BE76" s="1244"/>
      <c r="BF76" s="1245"/>
      <c r="BG76" s="1245"/>
      <c r="BH76" s="1245"/>
      <c r="BI76" s="1245"/>
      <c r="BJ76" s="1246"/>
      <c r="BK76" s="1247">
        <v>9710.93</v>
      </c>
      <c r="BL76" s="1248">
        <v>0</v>
      </c>
      <c r="BM76" s="1248">
        <v>1230.04</v>
      </c>
      <c r="BN76" s="1248">
        <v>2006.93</v>
      </c>
      <c r="BO76" s="1248">
        <v>0</v>
      </c>
      <c r="BP76" s="1249">
        <v>12947.9</v>
      </c>
      <c r="BQ76" s="1247">
        <v>29064.04</v>
      </c>
      <c r="BR76" s="1248">
        <v>0</v>
      </c>
      <c r="BS76" s="1248">
        <v>24380.18</v>
      </c>
      <c r="BT76" s="1248">
        <v>4683.8599999999997</v>
      </c>
      <c r="BU76" s="1248">
        <v>0</v>
      </c>
      <c r="BV76" s="1249">
        <v>58128.08</v>
      </c>
      <c r="BW76" s="1247">
        <v>63057.11</v>
      </c>
      <c r="BX76" s="1248">
        <v>0</v>
      </c>
      <c r="BY76" s="1248">
        <v>43497.89</v>
      </c>
      <c r="BZ76" s="1248">
        <v>19545.580000000002</v>
      </c>
      <c r="CA76" s="1248">
        <v>-7.0000000000000007E-2</v>
      </c>
      <c r="CB76" s="1249">
        <v>126100.51</v>
      </c>
      <c r="CC76" s="1244"/>
      <c r="CD76" s="1245"/>
      <c r="CE76" s="1245"/>
      <c r="CF76" s="1245"/>
      <c r="CG76" s="1245"/>
      <c r="CH76" s="1246"/>
      <c r="CI76" s="1244"/>
      <c r="CJ76" s="1245"/>
      <c r="CK76" s="1245"/>
      <c r="CL76" s="1245"/>
      <c r="CM76" s="1245"/>
      <c r="CN76" s="1246"/>
      <c r="CO76" s="1244"/>
      <c r="CP76" s="1245"/>
      <c r="CQ76" s="1245"/>
      <c r="CR76" s="1245"/>
      <c r="CS76" s="1245"/>
      <c r="CT76" s="1246"/>
      <c r="CU76" s="1247">
        <v>862.5</v>
      </c>
      <c r="CV76" s="1248">
        <v>0</v>
      </c>
      <c r="CW76" s="1248">
        <v>690</v>
      </c>
      <c r="CX76" s="1248">
        <v>172.5</v>
      </c>
      <c r="CY76" s="1248">
        <v>0</v>
      </c>
      <c r="CZ76" s="1249">
        <v>1725</v>
      </c>
      <c r="DA76" s="1247">
        <v>75764.5</v>
      </c>
      <c r="DB76" s="1248">
        <v>0</v>
      </c>
      <c r="DC76" s="1248">
        <v>0</v>
      </c>
      <c r="DD76" s="1248">
        <v>0</v>
      </c>
      <c r="DE76" s="1248">
        <v>0</v>
      </c>
      <c r="DF76" s="1249">
        <v>75764.5</v>
      </c>
      <c r="DG76" s="1247">
        <v>3300</v>
      </c>
      <c r="DH76" s="1248">
        <v>0</v>
      </c>
      <c r="DI76" s="1248">
        <v>2277.0100000000002</v>
      </c>
      <c r="DJ76" s="1248">
        <v>1023.01</v>
      </c>
      <c r="DK76" s="1248">
        <v>-0.02</v>
      </c>
      <c r="DL76" s="1249">
        <v>6600</v>
      </c>
      <c r="DM76" s="1247">
        <v>758.88</v>
      </c>
      <c r="DN76" s="1248">
        <v>0</v>
      </c>
      <c r="DO76" s="1248">
        <v>4.53</v>
      </c>
      <c r="DP76" s="1248">
        <v>140.04</v>
      </c>
      <c r="DQ76" s="1248">
        <v>-0.02</v>
      </c>
      <c r="DR76" s="1249">
        <v>903.43</v>
      </c>
      <c r="DS76" s="1244"/>
      <c r="DT76" s="1245"/>
      <c r="DU76" s="1245"/>
      <c r="DV76" s="1245"/>
      <c r="DW76" s="1245"/>
      <c r="DX76" s="1246"/>
    </row>
    <row r="77" spans="1:128" ht="15" customHeight="1">
      <c r="A77" s="1092" t="s">
        <v>187</v>
      </c>
      <c r="B77" s="1239" t="s">
        <v>188</v>
      </c>
      <c r="C77" s="1467" t="s">
        <v>271</v>
      </c>
      <c r="D77" s="1240">
        <f t="shared" si="10"/>
        <v>89369.43</v>
      </c>
      <c r="E77" s="1241">
        <f t="shared" si="8"/>
        <v>20448.32</v>
      </c>
      <c r="F77" s="1242">
        <f t="shared" si="11"/>
        <v>10903.43</v>
      </c>
      <c r="G77" s="1243">
        <f t="shared" si="9"/>
        <v>10903.59</v>
      </c>
      <c r="H77" s="1242">
        <f t="shared" si="9"/>
        <v>-0.16</v>
      </c>
      <c r="I77" s="1244"/>
      <c r="J77" s="1245"/>
      <c r="K77" s="1245"/>
      <c r="L77" s="1245"/>
      <c r="M77" s="1245"/>
      <c r="N77" s="1246"/>
      <c r="O77" s="1244"/>
      <c r="P77" s="1245"/>
      <c r="Q77" s="1245"/>
      <c r="R77" s="1245"/>
      <c r="S77" s="1245"/>
      <c r="T77" s="1246"/>
      <c r="U77" s="1247">
        <v>1580.41</v>
      </c>
      <c r="V77" s="1248">
        <v>0</v>
      </c>
      <c r="W77" s="1248">
        <v>9.4</v>
      </c>
      <c r="X77" s="1248">
        <v>291.63</v>
      </c>
      <c r="Y77" s="1248">
        <v>0</v>
      </c>
      <c r="Z77" s="1249">
        <v>1881.44</v>
      </c>
      <c r="AA77" s="1247">
        <v>11299.96</v>
      </c>
      <c r="AB77" s="1248">
        <v>0</v>
      </c>
      <c r="AC77" s="1248">
        <v>0</v>
      </c>
      <c r="AD77" s="1248">
        <v>2824.97</v>
      </c>
      <c r="AE77" s="1248">
        <v>0</v>
      </c>
      <c r="AF77" s="1249">
        <v>14124.93</v>
      </c>
      <c r="AG77" s="1244"/>
      <c r="AH77" s="1245"/>
      <c r="AI77" s="1245"/>
      <c r="AJ77" s="1245"/>
      <c r="AK77" s="1245"/>
      <c r="AL77" s="1246"/>
      <c r="AM77" s="1247">
        <v>800</v>
      </c>
      <c r="AN77" s="1248">
        <v>0</v>
      </c>
      <c r="AO77" s="1248">
        <v>200</v>
      </c>
      <c r="AP77" s="1248">
        <v>0</v>
      </c>
      <c r="AQ77" s="1248">
        <v>0</v>
      </c>
      <c r="AR77" s="1249">
        <v>1000</v>
      </c>
      <c r="AS77" s="1247">
        <v>463.56</v>
      </c>
      <c r="AT77" s="1248">
        <v>0</v>
      </c>
      <c r="AU77" s="1248">
        <v>115.89</v>
      </c>
      <c r="AV77" s="1248">
        <v>0</v>
      </c>
      <c r="AW77" s="1248">
        <v>0</v>
      </c>
      <c r="AX77" s="1249">
        <v>579.45000000000005</v>
      </c>
      <c r="AY77" s="1244"/>
      <c r="AZ77" s="1245"/>
      <c r="BA77" s="1245"/>
      <c r="BB77" s="1245"/>
      <c r="BC77" s="1245"/>
      <c r="BD77" s="1246"/>
      <c r="BE77" s="1244"/>
      <c r="BF77" s="1245"/>
      <c r="BG77" s="1245"/>
      <c r="BH77" s="1245"/>
      <c r="BI77" s="1245"/>
      <c r="BJ77" s="1246"/>
      <c r="BK77" s="1247">
        <v>6665.44</v>
      </c>
      <c r="BL77" s="1248">
        <v>0</v>
      </c>
      <c r="BM77" s="1248">
        <v>844.3</v>
      </c>
      <c r="BN77" s="1248">
        <v>1377.54</v>
      </c>
      <c r="BO77" s="1248">
        <v>-0.04</v>
      </c>
      <c r="BP77" s="1249">
        <v>8887.24</v>
      </c>
      <c r="BQ77" s="1247">
        <v>11291.5</v>
      </c>
      <c r="BR77" s="1248">
        <v>0</v>
      </c>
      <c r="BS77" s="1248">
        <v>9732</v>
      </c>
      <c r="BT77" s="1248">
        <v>1559.5</v>
      </c>
      <c r="BU77" s="1248">
        <v>0</v>
      </c>
      <c r="BV77" s="1249">
        <v>22583</v>
      </c>
      <c r="BW77" s="1247">
        <v>12877.27</v>
      </c>
      <c r="BX77" s="1248">
        <v>0</v>
      </c>
      <c r="BY77" s="1248">
        <v>8631.5499999999993</v>
      </c>
      <c r="BZ77" s="1248">
        <v>3945.44</v>
      </c>
      <c r="CA77" s="1248">
        <v>-0.11</v>
      </c>
      <c r="CB77" s="1249">
        <v>25454.15</v>
      </c>
      <c r="CC77" s="1244"/>
      <c r="CD77" s="1245"/>
      <c r="CE77" s="1245"/>
      <c r="CF77" s="1245"/>
      <c r="CG77" s="1245"/>
      <c r="CH77" s="1246"/>
      <c r="CI77" s="1244"/>
      <c r="CJ77" s="1245"/>
      <c r="CK77" s="1245"/>
      <c r="CL77" s="1245"/>
      <c r="CM77" s="1245"/>
      <c r="CN77" s="1246"/>
      <c r="CO77" s="1244"/>
      <c r="CP77" s="1245"/>
      <c r="CQ77" s="1245"/>
      <c r="CR77" s="1245"/>
      <c r="CS77" s="1245"/>
      <c r="CT77" s="1246"/>
      <c r="CU77" s="1244"/>
      <c r="CV77" s="1245"/>
      <c r="CW77" s="1245"/>
      <c r="CX77" s="1245"/>
      <c r="CY77" s="1245"/>
      <c r="CZ77" s="1246"/>
      <c r="DA77" s="1247">
        <v>40375.440000000002</v>
      </c>
      <c r="DB77" s="1248">
        <v>0</v>
      </c>
      <c r="DC77" s="1248">
        <v>0</v>
      </c>
      <c r="DD77" s="1248">
        <v>0</v>
      </c>
      <c r="DE77" s="1248">
        <v>0</v>
      </c>
      <c r="DF77" s="1249">
        <v>40375.440000000002</v>
      </c>
      <c r="DG77" s="1247">
        <v>1302.95</v>
      </c>
      <c r="DH77" s="1248">
        <v>0</v>
      </c>
      <c r="DI77" s="1248">
        <v>899.03</v>
      </c>
      <c r="DJ77" s="1248">
        <v>403.92</v>
      </c>
      <c r="DK77" s="1248">
        <v>-0.01</v>
      </c>
      <c r="DL77" s="1249">
        <v>2605.89</v>
      </c>
      <c r="DM77" s="1247">
        <v>2712.9</v>
      </c>
      <c r="DN77" s="1248">
        <v>0</v>
      </c>
      <c r="DO77" s="1248">
        <v>16.149999999999999</v>
      </c>
      <c r="DP77" s="1248">
        <v>500.59</v>
      </c>
      <c r="DQ77" s="1248">
        <v>0</v>
      </c>
      <c r="DR77" s="1249">
        <v>3229.64</v>
      </c>
      <c r="DS77" s="1244"/>
      <c r="DT77" s="1245"/>
      <c r="DU77" s="1245"/>
      <c r="DV77" s="1245"/>
      <c r="DW77" s="1245"/>
      <c r="DX77" s="1246"/>
    </row>
    <row r="78" spans="1:128" ht="15" customHeight="1">
      <c r="A78" s="1092" t="s">
        <v>189</v>
      </c>
      <c r="B78" s="1239" t="s">
        <v>190</v>
      </c>
      <c r="C78" s="1467" t="s">
        <v>274</v>
      </c>
      <c r="D78" s="1240">
        <f t="shared" si="10"/>
        <v>1880440.5499999998</v>
      </c>
      <c r="E78" s="1241">
        <f t="shared" si="8"/>
        <v>821392.85</v>
      </c>
      <c r="F78" s="1242">
        <f t="shared" si="11"/>
        <v>270011.89999999997</v>
      </c>
      <c r="G78" s="1243">
        <f t="shared" si="9"/>
        <v>270012.27999999997</v>
      </c>
      <c r="H78" s="1242">
        <f t="shared" si="9"/>
        <v>-0.38</v>
      </c>
      <c r="I78" s="1244"/>
      <c r="J78" s="1245"/>
      <c r="K78" s="1245"/>
      <c r="L78" s="1245"/>
      <c r="M78" s="1245"/>
      <c r="N78" s="1246"/>
      <c r="O78" s="1244"/>
      <c r="P78" s="1245"/>
      <c r="Q78" s="1245"/>
      <c r="R78" s="1245"/>
      <c r="S78" s="1245"/>
      <c r="T78" s="1246"/>
      <c r="U78" s="1247">
        <v>5920.73</v>
      </c>
      <c r="V78" s="1248">
        <v>0</v>
      </c>
      <c r="W78" s="1248">
        <v>35.24</v>
      </c>
      <c r="X78" s="1248">
        <v>1092.53</v>
      </c>
      <c r="Y78" s="1248">
        <v>0</v>
      </c>
      <c r="Z78" s="1249">
        <v>7048.5</v>
      </c>
      <c r="AA78" s="1247">
        <v>22753.62</v>
      </c>
      <c r="AB78" s="1248">
        <v>0</v>
      </c>
      <c r="AC78" s="1248">
        <v>0</v>
      </c>
      <c r="AD78" s="1248">
        <v>5688.38</v>
      </c>
      <c r="AE78" s="1248">
        <v>0</v>
      </c>
      <c r="AF78" s="1249">
        <v>28442</v>
      </c>
      <c r="AG78" s="1247">
        <v>3184.98</v>
      </c>
      <c r="AH78" s="1248">
        <v>0</v>
      </c>
      <c r="AI78" s="1248">
        <v>1891.54</v>
      </c>
      <c r="AJ78" s="1248">
        <v>931.2</v>
      </c>
      <c r="AK78" s="1248">
        <v>-0.05</v>
      </c>
      <c r="AL78" s="1249">
        <v>6007.67</v>
      </c>
      <c r="AM78" s="1247">
        <v>4065.41</v>
      </c>
      <c r="AN78" s="1248">
        <v>0</v>
      </c>
      <c r="AO78" s="1248">
        <v>1016.35</v>
      </c>
      <c r="AP78" s="1248">
        <v>0</v>
      </c>
      <c r="AQ78" s="1248">
        <v>0</v>
      </c>
      <c r="AR78" s="1249">
        <v>5081.76</v>
      </c>
      <c r="AS78" s="1247">
        <v>11127.46</v>
      </c>
      <c r="AT78" s="1248">
        <v>0</v>
      </c>
      <c r="AU78" s="1248">
        <v>2781.88</v>
      </c>
      <c r="AV78" s="1248">
        <v>0</v>
      </c>
      <c r="AW78" s="1248">
        <v>0</v>
      </c>
      <c r="AX78" s="1249">
        <v>13909.34</v>
      </c>
      <c r="AY78" s="1244"/>
      <c r="AZ78" s="1245"/>
      <c r="BA78" s="1245"/>
      <c r="BB78" s="1245"/>
      <c r="BC78" s="1245"/>
      <c r="BD78" s="1246"/>
      <c r="BE78" s="1247">
        <v>4435.3900000000003</v>
      </c>
      <c r="BF78" s="1248">
        <v>0</v>
      </c>
      <c r="BG78" s="1248">
        <v>8009.61</v>
      </c>
      <c r="BH78" s="1248">
        <v>0</v>
      </c>
      <c r="BI78" s="1248">
        <v>0</v>
      </c>
      <c r="BJ78" s="1249">
        <v>12445</v>
      </c>
      <c r="BK78" s="1247">
        <v>124086.76</v>
      </c>
      <c r="BL78" s="1248">
        <v>0</v>
      </c>
      <c r="BM78" s="1248">
        <v>15717.66</v>
      </c>
      <c r="BN78" s="1248">
        <v>25644.6</v>
      </c>
      <c r="BO78" s="1248">
        <v>-0.02</v>
      </c>
      <c r="BP78" s="1249">
        <v>165449</v>
      </c>
      <c r="BQ78" s="1247">
        <v>800542.45</v>
      </c>
      <c r="BR78" s="1248">
        <v>0</v>
      </c>
      <c r="BS78" s="1248">
        <v>641344.43000000005</v>
      </c>
      <c r="BT78" s="1248">
        <v>159197.97</v>
      </c>
      <c r="BU78" s="1248">
        <v>-0.11</v>
      </c>
      <c r="BV78" s="1249">
        <v>1601084.74</v>
      </c>
      <c r="BW78" s="1247">
        <v>139910.01999999999</v>
      </c>
      <c r="BX78" s="1248">
        <v>0</v>
      </c>
      <c r="BY78" s="1248">
        <v>96537.83</v>
      </c>
      <c r="BZ78" s="1248">
        <v>43372.1</v>
      </c>
      <c r="CA78" s="1248">
        <v>-0.18</v>
      </c>
      <c r="CB78" s="1249">
        <v>279819.77</v>
      </c>
      <c r="CC78" s="1247">
        <v>10030.01</v>
      </c>
      <c r="CD78" s="1248">
        <v>0</v>
      </c>
      <c r="CE78" s="1248">
        <v>0</v>
      </c>
      <c r="CF78" s="1248">
        <v>17677.150000000001</v>
      </c>
      <c r="CG78" s="1248">
        <v>0</v>
      </c>
      <c r="CH78" s="1249">
        <v>27707.16</v>
      </c>
      <c r="CI78" s="1244"/>
      <c r="CJ78" s="1245"/>
      <c r="CK78" s="1245"/>
      <c r="CL78" s="1245"/>
      <c r="CM78" s="1245"/>
      <c r="CN78" s="1246"/>
      <c r="CO78" s="1247">
        <v>234969.9</v>
      </c>
      <c r="CP78" s="1248">
        <v>0</v>
      </c>
      <c r="CQ78" s="1248">
        <v>0</v>
      </c>
      <c r="CR78" s="1248">
        <v>0</v>
      </c>
      <c r="CS78" s="1248">
        <v>0</v>
      </c>
      <c r="CT78" s="1249">
        <v>234969.9</v>
      </c>
      <c r="CU78" s="1247">
        <v>53537.05</v>
      </c>
      <c r="CV78" s="1248">
        <v>0</v>
      </c>
      <c r="CW78" s="1248">
        <v>42935.57</v>
      </c>
      <c r="CX78" s="1248">
        <v>10601.47</v>
      </c>
      <c r="CY78" s="1248">
        <v>-0.02</v>
      </c>
      <c r="CZ78" s="1249">
        <v>107074.07</v>
      </c>
      <c r="DA78" s="1247">
        <v>445342.66</v>
      </c>
      <c r="DB78" s="1248">
        <v>0</v>
      </c>
      <c r="DC78" s="1248">
        <v>0</v>
      </c>
      <c r="DD78" s="1248">
        <v>0</v>
      </c>
      <c r="DE78" s="1248">
        <v>0</v>
      </c>
      <c r="DF78" s="1249">
        <v>445342.66</v>
      </c>
      <c r="DG78" s="1247">
        <v>16081.5</v>
      </c>
      <c r="DH78" s="1248">
        <v>0</v>
      </c>
      <c r="DI78" s="1248">
        <v>11096.24</v>
      </c>
      <c r="DJ78" s="1248">
        <v>4985.2700000000004</v>
      </c>
      <c r="DK78" s="1248">
        <v>-0.01</v>
      </c>
      <c r="DL78" s="1249">
        <v>32163</v>
      </c>
      <c r="DM78" s="1247">
        <v>4452.6099999999997</v>
      </c>
      <c r="DN78" s="1248">
        <v>0</v>
      </c>
      <c r="DO78" s="1248">
        <v>26.5</v>
      </c>
      <c r="DP78" s="1248">
        <v>821.61</v>
      </c>
      <c r="DQ78" s="1248">
        <v>0.01</v>
      </c>
      <c r="DR78" s="1249">
        <v>5300.73</v>
      </c>
      <c r="DS78" s="1244"/>
      <c r="DT78" s="1245"/>
      <c r="DU78" s="1245"/>
      <c r="DV78" s="1245"/>
      <c r="DW78" s="1245"/>
      <c r="DX78" s="1246"/>
    </row>
    <row r="79" spans="1:128" ht="15" customHeight="1">
      <c r="A79" s="1092" t="s">
        <v>191</v>
      </c>
      <c r="B79" s="1239" t="s">
        <v>192</v>
      </c>
      <c r="C79" s="1467" t="s">
        <v>275</v>
      </c>
      <c r="D79" s="1240">
        <f t="shared" si="10"/>
        <v>221836.80000000002</v>
      </c>
      <c r="E79" s="1241">
        <f t="shared" si="8"/>
        <v>61275.920000000006</v>
      </c>
      <c r="F79" s="1242">
        <f t="shared" si="11"/>
        <v>32409.739999999998</v>
      </c>
      <c r="G79" s="1243">
        <f t="shared" si="9"/>
        <v>32409.94</v>
      </c>
      <c r="H79" s="1242">
        <f t="shared" si="9"/>
        <v>-0.2</v>
      </c>
      <c r="I79" s="1244"/>
      <c r="J79" s="1245"/>
      <c r="K79" s="1245"/>
      <c r="L79" s="1245"/>
      <c r="M79" s="1245"/>
      <c r="N79" s="1246"/>
      <c r="O79" s="1244"/>
      <c r="P79" s="1245"/>
      <c r="Q79" s="1245"/>
      <c r="R79" s="1245"/>
      <c r="S79" s="1245"/>
      <c r="T79" s="1246"/>
      <c r="U79" s="1247">
        <v>4405.96</v>
      </c>
      <c r="V79" s="1248">
        <v>0</v>
      </c>
      <c r="W79" s="1248">
        <v>26.24</v>
      </c>
      <c r="X79" s="1248">
        <v>813.01</v>
      </c>
      <c r="Y79" s="1248">
        <v>-0.03</v>
      </c>
      <c r="Z79" s="1249">
        <v>5245.18</v>
      </c>
      <c r="AA79" s="1247">
        <v>34730.61</v>
      </c>
      <c r="AB79" s="1248">
        <v>0</v>
      </c>
      <c r="AC79" s="1248">
        <v>0</v>
      </c>
      <c r="AD79" s="1248">
        <v>8682.65</v>
      </c>
      <c r="AE79" s="1248">
        <v>0</v>
      </c>
      <c r="AF79" s="1249">
        <v>43413.26</v>
      </c>
      <c r="AG79" s="1244"/>
      <c r="AH79" s="1245"/>
      <c r="AI79" s="1245"/>
      <c r="AJ79" s="1245"/>
      <c r="AK79" s="1245"/>
      <c r="AL79" s="1246"/>
      <c r="AM79" s="1247">
        <v>4642.82</v>
      </c>
      <c r="AN79" s="1248">
        <v>0</v>
      </c>
      <c r="AO79" s="1248">
        <v>1160.7</v>
      </c>
      <c r="AP79" s="1248">
        <v>0</v>
      </c>
      <c r="AQ79" s="1248">
        <v>0</v>
      </c>
      <c r="AR79" s="1249">
        <v>5803.52</v>
      </c>
      <c r="AS79" s="1247">
        <v>9589.75</v>
      </c>
      <c r="AT79" s="1248">
        <v>0</v>
      </c>
      <c r="AU79" s="1248">
        <v>2397.4299999999998</v>
      </c>
      <c r="AV79" s="1248">
        <v>0</v>
      </c>
      <c r="AW79" s="1248">
        <v>0</v>
      </c>
      <c r="AX79" s="1249">
        <v>11987.18</v>
      </c>
      <c r="AY79" s="1244"/>
      <c r="AZ79" s="1245"/>
      <c r="BA79" s="1245"/>
      <c r="BB79" s="1245"/>
      <c r="BC79" s="1245"/>
      <c r="BD79" s="1246"/>
      <c r="BE79" s="1244"/>
      <c r="BF79" s="1245"/>
      <c r="BG79" s="1245"/>
      <c r="BH79" s="1245"/>
      <c r="BI79" s="1245"/>
      <c r="BJ79" s="1246"/>
      <c r="BK79" s="1247">
        <v>23731.51</v>
      </c>
      <c r="BL79" s="1248">
        <v>0</v>
      </c>
      <c r="BM79" s="1248">
        <v>3005.99</v>
      </c>
      <c r="BN79" s="1248">
        <v>4904.51</v>
      </c>
      <c r="BO79" s="1248">
        <v>-0.01</v>
      </c>
      <c r="BP79" s="1249">
        <v>31642</v>
      </c>
      <c r="BQ79" s="1247">
        <v>35137.699999999997</v>
      </c>
      <c r="BR79" s="1248">
        <v>0</v>
      </c>
      <c r="BS79" s="1248">
        <v>29117.9</v>
      </c>
      <c r="BT79" s="1248">
        <v>6019.8</v>
      </c>
      <c r="BU79" s="1248">
        <v>0</v>
      </c>
      <c r="BV79" s="1249">
        <v>70275.399999999994</v>
      </c>
      <c r="BW79" s="1247">
        <v>24655.7</v>
      </c>
      <c r="BX79" s="1248">
        <v>0</v>
      </c>
      <c r="BY79" s="1248">
        <v>17012.45</v>
      </c>
      <c r="BZ79" s="1248">
        <v>7643.28</v>
      </c>
      <c r="CA79" s="1248">
        <v>-0.14000000000000001</v>
      </c>
      <c r="CB79" s="1249">
        <v>49311.29</v>
      </c>
      <c r="CC79" s="1244"/>
      <c r="CD79" s="1245"/>
      <c r="CE79" s="1245"/>
      <c r="CF79" s="1245"/>
      <c r="CG79" s="1245"/>
      <c r="CH79" s="1246"/>
      <c r="CI79" s="1244"/>
      <c r="CJ79" s="1245"/>
      <c r="CK79" s="1245"/>
      <c r="CL79" s="1245"/>
      <c r="CM79" s="1245"/>
      <c r="CN79" s="1246"/>
      <c r="CO79" s="1247">
        <v>4371</v>
      </c>
      <c r="CP79" s="1248">
        <v>0</v>
      </c>
      <c r="CQ79" s="1248">
        <v>0</v>
      </c>
      <c r="CR79" s="1248">
        <v>0</v>
      </c>
      <c r="CS79" s="1248">
        <v>0</v>
      </c>
      <c r="CT79" s="1249">
        <v>4371</v>
      </c>
      <c r="CU79" s="1244"/>
      <c r="CV79" s="1245"/>
      <c r="CW79" s="1245"/>
      <c r="CX79" s="1245"/>
      <c r="CY79" s="1245"/>
      <c r="CZ79" s="1246"/>
      <c r="DA79" s="1247">
        <v>65430.6</v>
      </c>
      <c r="DB79" s="1248">
        <v>0</v>
      </c>
      <c r="DC79" s="1248">
        <v>0</v>
      </c>
      <c r="DD79" s="1248">
        <v>0</v>
      </c>
      <c r="DE79" s="1248">
        <v>0</v>
      </c>
      <c r="DF79" s="1249">
        <v>65430.6</v>
      </c>
      <c r="DG79" s="1247">
        <v>12375.01</v>
      </c>
      <c r="DH79" s="1248">
        <v>0</v>
      </c>
      <c r="DI79" s="1248">
        <v>8538.74</v>
      </c>
      <c r="DJ79" s="1248">
        <v>3836.25</v>
      </c>
      <c r="DK79" s="1248">
        <v>0</v>
      </c>
      <c r="DL79" s="1249">
        <v>24750</v>
      </c>
      <c r="DM79" s="1247">
        <v>2766.14</v>
      </c>
      <c r="DN79" s="1248">
        <v>0</v>
      </c>
      <c r="DO79" s="1248">
        <v>16.47</v>
      </c>
      <c r="DP79" s="1248">
        <v>510.44</v>
      </c>
      <c r="DQ79" s="1248">
        <v>-0.02</v>
      </c>
      <c r="DR79" s="1249">
        <v>3293.03</v>
      </c>
      <c r="DS79" s="1244"/>
      <c r="DT79" s="1245"/>
      <c r="DU79" s="1245"/>
      <c r="DV79" s="1245"/>
      <c r="DW79" s="1245"/>
      <c r="DX79" s="1246"/>
    </row>
    <row r="80" spans="1:128" ht="15" customHeight="1">
      <c r="A80" s="1092" t="s">
        <v>195</v>
      </c>
      <c r="B80" s="1239" t="s">
        <v>196</v>
      </c>
      <c r="C80" s="1467" t="s">
        <v>274</v>
      </c>
      <c r="D80" s="1240">
        <f t="shared" si="10"/>
        <v>65937.960000000006</v>
      </c>
      <c r="E80" s="1241">
        <f t="shared" si="8"/>
        <v>4361.3100000000004</v>
      </c>
      <c r="F80" s="1242">
        <f t="shared" si="11"/>
        <v>5539.9400000000005</v>
      </c>
      <c r="G80" s="1243">
        <f t="shared" si="9"/>
        <v>5540.01</v>
      </c>
      <c r="H80" s="1242">
        <f t="shared" si="9"/>
        <v>-7.0000000000000007E-2</v>
      </c>
      <c r="I80" s="1244"/>
      <c r="J80" s="1245"/>
      <c r="K80" s="1245"/>
      <c r="L80" s="1245"/>
      <c r="M80" s="1245"/>
      <c r="N80" s="1246"/>
      <c r="O80" s="1244"/>
      <c r="P80" s="1245"/>
      <c r="Q80" s="1245"/>
      <c r="R80" s="1245"/>
      <c r="S80" s="1245"/>
      <c r="T80" s="1246"/>
      <c r="U80" s="1244"/>
      <c r="V80" s="1245"/>
      <c r="W80" s="1245"/>
      <c r="X80" s="1245"/>
      <c r="Y80" s="1245"/>
      <c r="Z80" s="1246"/>
      <c r="AA80" s="1247">
        <v>6427.61</v>
      </c>
      <c r="AB80" s="1248">
        <v>0</v>
      </c>
      <c r="AC80" s="1248">
        <v>0</v>
      </c>
      <c r="AD80" s="1248">
        <v>1606.87</v>
      </c>
      <c r="AE80" s="1248">
        <v>0</v>
      </c>
      <c r="AF80" s="1249">
        <v>8034.48</v>
      </c>
      <c r="AG80" s="1244"/>
      <c r="AH80" s="1245"/>
      <c r="AI80" s="1245"/>
      <c r="AJ80" s="1245"/>
      <c r="AK80" s="1245"/>
      <c r="AL80" s="1246"/>
      <c r="AM80" s="1244"/>
      <c r="AN80" s="1245"/>
      <c r="AO80" s="1245"/>
      <c r="AP80" s="1245"/>
      <c r="AQ80" s="1245"/>
      <c r="AR80" s="1246"/>
      <c r="AS80" s="1247">
        <v>1145.2</v>
      </c>
      <c r="AT80" s="1248">
        <v>0</v>
      </c>
      <c r="AU80" s="1248">
        <v>286.3</v>
      </c>
      <c r="AV80" s="1248">
        <v>0</v>
      </c>
      <c r="AW80" s="1248">
        <v>0</v>
      </c>
      <c r="AX80" s="1249">
        <v>1431.5</v>
      </c>
      <c r="AY80" s="1244"/>
      <c r="AZ80" s="1245"/>
      <c r="BA80" s="1245"/>
      <c r="BB80" s="1245"/>
      <c r="BC80" s="1245"/>
      <c r="BD80" s="1246"/>
      <c r="BE80" s="1244"/>
      <c r="BF80" s="1245"/>
      <c r="BG80" s="1245"/>
      <c r="BH80" s="1245"/>
      <c r="BI80" s="1245"/>
      <c r="BJ80" s="1246"/>
      <c r="BK80" s="1247">
        <v>12674.35</v>
      </c>
      <c r="BL80" s="1248">
        <v>0</v>
      </c>
      <c r="BM80" s="1248">
        <v>1605.45</v>
      </c>
      <c r="BN80" s="1248">
        <v>2619.38</v>
      </c>
      <c r="BO80" s="1248">
        <v>-7.0000000000000007E-2</v>
      </c>
      <c r="BP80" s="1249">
        <v>16899.11</v>
      </c>
      <c r="BQ80" s="1247">
        <v>2783</v>
      </c>
      <c r="BR80" s="1248">
        <v>0</v>
      </c>
      <c r="BS80" s="1248">
        <v>2413.6</v>
      </c>
      <c r="BT80" s="1248">
        <v>369.4</v>
      </c>
      <c r="BU80" s="1248">
        <v>0</v>
      </c>
      <c r="BV80" s="1249">
        <v>5566</v>
      </c>
      <c r="BW80" s="1247">
        <v>37.5</v>
      </c>
      <c r="BX80" s="1248">
        <v>0</v>
      </c>
      <c r="BY80" s="1248">
        <v>25.88</v>
      </c>
      <c r="BZ80" s="1248">
        <v>11.63</v>
      </c>
      <c r="CA80" s="1248">
        <v>-0.01</v>
      </c>
      <c r="CB80" s="1249">
        <v>75</v>
      </c>
      <c r="CC80" s="1244"/>
      <c r="CD80" s="1245"/>
      <c r="CE80" s="1245"/>
      <c r="CF80" s="1245"/>
      <c r="CG80" s="1245"/>
      <c r="CH80" s="1246"/>
      <c r="CI80" s="1244"/>
      <c r="CJ80" s="1245"/>
      <c r="CK80" s="1245"/>
      <c r="CL80" s="1245"/>
      <c r="CM80" s="1245"/>
      <c r="CN80" s="1246"/>
      <c r="CO80" s="1247">
        <v>3658</v>
      </c>
      <c r="CP80" s="1248">
        <v>0</v>
      </c>
      <c r="CQ80" s="1248">
        <v>0</v>
      </c>
      <c r="CR80" s="1248">
        <v>0</v>
      </c>
      <c r="CS80" s="1248">
        <v>0</v>
      </c>
      <c r="CT80" s="1249">
        <v>3658</v>
      </c>
      <c r="CU80" s="1244"/>
      <c r="CV80" s="1245"/>
      <c r="CW80" s="1245"/>
      <c r="CX80" s="1245"/>
      <c r="CY80" s="1245"/>
      <c r="CZ80" s="1246"/>
      <c r="DA80" s="1247">
        <v>34157.449999999997</v>
      </c>
      <c r="DB80" s="1248">
        <v>0</v>
      </c>
      <c r="DC80" s="1248">
        <v>0</v>
      </c>
      <c r="DD80" s="1248">
        <v>0</v>
      </c>
      <c r="DE80" s="1248">
        <v>0</v>
      </c>
      <c r="DF80" s="1249">
        <v>34157.449999999997</v>
      </c>
      <c r="DG80" s="1244"/>
      <c r="DH80" s="1245"/>
      <c r="DI80" s="1245"/>
      <c r="DJ80" s="1245"/>
      <c r="DK80" s="1245"/>
      <c r="DL80" s="1246"/>
      <c r="DM80" s="1247">
        <v>5054.8500000000004</v>
      </c>
      <c r="DN80" s="1248">
        <v>0</v>
      </c>
      <c r="DO80" s="1248">
        <v>30.08</v>
      </c>
      <c r="DP80" s="1248">
        <v>932.73</v>
      </c>
      <c r="DQ80" s="1248">
        <v>0.01</v>
      </c>
      <c r="DR80" s="1249">
        <v>6017.67</v>
      </c>
      <c r="DS80" s="1244"/>
      <c r="DT80" s="1245"/>
      <c r="DU80" s="1245"/>
      <c r="DV80" s="1245"/>
      <c r="DW80" s="1245"/>
      <c r="DX80" s="1246"/>
    </row>
    <row r="81" spans="1:128" ht="15" customHeight="1">
      <c r="A81" s="1092" t="s">
        <v>199</v>
      </c>
      <c r="B81" s="1239" t="s">
        <v>200</v>
      </c>
      <c r="C81" s="1467" t="s">
        <v>273</v>
      </c>
      <c r="D81" s="1240">
        <f t="shared" si="10"/>
        <v>29817.240000000005</v>
      </c>
      <c r="E81" s="1241">
        <f t="shared" si="8"/>
        <v>8063.08</v>
      </c>
      <c r="F81" s="1242">
        <f t="shared" si="11"/>
        <v>5796.17</v>
      </c>
      <c r="G81" s="1243">
        <f t="shared" si="9"/>
        <v>5796.14</v>
      </c>
      <c r="H81" s="1242">
        <f t="shared" si="9"/>
        <v>3.0000000000000002E-2</v>
      </c>
      <c r="I81" s="1244"/>
      <c r="J81" s="1245"/>
      <c r="K81" s="1245"/>
      <c r="L81" s="1245"/>
      <c r="M81" s="1245"/>
      <c r="N81" s="1246"/>
      <c r="O81" s="1247">
        <v>-8</v>
      </c>
      <c r="P81" s="1248">
        <v>0</v>
      </c>
      <c r="Q81" s="1248">
        <v>0</v>
      </c>
      <c r="R81" s="1248">
        <v>-2</v>
      </c>
      <c r="S81" s="1248">
        <v>0</v>
      </c>
      <c r="T81" s="1249">
        <v>-10</v>
      </c>
      <c r="U81" s="1247">
        <v>616.75</v>
      </c>
      <c r="V81" s="1248">
        <v>0</v>
      </c>
      <c r="W81" s="1248">
        <v>3.65</v>
      </c>
      <c r="X81" s="1248">
        <v>113.78</v>
      </c>
      <c r="Y81" s="1248">
        <v>0.05</v>
      </c>
      <c r="Z81" s="1249">
        <v>734.23</v>
      </c>
      <c r="AA81" s="1247">
        <v>3632</v>
      </c>
      <c r="AB81" s="1248">
        <v>0</v>
      </c>
      <c r="AC81" s="1248">
        <v>0</v>
      </c>
      <c r="AD81" s="1248">
        <v>908</v>
      </c>
      <c r="AE81" s="1248">
        <v>0</v>
      </c>
      <c r="AF81" s="1249">
        <v>4540</v>
      </c>
      <c r="AG81" s="1244"/>
      <c r="AH81" s="1245"/>
      <c r="AI81" s="1245"/>
      <c r="AJ81" s="1245"/>
      <c r="AK81" s="1245"/>
      <c r="AL81" s="1246"/>
      <c r="AM81" s="1244"/>
      <c r="AN81" s="1245"/>
      <c r="AO81" s="1245"/>
      <c r="AP81" s="1245"/>
      <c r="AQ81" s="1245"/>
      <c r="AR81" s="1246"/>
      <c r="AS81" s="1244"/>
      <c r="AT81" s="1245"/>
      <c r="AU81" s="1245"/>
      <c r="AV81" s="1245"/>
      <c r="AW81" s="1245"/>
      <c r="AX81" s="1246"/>
      <c r="AY81" s="1244"/>
      <c r="AZ81" s="1245"/>
      <c r="BA81" s="1245"/>
      <c r="BB81" s="1245"/>
      <c r="BC81" s="1245"/>
      <c r="BD81" s="1246"/>
      <c r="BE81" s="1244"/>
      <c r="BF81" s="1245"/>
      <c r="BG81" s="1245"/>
      <c r="BH81" s="1245"/>
      <c r="BI81" s="1245"/>
      <c r="BJ81" s="1246"/>
      <c r="BK81" s="1247">
        <v>14090.26</v>
      </c>
      <c r="BL81" s="1248">
        <v>0</v>
      </c>
      <c r="BM81" s="1248">
        <v>1784.76</v>
      </c>
      <c r="BN81" s="1248">
        <v>2911.98</v>
      </c>
      <c r="BO81" s="1248">
        <v>0</v>
      </c>
      <c r="BP81" s="1249">
        <v>18787</v>
      </c>
      <c r="BQ81" s="1247">
        <v>3836.15</v>
      </c>
      <c r="BR81" s="1248">
        <v>0</v>
      </c>
      <c r="BS81" s="1248">
        <v>3483.8</v>
      </c>
      <c r="BT81" s="1248">
        <v>352.35</v>
      </c>
      <c r="BU81" s="1248">
        <v>0</v>
      </c>
      <c r="BV81" s="1249">
        <v>7672.3</v>
      </c>
      <c r="BW81" s="1247">
        <v>2152.08</v>
      </c>
      <c r="BX81" s="1248">
        <v>0</v>
      </c>
      <c r="BY81" s="1248">
        <v>513.87</v>
      </c>
      <c r="BZ81" s="1248">
        <v>489.03</v>
      </c>
      <c r="CA81" s="1248">
        <v>-0.02</v>
      </c>
      <c r="CB81" s="1249">
        <v>3154.96</v>
      </c>
      <c r="CC81" s="1244"/>
      <c r="CD81" s="1245"/>
      <c r="CE81" s="1245"/>
      <c r="CF81" s="1245"/>
      <c r="CG81" s="1245"/>
      <c r="CH81" s="1246"/>
      <c r="CI81" s="1244"/>
      <c r="CJ81" s="1245"/>
      <c r="CK81" s="1245"/>
      <c r="CL81" s="1245"/>
      <c r="CM81" s="1245"/>
      <c r="CN81" s="1246"/>
      <c r="CO81" s="1244"/>
      <c r="CP81" s="1245"/>
      <c r="CQ81" s="1245"/>
      <c r="CR81" s="1245"/>
      <c r="CS81" s="1245"/>
      <c r="CT81" s="1246"/>
      <c r="CU81" s="1244"/>
      <c r="CV81" s="1245"/>
      <c r="CW81" s="1245"/>
      <c r="CX81" s="1245"/>
      <c r="CY81" s="1245"/>
      <c r="CZ81" s="1246"/>
      <c r="DA81" s="1247">
        <v>2198</v>
      </c>
      <c r="DB81" s="1248">
        <v>0</v>
      </c>
      <c r="DC81" s="1248">
        <v>0</v>
      </c>
      <c r="DD81" s="1248">
        <v>0</v>
      </c>
      <c r="DE81" s="1248">
        <v>0</v>
      </c>
      <c r="DF81" s="1249">
        <v>2198</v>
      </c>
      <c r="DG81" s="1247">
        <v>3300</v>
      </c>
      <c r="DH81" s="1248">
        <v>0</v>
      </c>
      <c r="DI81" s="1248">
        <v>2277</v>
      </c>
      <c r="DJ81" s="1248">
        <v>1023</v>
      </c>
      <c r="DK81" s="1248">
        <v>0</v>
      </c>
      <c r="DL81" s="1249">
        <v>6600</v>
      </c>
      <c r="DM81" s="1244"/>
      <c r="DN81" s="1245"/>
      <c r="DO81" s="1245"/>
      <c r="DP81" s="1245"/>
      <c r="DQ81" s="1245"/>
      <c r="DR81" s="1246"/>
      <c r="DS81" s="1244"/>
      <c r="DT81" s="1245"/>
      <c r="DU81" s="1245"/>
      <c r="DV81" s="1245"/>
      <c r="DW81" s="1245"/>
      <c r="DX81" s="1246"/>
    </row>
    <row r="82" spans="1:128" ht="15" customHeight="1">
      <c r="A82" s="1092" t="s">
        <v>203</v>
      </c>
      <c r="B82" s="1239" t="s">
        <v>204</v>
      </c>
      <c r="C82" s="1467" t="s">
        <v>272</v>
      </c>
      <c r="D82" s="1240">
        <f t="shared" si="10"/>
        <v>696407.3600000001</v>
      </c>
      <c r="E82" s="1241">
        <f t="shared" si="8"/>
        <v>235608.32000000001</v>
      </c>
      <c r="F82" s="1242">
        <f t="shared" si="11"/>
        <v>105868.76000000001</v>
      </c>
      <c r="G82" s="1243">
        <f t="shared" si="9"/>
        <v>105869.17000000001</v>
      </c>
      <c r="H82" s="1242">
        <f t="shared" si="9"/>
        <v>-0.41000000000000003</v>
      </c>
      <c r="I82" s="1244"/>
      <c r="J82" s="1245"/>
      <c r="K82" s="1245"/>
      <c r="L82" s="1245"/>
      <c r="M82" s="1245"/>
      <c r="N82" s="1246"/>
      <c r="O82" s="1244"/>
      <c r="P82" s="1245"/>
      <c r="Q82" s="1245"/>
      <c r="R82" s="1245"/>
      <c r="S82" s="1245"/>
      <c r="T82" s="1246"/>
      <c r="U82" s="1247">
        <v>10166.959999999999</v>
      </c>
      <c r="V82" s="1248">
        <v>0</v>
      </c>
      <c r="W82" s="1248">
        <v>60.53</v>
      </c>
      <c r="X82" s="1248">
        <v>1876.06</v>
      </c>
      <c r="Y82" s="1248">
        <v>-0.01</v>
      </c>
      <c r="Z82" s="1249">
        <v>12103.54</v>
      </c>
      <c r="AA82" s="1247">
        <v>58810.5</v>
      </c>
      <c r="AB82" s="1248">
        <v>0</v>
      </c>
      <c r="AC82" s="1248">
        <v>0</v>
      </c>
      <c r="AD82" s="1248">
        <v>14702.64</v>
      </c>
      <c r="AE82" s="1248">
        <v>0</v>
      </c>
      <c r="AF82" s="1249">
        <v>73513.14</v>
      </c>
      <c r="AG82" s="1247">
        <v>19266.03</v>
      </c>
      <c r="AH82" s="1248">
        <v>0</v>
      </c>
      <c r="AI82" s="1248">
        <v>647.58000000000004</v>
      </c>
      <c r="AJ82" s="1248">
        <v>3652.81</v>
      </c>
      <c r="AK82" s="1248">
        <v>-0.03</v>
      </c>
      <c r="AL82" s="1249">
        <v>23566.39</v>
      </c>
      <c r="AM82" s="1247">
        <v>9163.17</v>
      </c>
      <c r="AN82" s="1248">
        <v>0</v>
      </c>
      <c r="AO82" s="1248">
        <v>2290.79</v>
      </c>
      <c r="AP82" s="1248">
        <v>0</v>
      </c>
      <c r="AQ82" s="1248">
        <v>0</v>
      </c>
      <c r="AR82" s="1249">
        <v>11453.96</v>
      </c>
      <c r="AS82" s="1247">
        <v>11893.58</v>
      </c>
      <c r="AT82" s="1248">
        <v>0</v>
      </c>
      <c r="AU82" s="1248">
        <v>2973.38</v>
      </c>
      <c r="AV82" s="1248">
        <v>0</v>
      </c>
      <c r="AW82" s="1248">
        <v>0</v>
      </c>
      <c r="AX82" s="1249">
        <v>14866.96</v>
      </c>
      <c r="AY82" s="1244"/>
      <c r="AZ82" s="1245"/>
      <c r="BA82" s="1245"/>
      <c r="BB82" s="1245"/>
      <c r="BC82" s="1245"/>
      <c r="BD82" s="1246"/>
      <c r="BE82" s="1247">
        <v>645.79</v>
      </c>
      <c r="BF82" s="1248">
        <v>0</v>
      </c>
      <c r="BG82" s="1248">
        <v>1166.2</v>
      </c>
      <c r="BH82" s="1248">
        <v>0</v>
      </c>
      <c r="BI82" s="1248">
        <v>0</v>
      </c>
      <c r="BJ82" s="1249">
        <v>1811.99</v>
      </c>
      <c r="BK82" s="1247">
        <v>32815.4</v>
      </c>
      <c r="BL82" s="1248">
        <v>0</v>
      </c>
      <c r="BM82" s="1248">
        <v>4156.63</v>
      </c>
      <c r="BN82" s="1248">
        <v>6781.89</v>
      </c>
      <c r="BO82" s="1248">
        <v>-0.09</v>
      </c>
      <c r="BP82" s="1249">
        <v>43753.83</v>
      </c>
      <c r="BQ82" s="1247">
        <v>169591.6</v>
      </c>
      <c r="BR82" s="1248">
        <v>0</v>
      </c>
      <c r="BS82" s="1248">
        <v>135778.38</v>
      </c>
      <c r="BT82" s="1248">
        <v>33813.22</v>
      </c>
      <c r="BU82" s="1248">
        <v>0</v>
      </c>
      <c r="BV82" s="1249">
        <v>339183.2</v>
      </c>
      <c r="BW82" s="1247">
        <v>119029.45</v>
      </c>
      <c r="BX82" s="1248">
        <v>0</v>
      </c>
      <c r="BY82" s="1248">
        <v>82130.27</v>
      </c>
      <c r="BZ82" s="1248">
        <v>36899.11</v>
      </c>
      <c r="CA82" s="1248">
        <v>-0.22</v>
      </c>
      <c r="CB82" s="1249">
        <v>238058.61</v>
      </c>
      <c r="CC82" s="1247">
        <v>2355.59</v>
      </c>
      <c r="CD82" s="1248">
        <v>0</v>
      </c>
      <c r="CE82" s="1248">
        <v>0</v>
      </c>
      <c r="CF82" s="1248">
        <v>4151.6099999999997</v>
      </c>
      <c r="CG82" s="1248">
        <v>0</v>
      </c>
      <c r="CH82" s="1249">
        <v>6507.2</v>
      </c>
      <c r="CI82" s="1244"/>
      <c r="CJ82" s="1245"/>
      <c r="CK82" s="1245"/>
      <c r="CL82" s="1245"/>
      <c r="CM82" s="1245"/>
      <c r="CN82" s="1246"/>
      <c r="CO82" s="1247">
        <v>12348.44</v>
      </c>
      <c r="CP82" s="1248">
        <v>0</v>
      </c>
      <c r="CQ82" s="1248">
        <v>0</v>
      </c>
      <c r="CR82" s="1248">
        <v>0</v>
      </c>
      <c r="CS82" s="1248">
        <v>0</v>
      </c>
      <c r="CT82" s="1249">
        <v>12348.44</v>
      </c>
      <c r="CU82" s="1247">
        <v>1510.5</v>
      </c>
      <c r="CV82" s="1248">
        <v>0</v>
      </c>
      <c r="CW82" s="1248">
        <v>1208.4000000000001</v>
      </c>
      <c r="CX82" s="1248">
        <v>302.10000000000002</v>
      </c>
      <c r="CY82" s="1248">
        <v>0</v>
      </c>
      <c r="CZ82" s="1249">
        <v>3021</v>
      </c>
      <c r="DA82" s="1247">
        <v>233891.62</v>
      </c>
      <c r="DB82" s="1248">
        <v>0</v>
      </c>
      <c r="DC82" s="1248">
        <v>0</v>
      </c>
      <c r="DD82" s="1248">
        <v>0</v>
      </c>
      <c r="DE82" s="1248">
        <v>0</v>
      </c>
      <c r="DF82" s="1249">
        <v>233891.62</v>
      </c>
      <c r="DG82" s="1247">
        <v>7466.32</v>
      </c>
      <c r="DH82" s="1248">
        <v>0</v>
      </c>
      <c r="DI82" s="1248">
        <v>5151.78</v>
      </c>
      <c r="DJ82" s="1248">
        <v>2314.58</v>
      </c>
      <c r="DK82" s="1248">
        <v>-0.03</v>
      </c>
      <c r="DL82" s="1249">
        <v>14932.65</v>
      </c>
      <c r="DM82" s="1247">
        <v>7452.41</v>
      </c>
      <c r="DN82" s="1248">
        <v>0</v>
      </c>
      <c r="DO82" s="1248">
        <v>44.38</v>
      </c>
      <c r="DP82" s="1248">
        <v>1375.15</v>
      </c>
      <c r="DQ82" s="1248">
        <v>-0.03</v>
      </c>
      <c r="DR82" s="1249">
        <v>8871.91</v>
      </c>
      <c r="DS82" s="1244"/>
      <c r="DT82" s="1245"/>
      <c r="DU82" s="1245"/>
      <c r="DV82" s="1245"/>
      <c r="DW82" s="1245"/>
      <c r="DX82" s="1246"/>
    </row>
    <row r="83" spans="1:128" ht="15" customHeight="1">
      <c r="A83" s="1092" t="s">
        <v>205</v>
      </c>
      <c r="B83" s="1239" t="s">
        <v>206</v>
      </c>
      <c r="C83" s="1467" t="s">
        <v>272</v>
      </c>
      <c r="D83" s="1240">
        <f t="shared" si="10"/>
        <v>134613.04999999999</v>
      </c>
      <c r="E83" s="1241">
        <f t="shared" si="8"/>
        <v>25159.239999999998</v>
      </c>
      <c r="F83" s="1242">
        <f t="shared" si="11"/>
        <v>15972.680000000002</v>
      </c>
      <c r="G83" s="1243">
        <f t="shared" si="9"/>
        <v>15973.060000000001</v>
      </c>
      <c r="H83" s="1242">
        <f t="shared" si="9"/>
        <v>-0.38</v>
      </c>
      <c r="I83" s="1244"/>
      <c r="J83" s="1245"/>
      <c r="K83" s="1245"/>
      <c r="L83" s="1245"/>
      <c r="M83" s="1245"/>
      <c r="N83" s="1246"/>
      <c r="O83" s="1244"/>
      <c r="P83" s="1245"/>
      <c r="Q83" s="1245"/>
      <c r="R83" s="1245"/>
      <c r="S83" s="1245"/>
      <c r="T83" s="1246"/>
      <c r="U83" s="1247">
        <v>2498.41</v>
      </c>
      <c r="V83" s="1248">
        <v>0</v>
      </c>
      <c r="W83" s="1248">
        <v>14.879999999999999</v>
      </c>
      <c r="X83" s="1248">
        <v>461.03</v>
      </c>
      <c r="Y83" s="1248">
        <v>-0.03</v>
      </c>
      <c r="Z83" s="1249">
        <v>2974.29</v>
      </c>
      <c r="AA83" s="1247">
        <v>14447.96</v>
      </c>
      <c r="AB83" s="1248">
        <v>0</v>
      </c>
      <c r="AC83" s="1248">
        <v>0</v>
      </c>
      <c r="AD83" s="1248">
        <v>3611.99</v>
      </c>
      <c r="AE83" s="1248">
        <v>0</v>
      </c>
      <c r="AF83" s="1249">
        <v>18059.95</v>
      </c>
      <c r="AG83" s="1247">
        <v>999.38</v>
      </c>
      <c r="AH83" s="1248">
        <v>0</v>
      </c>
      <c r="AI83" s="1248">
        <v>470.94</v>
      </c>
      <c r="AJ83" s="1248">
        <v>269.72000000000003</v>
      </c>
      <c r="AK83" s="1248">
        <v>-0.04</v>
      </c>
      <c r="AL83" s="1249">
        <v>1740</v>
      </c>
      <c r="AM83" s="1247">
        <v>95.07</v>
      </c>
      <c r="AN83" s="1248">
        <v>0</v>
      </c>
      <c r="AO83" s="1248">
        <v>23.77</v>
      </c>
      <c r="AP83" s="1248">
        <v>0</v>
      </c>
      <c r="AQ83" s="1248">
        <v>0</v>
      </c>
      <c r="AR83" s="1249">
        <v>118.84</v>
      </c>
      <c r="AS83" s="1247">
        <v>364</v>
      </c>
      <c r="AT83" s="1248">
        <v>0</v>
      </c>
      <c r="AU83" s="1248">
        <v>91</v>
      </c>
      <c r="AV83" s="1248">
        <v>0</v>
      </c>
      <c r="AW83" s="1248">
        <v>0</v>
      </c>
      <c r="AX83" s="1249">
        <v>455</v>
      </c>
      <c r="AY83" s="1244"/>
      <c r="AZ83" s="1245"/>
      <c r="BA83" s="1245"/>
      <c r="BB83" s="1245"/>
      <c r="BC83" s="1245"/>
      <c r="BD83" s="1246"/>
      <c r="BE83" s="1244"/>
      <c r="BF83" s="1245"/>
      <c r="BG83" s="1245"/>
      <c r="BH83" s="1245"/>
      <c r="BI83" s="1245"/>
      <c r="BJ83" s="1246"/>
      <c r="BK83" s="1247">
        <v>29838.57</v>
      </c>
      <c r="BL83" s="1248">
        <v>0</v>
      </c>
      <c r="BM83" s="1248">
        <v>3779.5999999999995</v>
      </c>
      <c r="BN83" s="1248">
        <v>6166.6900000000005</v>
      </c>
      <c r="BO83" s="1248">
        <v>-0.11000000000000001</v>
      </c>
      <c r="BP83" s="1249">
        <v>39784.75</v>
      </c>
      <c r="BQ83" s="1247">
        <v>17587</v>
      </c>
      <c r="BR83" s="1248">
        <v>0</v>
      </c>
      <c r="BS83" s="1248">
        <v>15010.07</v>
      </c>
      <c r="BT83" s="1248">
        <v>2576.9300000000003</v>
      </c>
      <c r="BU83" s="1248">
        <v>0</v>
      </c>
      <c r="BV83" s="1249">
        <v>35174</v>
      </c>
      <c r="BW83" s="1247">
        <v>8346.77</v>
      </c>
      <c r="BX83" s="1248">
        <v>0</v>
      </c>
      <c r="BY83" s="1248">
        <v>5759.329999999999</v>
      </c>
      <c r="BZ83" s="1248">
        <v>2587.58</v>
      </c>
      <c r="CA83" s="1248">
        <v>-0.19</v>
      </c>
      <c r="CB83" s="1249">
        <v>16693.489999999998</v>
      </c>
      <c r="CC83" s="1244"/>
      <c r="CD83" s="1245"/>
      <c r="CE83" s="1245"/>
      <c r="CF83" s="1245"/>
      <c r="CG83" s="1245"/>
      <c r="CH83" s="1246"/>
      <c r="CI83" s="1244"/>
      <c r="CJ83" s="1245"/>
      <c r="CK83" s="1245"/>
      <c r="CL83" s="1245"/>
      <c r="CM83" s="1245"/>
      <c r="CN83" s="1246"/>
      <c r="CO83" s="1247">
        <v>3045.7</v>
      </c>
      <c r="CP83" s="1248">
        <v>0</v>
      </c>
      <c r="CQ83" s="1248">
        <v>0</v>
      </c>
      <c r="CR83" s="1248">
        <v>0</v>
      </c>
      <c r="CS83" s="1248">
        <v>0</v>
      </c>
      <c r="CT83" s="1249">
        <v>3045.7</v>
      </c>
      <c r="CU83" s="1244"/>
      <c r="CV83" s="1245"/>
      <c r="CW83" s="1245"/>
      <c r="CX83" s="1245"/>
      <c r="CY83" s="1245"/>
      <c r="CZ83" s="1246"/>
      <c r="DA83" s="1247">
        <v>55769.2</v>
      </c>
      <c r="DB83" s="1248">
        <v>0</v>
      </c>
      <c r="DC83" s="1248">
        <v>0</v>
      </c>
      <c r="DD83" s="1248">
        <v>0</v>
      </c>
      <c r="DE83" s="1248">
        <v>0</v>
      </c>
      <c r="DF83" s="1249">
        <v>55769.2</v>
      </c>
      <c r="DG83" s="1244"/>
      <c r="DH83" s="1245"/>
      <c r="DI83" s="1245"/>
      <c r="DJ83" s="1245"/>
      <c r="DK83" s="1245"/>
      <c r="DL83" s="1246"/>
      <c r="DM83" s="1247">
        <v>1620.99</v>
      </c>
      <c r="DN83" s="1248">
        <v>0</v>
      </c>
      <c r="DO83" s="1248">
        <v>9.65</v>
      </c>
      <c r="DP83" s="1248">
        <v>299.12</v>
      </c>
      <c r="DQ83" s="1248">
        <v>-0.01</v>
      </c>
      <c r="DR83" s="1249">
        <v>1929.75</v>
      </c>
      <c r="DS83" s="1244"/>
      <c r="DT83" s="1245"/>
      <c r="DU83" s="1245"/>
      <c r="DV83" s="1245"/>
      <c r="DW83" s="1245"/>
      <c r="DX83" s="1246"/>
    </row>
    <row r="84" spans="1:128" ht="15" customHeight="1">
      <c r="A84" s="1092" t="s">
        <v>207</v>
      </c>
      <c r="B84" s="1239" t="s">
        <v>208</v>
      </c>
      <c r="C84" s="1467" t="s">
        <v>274</v>
      </c>
      <c r="D84" s="1240">
        <f t="shared" si="10"/>
        <v>733542.63</v>
      </c>
      <c r="E84" s="1241">
        <f t="shared" si="8"/>
        <v>251749.09000000003</v>
      </c>
      <c r="F84" s="1242">
        <f t="shared" si="11"/>
        <v>81757.61</v>
      </c>
      <c r="G84" s="1243">
        <f t="shared" si="9"/>
        <v>81757.86</v>
      </c>
      <c r="H84" s="1242">
        <f t="shared" si="9"/>
        <v>-0.25</v>
      </c>
      <c r="I84" s="1244"/>
      <c r="J84" s="1245"/>
      <c r="K84" s="1245"/>
      <c r="L84" s="1245"/>
      <c r="M84" s="1245"/>
      <c r="N84" s="1246"/>
      <c r="O84" s="1244"/>
      <c r="P84" s="1245"/>
      <c r="Q84" s="1245"/>
      <c r="R84" s="1245"/>
      <c r="S84" s="1245"/>
      <c r="T84" s="1246"/>
      <c r="U84" s="1247">
        <v>9585.93</v>
      </c>
      <c r="V84" s="1248">
        <v>0</v>
      </c>
      <c r="W84" s="1248">
        <v>57.08</v>
      </c>
      <c r="X84" s="1248">
        <v>1768.8400000000001</v>
      </c>
      <c r="Y84" s="1248">
        <v>-0.04</v>
      </c>
      <c r="Z84" s="1249">
        <v>11411.81</v>
      </c>
      <c r="AA84" s="1247">
        <v>18307.36</v>
      </c>
      <c r="AB84" s="1248">
        <v>0</v>
      </c>
      <c r="AC84" s="1248">
        <v>0</v>
      </c>
      <c r="AD84" s="1248">
        <v>4576.78</v>
      </c>
      <c r="AE84" s="1248">
        <v>0</v>
      </c>
      <c r="AF84" s="1249">
        <v>22884.14</v>
      </c>
      <c r="AG84" s="1244"/>
      <c r="AH84" s="1245"/>
      <c r="AI84" s="1245"/>
      <c r="AJ84" s="1245"/>
      <c r="AK84" s="1245"/>
      <c r="AL84" s="1246"/>
      <c r="AM84" s="1247">
        <v>8973.98</v>
      </c>
      <c r="AN84" s="1248">
        <v>0</v>
      </c>
      <c r="AO84" s="1248">
        <v>2243.5</v>
      </c>
      <c r="AP84" s="1248">
        <v>0</v>
      </c>
      <c r="AQ84" s="1248">
        <v>0</v>
      </c>
      <c r="AR84" s="1249">
        <v>11217.48</v>
      </c>
      <c r="AS84" s="1247">
        <v>14714.84</v>
      </c>
      <c r="AT84" s="1248">
        <v>0</v>
      </c>
      <c r="AU84" s="1248">
        <v>3678.73</v>
      </c>
      <c r="AV84" s="1248">
        <v>0</v>
      </c>
      <c r="AW84" s="1248">
        <v>0</v>
      </c>
      <c r="AX84" s="1249">
        <v>18393.57</v>
      </c>
      <c r="AY84" s="1244"/>
      <c r="AZ84" s="1245"/>
      <c r="BA84" s="1245"/>
      <c r="BB84" s="1245"/>
      <c r="BC84" s="1245"/>
      <c r="BD84" s="1246"/>
      <c r="BE84" s="1247">
        <v>1919.2</v>
      </c>
      <c r="BF84" s="1248">
        <v>0</v>
      </c>
      <c r="BG84" s="1248">
        <v>3465.8</v>
      </c>
      <c r="BH84" s="1248">
        <v>0</v>
      </c>
      <c r="BI84" s="1248">
        <v>0</v>
      </c>
      <c r="BJ84" s="1249">
        <v>5385</v>
      </c>
      <c r="BK84" s="1247">
        <v>5427.01</v>
      </c>
      <c r="BL84" s="1248">
        <v>0</v>
      </c>
      <c r="BM84" s="1248">
        <v>687.44</v>
      </c>
      <c r="BN84" s="1248">
        <v>1121.5999999999999</v>
      </c>
      <c r="BO84" s="1248">
        <v>-0.05</v>
      </c>
      <c r="BP84" s="1249">
        <v>7236</v>
      </c>
      <c r="BQ84" s="1247">
        <v>173046.68</v>
      </c>
      <c r="BR84" s="1248">
        <v>0</v>
      </c>
      <c r="BS84" s="1248">
        <v>150134.62</v>
      </c>
      <c r="BT84" s="1248">
        <v>22912.059999999998</v>
      </c>
      <c r="BU84" s="1248">
        <v>-0.01</v>
      </c>
      <c r="BV84" s="1249">
        <v>346093.35</v>
      </c>
      <c r="BW84" s="1247">
        <v>140306.38</v>
      </c>
      <c r="BX84" s="1248">
        <v>0</v>
      </c>
      <c r="BY84" s="1248">
        <v>72483.7</v>
      </c>
      <c r="BZ84" s="1248">
        <v>39032.480000000003</v>
      </c>
      <c r="CA84" s="1248">
        <v>-0.15000000000000002</v>
      </c>
      <c r="CB84" s="1249">
        <v>251822.41</v>
      </c>
      <c r="CC84" s="1247">
        <v>3940.5099999999998</v>
      </c>
      <c r="CD84" s="1248">
        <v>0</v>
      </c>
      <c r="CE84" s="1248">
        <v>0</v>
      </c>
      <c r="CF84" s="1248">
        <v>6944.84</v>
      </c>
      <c r="CG84" s="1248">
        <v>-0.01</v>
      </c>
      <c r="CH84" s="1249">
        <v>10885.34</v>
      </c>
      <c r="CI84" s="1244"/>
      <c r="CJ84" s="1245"/>
      <c r="CK84" s="1245"/>
      <c r="CL84" s="1245"/>
      <c r="CM84" s="1245"/>
      <c r="CN84" s="1246"/>
      <c r="CO84" s="1247">
        <v>18430.599999999999</v>
      </c>
      <c r="CP84" s="1248">
        <v>0</v>
      </c>
      <c r="CQ84" s="1248">
        <v>0</v>
      </c>
      <c r="CR84" s="1248">
        <v>0</v>
      </c>
      <c r="CS84" s="1248">
        <v>0</v>
      </c>
      <c r="CT84" s="1249">
        <v>18430.599999999999</v>
      </c>
      <c r="CU84" s="1247">
        <v>13414</v>
      </c>
      <c r="CV84" s="1248">
        <v>0</v>
      </c>
      <c r="CW84" s="1248">
        <v>11975.2</v>
      </c>
      <c r="CX84" s="1248">
        <v>1438.8</v>
      </c>
      <c r="CY84" s="1248">
        <v>0</v>
      </c>
      <c r="CZ84" s="1249">
        <v>26828</v>
      </c>
      <c r="DA84" s="1247">
        <v>310897.40000000002</v>
      </c>
      <c r="DB84" s="1248">
        <v>0</v>
      </c>
      <c r="DC84" s="1248">
        <v>0</v>
      </c>
      <c r="DD84" s="1248">
        <v>0</v>
      </c>
      <c r="DE84" s="1248">
        <v>0</v>
      </c>
      <c r="DF84" s="1249">
        <v>310897.40000000002</v>
      </c>
      <c r="DG84" s="1247">
        <v>10140</v>
      </c>
      <c r="DH84" s="1248">
        <v>0</v>
      </c>
      <c r="DI84" s="1248">
        <v>6996.6</v>
      </c>
      <c r="DJ84" s="1248">
        <v>3143.4</v>
      </c>
      <c r="DK84" s="1248">
        <v>0</v>
      </c>
      <c r="DL84" s="1249">
        <v>20280</v>
      </c>
      <c r="DM84" s="1247">
        <v>4438.74</v>
      </c>
      <c r="DN84" s="1248">
        <v>0</v>
      </c>
      <c r="DO84" s="1248">
        <v>26.42</v>
      </c>
      <c r="DP84" s="1248">
        <v>819.06</v>
      </c>
      <c r="DQ84" s="1248">
        <v>0.01</v>
      </c>
      <c r="DR84" s="1249">
        <v>5284.23</v>
      </c>
      <c r="DS84" s="1244"/>
      <c r="DT84" s="1245"/>
      <c r="DU84" s="1245"/>
      <c r="DV84" s="1245"/>
      <c r="DW84" s="1245"/>
      <c r="DX84" s="1246"/>
    </row>
    <row r="85" spans="1:128" ht="15" customHeight="1">
      <c r="A85" s="1092" t="s">
        <v>209</v>
      </c>
      <c r="B85" s="1239" t="s">
        <v>210</v>
      </c>
      <c r="C85" s="1467" t="s">
        <v>275</v>
      </c>
      <c r="D85" s="1240">
        <f t="shared" si="10"/>
        <v>184259.34999999998</v>
      </c>
      <c r="E85" s="1241">
        <f t="shared" si="8"/>
        <v>57296.45</v>
      </c>
      <c r="F85" s="1242">
        <f t="shared" si="11"/>
        <v>39549.399999999994</v>
      </c>
      <c r="G85" s="1243">
        <f t="shared" si="9"/>
        <v>39549.659999999996</v>
      </c>
      <c r="H85" s="1242">
        <f t="shared" si="9"/>
        <v>-0.26</v>
      </c>
      <c r="I85" s="1244"/>
      <c r="J85" s="1245"/>
      <c r="K85" s="1245"/>
      <c r="L85" s="1245"/>
      <c r="M85" s="1245"/>
      <c r="N85" s="1246"/>
      <c r="O85" s="1244"/>
      <c r="P85" s="1245"/>
      <c r="Q85" s="1245"/>
      <c r="R85" s="1245"/>
      <c r="S85" s="1245"/>
      <c r="T85" s="1246"/>
      <c r="U85" s="1247">
        <v>3974.32</v>
      </c>
      <c r="V85" s="1248">
        <v>0</v>
      </c>
      <c r="W85" s="1248">
        <v>23.66</v>
      </c>
      <c r="X85" s="1248">
        <v>733.37</v>
      </c>
      <c r="Y85" s="1248">
        <v>-0.01</v>
      </c>
      <c r="Z85" s="1249">
        <v>4731.34</v>
      </c>
      <c r="AA85" s="1247">
        <v>37667.1</v>
      </c>
      <c r="AB85" s="1248">
        <v>0</v>
      </c>
      <c r="AC85" s="1248">
        <v>0</v>
      </c>
      <c r="AD85" s="1248">
        <v>9416.8799999999992</v>
      </c>
      <c r="AE85" s="1248">
        <v>0</v>
      </c>
      <c r="AF85" s="1249">
        <v>47083.98</v>
      </c>
      <c r="AG85" s="1244"/>
      <c r="AH85" s="1245"/>
      <c r="AI85" s="1245"/>
      <c r="AJ85" s="1245"/>
      <c r="AK85" s="1245"/>
      <c r="AL85" s="1246"/>
      <c r="AM85" s="1244"/>
      <c r="AN85" s="1245"/>
      <c r="AO85" s="1245"/>
      <c r="AP85" s="1245"/>
      <c r="AQ85" s="1245"/>
      <c r="AR85" s="1246"/>
      <c r="AS85" s="1247">
        <v>8743.6</v>
      </c>
      <c r="AT85" s="1248">
        <v>0</v>
      </c>
      <c r="AU85" s="1248">
        <v>2185.9</v>
      </c>
      <c r="AV85" s="1248">
        <v>0</v>
      </c>
      <c r="AW85" s="1248">
        <v>0</v>
      </c>
      <c r="AX85" s="1249">
        <v>10929.5</v>
      </c>
      <c r="AY85" s="1244"/>
      <c r="AZ85" s="1245"/>
      <c r="BA85" s="1245"/>
      <c r="BB85" s="1245"/>
      <c r="BC85" s="1245"/>
      <c r="BD85" s="1246"/>
      <c r="BE85" s="1244"/>
      <c r="BF85" s="1245"/>
      <c r="BG85" s="1245"/>
      <c r="BH85" s="1245"/>
      <c r="BI85" s="1245"/>
      <c r="BJ85" s="1246"/>
      <c r="BK85" s="1247">
        <v>21220.15</v>
      </c>
      <c r="BL85" s="1248">
        <v>0</v>
      </c>
      <c r="BM85" s="1248">
        <v>2687.92</v>
      </c>
      <c r="BN85" s="1248">
        <v>4385.5</v>
      </c>
      <c r="BO85" s="1248">
        <v>-0.08</v>
      </c>
      <c r="BP85" s="1249">
        <v>28293.49</v>
      </c>
      <c r="BQ85" s="1247">
        <v>16539</v>
      </c>
      <c r="BR85" s="1248">
        <v>0</v>
      </c>
      <c r="BS85" s="1248">
        <v>13750.6</v>
      </c>
      <c r="BT85" s="1248">
        <v>2788.4</v>
      </c>
      <c r="BU85" s="1248">
        <v>0</v>
      </c>
      <c r="BV85" s="1249">
        <v>33078</v>
      </c>
      <c r="BW85" s="1247">
        <v>73591.429999999993</v>
      </c>
      <c r="BX85" s="1248">
        <v>0</v>
      </c>
      <c r="BY85" s="1248">
        <v>38595.24</v>
      </c>
      <c r="BZ85" s="1248">
        <v>20578.669999999998</v>
      </c>
      <c r="CA85" s="1248">
        <v>-0.15</v>
      </c>
      <c r="CB85" s="1249">
        <v>132765.19</v>
      </c>
      <c r="CC85" s="1244"/>
      <c r="CD85" s="1245"/>
      <c r="CE85" s="1245"/>
      <c r="CF85" s="1245"/>
      <c r="CG85" s="1245"/>
      <c r="CH85" s="1246"/>
      <c r="CI85" s="1244"/>
      <c r="CJ85" s="1245"/>
      <c r="CK85" s="1245"/>
      <c r="CL85" s="1245"/>
      <c r="CM85" s="1245"/>
      <c r="CN85" s="1246"/>
      <c r="CO85" s="1244"/>
      <c r="CP85" s="1245"/>
      <c r="CQ85" s="1245"/>
      <c r="CR85" s="1245"/>
      <c r="CS85" s="1245"/>
      <c r="CT85" s="1246"/>
      <c r="CU85" s="1244"/>
      <c r="CV85" s="1245"/>
      <c r="CW85" s="1245"/>
      <c r="CX85" s="1245"/>
      <c r="CY85" s="1245"/>
      <c r="CZ85" s="1246"/>
      <c r="DA85" s="1247">
        <v>13599</v>
      </c>
      <c r="DB85" s="1248">
        <v>0</v>
      </c>
      <c r="DC85" s="1248">
        <v>0</v>
      </c>
      <c r="DD85" s="1248">
        <v>0</v>
      </c>
      <c r="DE85" s="1248">
        <v>0</v>
      </c>
      <c r="DF85" s="1249">
        <v>13599</v>
      </c>
      <c r="DG85" s="1244"/>
      <c r="DH85" s="1245"/>
      <c r="DI85" s="1245"/>
      <c r="DJ85" s="1245"/>
      <c r="DK85" s="1245"/>
      <c r="DL85" s="1246"/>
      <c r="DM85" s="1247">
        <v>8924.75</v>
      </c>
      <c r="DN85" s="1248">
        <v>0</v>
      </c>
      <c r="DO85" s="1248">
        <v>53.13</v>
      </c>
      <c r="DP85" s="1248">
        <v>1646.84</v>
      </c>
      <c r="DQ85" s="1248">
        <v>-0.02</v>
      </c>
      <c r="DR85" s="1249">
        <v>10624.7</v>
      </c>
      <c r="DS85" s="1244"/>
      <c r="DT85" s="1245"/>
      <c r="DU85" s="1245"/>
      <c r="DV85" s="1245"/>
      <c r="DW85" s="1245"/>
      <c r="DX85" s="1246"/>
    </row>
    <row r="86" spans="1:128" ht="15" customHeight="1">
      <c r="A86" s="1092" t="s">
        <v>211</v>
      </c>
      <c r="B86" s="1239" t="s">
        <v>212</v>
      </c>
      <c r="C86" s="1467" t="s">
        <v>275</v>
      </c>
      <c r="D86" s="1240">
        <f t="shared" si="10"/>
        <v>124498.21</v>
      </c>
      <c r="E86" s="1241">
        <f t="shared" si="8"/>
        <v>46176.929999999993</v>
      </c>
      <c r="F86" s="1242">
        <f t="shared" si="11"/>
        <v>28459.15</v>
      </c>
      <c r="G86" s="1243">
        <f t="shared" si="9"/>
        <v>24791.27</v>
      </c>
      <c r="H86" s="1242">
        <f t="shared" si="9"/>
        <v>3667.88</v>
      </c>
      <c r="I86" s="1247">
        <v>0</v>
      </c>
      <c r="J86" s="1248">
        <v>0</v>
      </c>
      <c r="K86" s="1248">
        <v>2274</v>
      </c>
      <c r="L86" s="1248">
        <v>0</v>
      </c>
      <c r="M86" s="1248">
        <v>3668</v>
      </c>
      <c r="N86" s="1249">
        <v>5942</v>
      </c>
      <c r="O86" s="1244"/>
      <c r="P86" s="1245"/>
      <c r="Q86" s="1245"/>
      <c r="R86" s="1245"/>
      <c r="S86" s="1245"/>
      <c r="T86" s="1246"/>
      <c r="U86" s="1247">
        <v>5171.54</v>
      </c>
      <c r="V86" s="1248">
        <v>0</v>
      </c>
      <c r="W86" s="1248">
        <v>30.79</v>
      </c>
      <c r="X86" s="1248">
        <v>954.28</v>
      </c>
      <c r="Y86" s="1248">
        <v>-0.02</v>
      </c>
      <c r="Z86" s="1249">
        <v>6156.59</v>
      </c>
      <c r="AA86" s="1247">
        <v>21915.22</v>
      </c>
      <c r="AB86" s="1248">
        <v>0</v>
      </c>
      <c r="AC86" s="1248">
        <v>0</v>
      </c>
      <c r="AD86" s="1248">
        <v>5478.76</v>
      </c>
      <c r="AE86" s="1248">
        <v>0</v>
      </c>
      <c r="AF86" s="1249">
        <v>27393.98</v>
      </c>
      <c r="AG86" s="1244"/>
      <c r="AH86" s="1245"/>
      <c r="AI86" s="1245"/>
      <c r="AJ86" s="1245"/>
      <c r="AK86" s="1245"/>
      <c r="AL86" s="1246"/>
      <c r="AM86" s="1247">
        <v>17675.189999999999</v>
      </c>
      <c r="AN86" s="1248">
        <v>0</v>
      </c>
      <c r="AO86" s="1248">
        <v>4418.8100000000004</v>
      </c>
      <c r="AP86" s="1248">
        <v>0</v>
      </c>
      <c r="AQ86" s="1248">
        <v>0</v>
      </c>
      <c r="AR86" s="1249">
        <v>22094</v>
      </c>
      <c r="AS86" s="1247">
        <v>6745.6</v>
      </c>
      <c r="AT86" s="1248">
        <v>0</v>
      </c>
      <c r="AU86" s="1248">
        <v>1686.4</v>
      </c>
      <c r="AV86" s="1248">
        <v>0</v>
      </c>
      <c r="AW86" s="1248">
        <v>0</v>
      </c>
      <c r="AX86" s="1249">
        <v>8432</v>
      </c>
      <c r="AY86" s="1244"/>
      <c r="AZ86" s="1245"/>
      <c r="BA86" s="1245"/>
      <c r="BB86" s="1245"/>
      <c r="BC86" s="1245"/>
      <c r="BD86" s="1246"/>
      <c r="BE86" s="1247">
        <v>340.01</v>
      </c>
      <c r="BF86" s="1248">
        <v>0</v>
      </c>
      <c r="BG86" s="1248">
        <v>613.99</v>
      </c>
      <c r="BH86" s="1248">
        <v>0</v>
      </c>
      <c r="BI86" s="1248">
        <v>0</v>
      </c>
      <c r="BJ86" s="1249">
        <v>954</v>
      </c>
      <c r="BK86" s="1247">
        <v>1489.07</v>
      </c>
      <c r="BL86" s="1248">
        <v>0</v>
      </c>
      <c r="BM86" s="1248">
        <v>188.63</v>
      </c>
      <c r="BN86" s="1248">
        <v>307.76</v>
      </c>
      <c r="BO86" s="1248">
        <v>-0.03</v>
      </c>
      <c r="BP86" s="1249">
        <v>1985.43</v>
      </c>
      <c r="BQ86" s="1247">
        <v>445</v>
      </c>
      <c r="BR86" s="1248">
        <v>0</v>
      </c>
      <c r="BS86" s="1248">
        <v>356</v>
      </c>
      <c r="BT86" s="1248">
        <v>89</v>
      </c>
      <c r="BU86" s="1248">
        <v>0</v>
      </c>
      <c r="BV86" s="1249">
        <v>890</v>
      </c>
      <c r="BW86" s="1247">
        <v>50298.53</v>
      </c>
      <c r="BX86" s="1248">
        <v>0</v>
      </c>
      <c r="BY86" s="1248">
        <v>34285.42</v>
      </c>
      <c r="BZ86" s="1248">
        <v>15515.43</v>
      </c>
      <c r="CA86" s="1248">
        <v>-0.1</v>
      </c>
      <c r="CB86" s="1249">
        <v>100099.28</v>
      </c>
      <c r="CC86" s="1244"/>
      <c r="CD86" s="1245"/>
      <c r="CE86" s="1245"/>
      <c r="CF86" s="1245"/>
      <c r="CG86" s="1245"/>
      <c r="CH86" s="1246"/>
      <c r="CI86" s="1244"/>
      <c r="CJ86" s="1245"/>
      <c r="CK86" s="1245"/>
      <c r="CL86" s="1245"/>
      <c r="CM86" s="1245"/>
      <c r="CN86" s="1246"/>
      <c r="CO86" s="1244"/>
      <c r="CP86" s="1245"/>
      <c r="CQ86" s="1245"/>
      <c r="CR86" s="1245"/>
      <c r="CS86" s="1245"/>
      <c r="CT86" s="1246"/>
      <c r="CU86" s="1244"/>
      <c r="CV86" s="1245"/>
      <c r="CW86" s="1245"/>
      <c r="CX86" s="1245"/>
      <c r="CY86" s="1245"/>
      <c r="CZ86" s="1246"/>
      <c r="DA86" s="1247">
        <v>9406</v>
      </c>
      <c r="DB86" s="1248">
        <v>0</v>
      </c>
      <c r="DC86" s="1248">
        <v>0</v>
      </c>
      <c r="DD86" s="1248">
        <v>0</v>
      </c>
      <c r="DE86" s="1248">
        <v>0</v>
      </c>
      <c r="DF86" s="1249">
        <v>9406</v>
      </c>
      <c r="DG86" s="1247">
        <v>3300</v>
      </c>
      <c r="DH86" s="1248">
        <v>0</v>
      </c>
      <c r="DI86" s="1248">
        <v>2277</v>
      </c>
      <c r="DJ86" s="1248">
        <v>1023</v>
      </c>
      <c r="DK86" s="1248">
        <v>0</v>
      </c>
      <c r="DL86" s="1249">
        <v>6600</v>
      </c>
      <c r="DM86" s="1247">
        <v>7712.05</v>
      </c>
      <c r="DN86" s="1248">
        <v>0</v>
      </c>
      <c r="DO86" s="1248">
        <v>45.89</v>
      </c>
      <c r="DP86" s="1248">
        <v>1423.04</v>
      </c>
      <c r="DQ86" s="1248">
        <v>0.03</v>
      </c>
      <c r="DR86" s="1249">
        <v>9181.01</v>
      </c>
      <c r="DS86" s="1244"/>
      <c r="DT86" s="1245"/>
      <c r="DU86" s="1245"/>
      <c r="DV86" s="1245"/>
      <c r="DW86" s="1245"/>
      <c r="DX86" s="1246"/>
    </row>
    <row r="87" spans="1:128" ht="15" customHeight="1">
      <c r="A87" s="1092" t="s">
        <v>213</v>
      </c>
      <c r="B87" s="1239" t="s">
        <v>214</v>
      </c>
      <c r="C87" s="1467" t="s">
        <v>274</v>
      </c>
      <c r="D87" s="1240">
        <f t="shared" si="10"/>
        <v>175785.41</v>
      </c>
      <c r="E87" s="1241">
        <f t="shared" si="8"/>
        <v>19248.329999999998</v>
      </c>
      <c r="F87" s="1242">
        <f t="shared" si="11"/>
        <v>14218.5</v>
      </c>
      <c r="G87" s="1243">
        <f t="shared" si="9"/>
        <v>14218.62</v>
      </c>
      <c r="H87" s="1242">
        <f t="shared" si="9"/>
        <v>-0.12</v>
      </c>
      <c r="I87" s="1247">
        <v>0</v>
      </c>
      <c r="J87" s="1248">
        <v>0</v>
      </c>
      <c r="K87" s="1248">
        <v>2320</v>
      </c>
      <c r="L87" s="1248">
        <v>0</v>
      </c>
      <c r="M87" s="1248">
        <v>0</v>
      </c>
      <c r="N87" s="1249">
        <v>2320</v>
      </c>
      <c r="O87" s="1247">
        <v>-102</v>
      </c>
      <c r="P87" s="1248">
        <v>0</v>
      </c>
      <c r="Q87" s="1248">
        <v>0</v>
      </c>
      <c r="R87" s="1248">
        <v>-25.5</v>
      </c>
      <c r="S87" s="1248">
        <v>0</v>
      </c>
      <c r="T87" s="1249">
        <v>-127.5</v>
      </c>
      <c r="U87" s="1247">
        <v>3938.54</v>
      </c>
      <c r="V87" s="1248">
        <v>0</v>
      </c>
      <c r="W87" s="1248">
        <v>23.47</v>
      </c>
      <c r="X87" s="1248">
        <v>726.78</v>
      </c>
      <c r="Y87" s="1248">
        <v>-0.04</v>
      </c>
      <c r="Z87" s="1249">
        <v>4688.75</v>
      </c>
      <c r="AA87" s="1247">
        <v>20920.54</v>
      </c>
      <c r="AB87" s="1248">
        <v>0</v>
      </c>
      <c r="AC87" s="1248">
        <v>0</v>
      </c>
      <c r="AD87" s="1248">
        <v>5230.1400000000003</v>
      </c>
      <c r="AE87" s="1248">
        <v>0</v>
      </c>
      <c r="AF87" s="1249">
        <v>26150.68</v>
      </c>
      <c r="AG87" s="1244"/>
      <c r="AH87" s="1245"/>
      <c r="AI87" s="1245"/>
      <c r="AJ87" s="1245"/>
      <c r="AK87" s="1245"/>
      <c r="AL87" s="1246"/>
      <c r="AM87" s="1247">
        <v>2416.4899999999998</v>
      </c>
      <c r="AN87" s="1248">
        <v>0</v>
      </c>
      <c r="AO87" s="1248">
        <v>604.12</v>
      </c>
      <c r="AP87" s="1248">
        <v>0</v>
      </c>
      <c r="AQ87" s="1248">
        <v>0</v>
      </c>
      <c r="AR87" s="1249">
        <v>3020.61</v>
      </c>
      <c r="AS87" s="1247">
        <v>3830.19</v>
      </c>
      <c r="AT87" s="1248">
        <v>0</v>
      </c>
      <c r="AU87" s="1248">
        <v>957.55</v>
      </c>
      <c r="AV87" s="1248">
        <v>0</v>
      </c>
      <c r="AW87" s="1248">
        <v>0</v>
      </c>
      <c r="AX87" s="1249">
        <v>4787.74</v>
      </c>
      <c r="AY87" s="1244"/>
      <c r="AZ87" s="1245"/>
      <c r="BA87" s="1245"/>
      <c r="BB87" s="1245"/>
      <c r="BC87" s="1245"/>
      <c r="BD87" s="1246"/>
      <c r="BE87" s="1244"/>
      <c r="BF87" s="1245"/>
      <c r="BG87" s="1245"/>
      <c r="BH87" s="1245"/>
      <c r="BI87" s="1245"/>
      <c r="BJ87" s="1246"/>
      <c r="BK87" s="1247">
        <v>13430.63</v>
      </c>
      <c r="BL87" s="1248">
        <v>0</v>
      </c>
      <c r="BM87" s="1248">
        <v>1701.21</v>
      </c>
      <c r="BN87" s="1248">
        <v>2775.66</v>
      </c>
      <c r="BO87" s="1248">
        <v>0</v>
      </c>
      <c r="BP87" s="1249">
        <v>17907.5</v>
      </c>
      <c r="BQ87" s="1247">
        <v>6990</v>
      </c>
      <c r="BR87" s="1248">
        <v>0</v>
      </c>
      <c r="BS87" s="1248">
        <v>6256.8</v>
      </c>
      <c r="BT87" s="1248">
        <v>733.2</v>
      </c>
      <c r="BU87" s="1248">
        <v>0</v>
      </c>
      <c r="BV87" s="1249">
        <v>13980</v>
      </c>
      <c r="BW87" s="1247">
        <v>9510</v>
      </c>
      <c r="BX87" s="1248">
        <v>0</v>
      </c>
      <c r="BY87" s="1248">
        <v>4867.2700000000004</v>
      </c>
      <c r="BZ87" s="1248">
        <v>2637.28</v>
      </c>
      <c r="CA87" s="1248">
        <v>-0.06</v>
      </c>
      <c r="CB87" s="1249">
        <v>17014.490000000002</v>
      </c>
      <c r="CC87" s="1247">
        <v>29.31</v>
      </c>
      <c r="CD87" s="1248">
        <v>0</v>
      </c>
      <c r="CE87" s="1248">
        <v>0</v>
      </c>
      <c r="CF87" s="1248">
        <v>51.66</v>
      </c>
      <c r="CG87" s="1248">
        <v>0</v>
      </c>
      <c r="CH87" s="1249">
        <v>80.97</v>
      </c>
      <c r="CI87" s="1244"/>
      <c r="CJ87" s="1245"/>
      <c r="CK87" s="1245"/>
      <c r="CL87" s="1245"/>
      <c r="CM87" s="1245"/>
      <c r="CN87" s="1246"/>
      <c r="CO87" s="1244"/>
      <c r="CP87" s="1245"/>
      <c r="CQ87" s="1245"/>
      <c r="CR87" s="1245"/>
      <c r="CS87" s="1245"/>
      <c r="CT87" s="1246"/>
      <c r="CU87" s="1247">
        <v>368</v>
      </c>
      <c r="CV87" s="1248">
        <v>0</v>
      </c>
      <c r="CW87" s="1248">
        <v>368</v>
      </c>
      <c r="CX87" s="1248">
        <v>0</v>
      </c>
      <c r="CY87" s="1248">
        <v>0</v>
      </c>
      <c r="CZ87" s="1249">
        <v>736</v>
      </c>
      <c r="DA87" s="1247">
        <v>105213</v>
      </c>
      <c r="DB87" s="1248">
        <v>0</v>
      </c>
      <c r="DC87" s="1248">
        <v>0</v>
      </c>
      <c r="DD87" s="1248">
        <v>0</v>
      </c>
      <c r="DE87" s="1248">
        <v>0</v>
      </c>
      <c r="DF87" s="1249">
        <v>105213</v>
      </c>
      <c r="DG87" s="1247">
        <v>3062.5</v>
      </c>
      <c r="DH87" s="1248">
        <v>0</v>
      </c>
      <c r="DI87" s="1248">
        <v>2113.13</v>
      </c>
      <c r="DJ87" s="1248">
        <v>949.38</v>
      </c>
      <c r="DK87" s="1248">
        <v>-0.01</v>
      </c>
      <c r="DL87" s="1249">
        <v>6125</v>
      </c>
      <c r="DM87" s="1247">
        <v>6178.21</v>
      </c>
      <c r="DN87" s="1248">
        <v>0</v>
      </c>
      <c r="DO87" s="1248">
        <v>36.78</v>
      </c>
      <c r="DP87" s="1248">
        <v>1140.02</v>
      </c>
      <c r="DQ87" s="1248">
        <v>-0.01</v>
      </c>
      <c r="DR87" s="1249">
        <v>7355</v>
      </c>
      <c r="DS87" s="1244"/>
      <c r="DT87" s="1245"/>
      <c r="DU87" s="1245"/>
      <c r="DV87" s="1245"/>
      <c r="DW87" s="1245"/>
      <c r="DX87" s="1246"/>
    </row>
    <row r="88" spans="1:128" ht="15" customHeight="1">
      <c r="A88" s="1092" t="s">
        <v>215</v>
      </c>
      <c r="B88" s="1239" t="s">
        <v>216</v>
      </c>
      <c r="C88" s="1467" t="s">
        <v>275</v>
      </c>
      <c r="D88" s="1240">
        <f t="shared" si="10"/>
        <v>190011.19</v>
      </c>
      <c r="E88" s="1241">
        <f t="shared" si="8"/>
        <v>34773.890000000007</v>
      </c>
      <c r="F88" s="1242">
        <f t="shared" si="11"/>
        <v>28341.429999999997</v>
      </c>
      <c r="G88" s="1243">
        <f t="shared" si="9"/>
        <v>28341.489999999998</v>
      </c>
      <c r="H88" s="1242">
        <f t="shared" si="9"/>
        <v>-5.9999999999999991E-2</v>
      </c>
      <c r="I88" s="1244"/>
      <c r="J88" s="1245"/>
      <c r="K88" s="1245"/>
      <c r="L88" s="1245"/>
      <c r="M88" s="1245"/>
      <c r="N88" s="1246"/>
      <c r="O88" s="1244"/>
      <c r="P88" s="1245"/>
      <c r="Q88" s="1245"/>
      <c r="R88" s="1245"/>
      <c r="S88" s="1245"/>
      <c r="T88" s="1246"/>
      <c r="U88" s="1247">
        <v>7541.83</v>
      </c>
      <c r="V88" s="1248">
        <v>0</v>
      </c>
      <c r="W88" s="1248">
        <v>44.9</v>
      </c>
      <c r="X88" s="1248">
        <v>1391.65</v>
      </c>
      <c r="Y88" s="1248">
        <v>0.02</v>
      </c>
      <c r="Z88" s="1249">
        <v>8978.4</v>
      </c>
      <c r="AA88" s="1247">
        <v>57180.68</v>
      </c>
      <c r="AB88" s="1248">
        <v>0</v>
      </c>
      <c r="AC88" s="1248">
        <v>0</v>
      </c>
      <c r="AD88" s="1248">
        <v>14295.19</v>
      </c>
      <c r="AE88" s="1248">
        <v>0</v>
      </c>
      <c r="AF88" s="1249">
        <v>71475.87</v>
      </c>
      <c r="AG88" s="1244"/>
      <c r="AH88" s="1245"/>
      <c r="AI88" s="1245"/>
      <c r="AJ88" s="1245"/>
      <c r="AK88" s="1245"/>
      <c r="AL88" s="1246"/>
      <c r="AM88" s="1247">
        <v>6843.2</v>
      </c>
      <c r="AN88" s="1248">
        <v>0</v>
      </c>
      <c r="AO88" s="1248">
        <v>1710.79</v>
      </c>
      <c r="AP88" s="1248">
        <v>0</v>
      </c>
      <c r="AQ88" s="1248">
        <v>0</v>
      </c>
      <c r="AR88" s="1249">
        <v>8553.99</v>
      </c>
      <c r="AS88" s="1247">
        <v>2290.9299999999998</v>
      </c>
      <c r="AT88" s="1248">
        <v>0</v>
      </c>
      <c r="AU88" s="1248">
        <v>572.74</v>
      </c>
      <c r="AV88" s="1248">
        <v>0</v>
      </c>
      <c r="AW88" s="1248">
        <v>0</v>
      </c>
      <c r="AX88" s="1249">
        <v>2863.67</v>
      </c>
      <c r="AY88" s="1244"/>
      <c r="AZ88" s="1245"/>
      <c r="BA88" s="1245"/>
      <c r="BB88" s="1245"/>
      <c r="BC88" s="1245"/>
      <c r="BD88" s="1246"/>
      <c r="BE88" s="1247">
        <v>301.52</v>
      </c>
      <c r="BF88" s="1248">
        <v>0</v>
      </c>
      <c r="BG88" s="1248">
        <v>544.48</v>
      </c>
      <c r="BH88" s="1248">
        <v>0</v>
      </c>
      <c r="BI88" s="1248">
        <v>0</v>
      </c>
      <c r="BJ88" s="1249">
        <v>846</v>
      </c>
      <c r="BK88" s="1244"/>
      <c r="BL88" s="1245"/>
      <c r="BM88" s="1245"/>
      <c r="BN88" s="1245"/>
      <c r="BO88" s="1245"/>
      <c r="BP88" s="1246"/>
      <c r="BQ88" s="1247">
        <v>15582</v>
      </c>
      <c r="BR88" s="1248">
        <v>0</v>
      </c>
      <c r="BS88" s="1248">
        <v>12794.9</v>
      </c>
      <c r="BT88" s="1248">
        <v>2787.1</v>
      </c>
      <c r="BU88" s="1248">
        <v>0</v>
      </c>
      <c r="BV88" s="1249">
        <v>31164</v>
      </c>
      <c r="BW88" s="1247">
        <v>23300.639999999999</v>
      </c>
      <c r="BX88" s="1248">
        <v>0</v>
      </c>
      <c r="BY88" s="1248">
        <v>15262.03</v>
      </c>
      <c r="BZ88" s="1248">
        <v>7073.62</v>
      </c>
      <c r="CA88" s="1248">
        <v>-0.06</v>
      </c>
      <c r="CB88" s="1249">
        <v>45636.23</v>
      </c>
      <c r="CC88" s="1244"/>
      <c r="CD88" s="1245"/>
      <c r="CE88" s="1245"/>
      <c r="CF88" s="1245"/>
      <c r="CG88" s="1245"/>
      <c r="CH88" s="1246"/>
      <c r="CI88" s="1244"/>
      <c r="CJ88" s="1245"/>
      <c r="CK88" s="1245"/>
      <c r="CL88" s="1245"/>
      <c r="CM88" s="1245"/>
      <c r="CN88" s="1246"/>
      <c r="CO88" s="1247">
        <v>4604</v>
      </c>
      <c r="CP88" s="1248">
        <v>0</v>
      </c>
      <c r="CQ88" s="1248">
        <v>0</v>
      </c>
      <c r="CR88" s="1248">
        <v>0</v>
      </c>
      <c r="CS88" s="1248">
        <v>0</v>
      </c>
      <c r="CT88" s="1249">
        <v>4604</v>
      </c>
      <c r="CU88" s="1244"/>
      <c r="CV88" s="1245"/>
      <c r="CW88" s="1245"/>
      <c r="CX88" s="1245"/>
      <c r="CY88" s="1245"/>
      <c r="CZ88" s="1246"/>
      <c r="DA88" s="1247">
        <v>60979</v>
      </c>
      <c r="DB88" s="1248">
        <v>0</v>
      </c>
      <c r="DC88" s="1248">
        <v>0</v>
      </c>
      <c r="DD88" s="1248">
        <v>0</v>
      </c>
      <c r="DE88" s="1248">
        <v>0</v>
      </c>
      <c r="DF88" s="1249">
        <v>60979</v>
      </c>
      <c r="DG88" s="1247">
        <v>5520.54</v>
      </c>
      <c r="DH88" s="1248">
        <v>0</v>
      </c>
      <c r="DI88" s="1248">
        <v>3809.14</v>
      </c>
      <c r="DJ88" s="1248">
        <v>1711.36</v>
      </c>
      <c r="DK88" s="1248">
        <v>-0.03</v>
      </c>
      <c r="DL88" s="1249">
        <v>11041.01</v>
      </c>
      <c r="DM88" s="1247">
        <v>5866.85</v>
      </c>
      <c r="DN88" s="1248">
        <v>0</v>
      </c>
      <c r="DO88" s="1248">
        <v>34.909999999999997</v>
      </c>
      <c r="DP88" s="1248">
        <v>1082.57</v>
      </c>
      <c r="DQ88" s="1248">
        <v>0.01</v>
      </c>
      <c r="DR88" s="1249">
        <v>6984.34</v>
      </c>
      <c r="DS88" s="1244"/>
      <c r="DT88" s="1245"/>
      <c r="DU88" s="1245"/>
      <c r="DV88" s="1245"/>
      <c r="DW88" s="1245"/>
      <c r="DX88" s="1246"/>
    </row>
    <row r="89" spans="1:128" ht="15" customHeight="1">
      <c r="A89" s="1092" t="s">
        <v>217</v>
      </c>
      <c r="B89" s="1239" t="s">
        <v>218</v>
      </c>
      <c r="C89" s="1467" t="s">
        <v>271</v>
      </c>
      <c r="D89" s="1240">
        <f t="shared" si="10"/>
        <v>190125.1</v>
      </c>
      <c r="E89" s="1241">
        <f t="shared" si="8"/>
        <v>45676.22</v>
      </c>
      <c r="F89" s="1242">
        <f t="shared" si="11"/>
        <v>30670.140000000003</v>
      </c>
      <c r="G89" s="1243">
        <f t="shared" si="9"/>
        <v>29184.350000000002</v>
      </c>
      <c r="H89" s="1242">
        <f t="shared" si="9"/>
        <v>1485.79</v>
      </c>
      <c r="I89" s="1244"/>
      <c r="J89" s="1245"/>
      <c r="K89" s="1245"/>
      <c r="L89" s="1245"/>
      <c r="M89" s="1245"/>
      <c r="N89" s="1246"/>
      <c r="O89" s="1247">
        <v>0</v>
      </c>
      <c r="P89" s="1248">
        <v>0</v>
      </c>
      <c r="Q89" s="1248">
        <v>0</v>
      </c>
      <c r="R89" s="1248">
        <v>0</v>
      </c>
      <c r="S89" s="1248">
        <v>218.08</v>
      </c>
      <c r="T89" s="1249">
        <v>218.08</v>
      </c>
      <c r="U89" s="1247">
        <v>3810.23</v>
      </c>
      <c r="V89" s="1248">
        <v>0</v>
      </c>
      <c r="W89" s="1248">
        <v>22.69</v>
      </c>
      <c r="X89" s="1248">
        <v>703.09</v>
      </c>
      <c r="Y89" s="1248">
        <v>-0.01</v>
      </c>
      <c r="Z89" s="1249">
        <v>4536</v>
      </c>
      <c r="AA89" s="1247">
        <v>32749.56</v>
      </c>
      <c r="AB89" s="1248">
        <v>0</v>
      </c>
      <c r="AC89" s="1248">
        <v>0</v>
      </c>
      <c r="AD89" s="1248">
        <v>8187.43</v>
      </c>
      <c r="AE89" s="1248">
        <v>0</v>
      </c>
      <c r="AF89" s="1249">
        <v>40936.99</v>
      </c>
      <c r="AG89" s="1244"/>
      <c r="AH89" s="1245"/>
      <c r="AI89" s="1245"/>
      <c r="AJ89" s="1245"/>
      <c r="AK89" s="1245"/>
      <c r="AL89" s="1246"/>
      <c r="AM89" s="1244"/>
      <c r="AN89" s="1245"/>
      <c r="AO89" s="1245"/>
      <c r="AP89" s="1245"/>
      <c r="AQ89" s="1245"/>
      <c r="AR89" s="1246"/>
      <c r="AS89" s="1247">
        <v>1548.19</v>
      </c>
      <c r="AT89" s="1248">
        <v>0</v>
      </c>
      <c r="AU89" s="1248">
        <v>387.06</v>
      </c>
      <c r="AV89" s="1248">
        <v>0</v>
      </c>
      <c r="AW89" s="1248">
        <v>0</v>
      </c>
      <c r="AX89" s="1249">
        <v>1935.25</v>
      </c>
      <c r="AY89" s="1244"/>
      <c r="AZ89" s="1245"/>
      <c r="BA89" s="1245"/>
      <c r="BB89" s="1245"/>
      <c r="BC89" s="1245"/>
      <c r="BD89" s="1246"/>
      <c r="BE89" s="1244"/>
      <c r="BF89" s="1245"/>
      <c r="BG89" s="1245"/>
      <c r="BH89" s="1245"/>
      <c r="BI89" s="1245"/>
      <c r="BJ89" s="1246"/>
      <c r="BK89" s="1247">
        <v>13952.27</v>
      </c>
      <c r="BL89" s="1248">
        <v>0</v>
      </c>
      <c r="BM89" s="1248">
        <v>1767.26</v>
      </c>
      <c r="BN89" s="1248">
        <v>2883.48</v>
      </c>
      <c r="BO89" s="1248">
        <v>1267.81</v>
      </c>
      <c r="BP89" s="1249">
        <v>19870.82</v>
      </c>
      <c r="BQ89" s="1247">
        <v>14614.5</v>
      </c>
      <c r="BR89" s="1248">
        <v>0</v>
      </c>
      <c r="BS89" s="1248">
        <v>12368</v>
      </c>
      <c r="BT89" s="1248">
        <v>2246.5</v>
      </c>
      <c r="BU89" s="1248">
        <v>0</v>
      </c>
      <c r="BV89" s="1249">
        <v>29229</v>
      </c>
      <c r="BW89" s="1247">
        <v>38415.660000000003</v>
      </c>
      <c r="BX89" s="1248">
        <v>0</v>
      </c>
      <c r="BY89" s="1248">
        <v>25552.07</v>
      </c>
      <c r="BZ89" s="1248">
        <v>11733.72</v>
      </c>
      <c r="CA89" s="1248">
        <v>-0.08</v>
      </c>
      <c r="CB89" s="1249">
        <v>75701.37</v>
      </c>
      <c r="CC89" s="1244"/>
      <c r="CD89" s="1245"/>
      <c r="CE89" s="1245"/>
      <c r="CF89" s="1245"/>
      <c r="CG89" s="1245"/>
      <c r="CH89" s="1246"/>
      <c r="CI89" s="1244"/>
      <c r="CJ89" s="1245"/>
      <c r="CK89" s="1245"/>
      <c r="CL89" s="1245"/>
      <c r="CM89" s="1245"/>
      <c r="CN89" s="1246"/>
      <c r="CO89" s="1247">
        <v>14757</v>
      </c>
      <c r="CP89" s="1248">
        <v>0</v>
      </c>
      <c r="CQ89" s="1248">
        <v>0</v>
      </c>
      <c r="CR89" s="1248">
        <v>0</v>
      </c>
      <c r="CS89" s="1248">
        <v>0</v>
      </c>
      <c r="CT89" s="1249">
        <v>14757</v>
      </c>
      <c r="CU89" s="1247">
        <v>4567</v>
      </c>
      <c r="CV89" s="1248">
        <v>0</v>
      </c>
      <c r="CW89" s="1248">
        <v>3653.6</v>
      </c>
      <c r="CX89" s="1248">
        <v>913.4</v>
      </c>
      <c r="CY89" s="1248">
        <v>0</v>
      </c>
      <c r="CZ89" s="1249">
        <v>9134</v>
      </c>
      <c r="DA89" s="1247">
        <v>53916</v>
      </c>
      <c r="DB89" s="1248">
        <v>0</v>
      </c>
      <c r="DC89" s="1248">
        <v>0</v>
      </c>
      <c r="DD89" s="1248">
        <v>0</v>
      </c>
      <c r="DE89" s="1248">
        <v>0</v>
      </c>
      <c r="DF89" s="1249">
        <v>53916</v>
      </c>
      <c r="DG89" s="1247">
        <v>2712.26</v>
      </c>
      <c r="DH89" s="1248">
        <v>0</v>
      </c>
      <c r="DI89" s="1248">
        <v>1871.46</v>
      </c>
      <c r="DJ89" s="1248">
        <v>840.8</v>
      </c>
      <c r="DK89" s="1248">
        <v>-0.02</v>
      </c>
      <c r="DL89" s="1249">
        <v>5424.5</v>
      </c>
      <c r="DM89" s="1247">
        <v>9082.43</v>
      </c>
      <c r="DN89" s="1248">
        <v>0</v>
      </c>
      <c r="DO89" s="1248">
        <v>54.08</v>
      </c>
      <c r="DP89" s="1248">
        <v>1675.93</v>
      </c>
      <c r="DQ89" s="1248">
        <v>0.01</v>
      </c>
      <c r="DR89" s="1249">
        <v>10812.45</v>
      </c>
      <c r="DS89" s="1244"/>
      <c r="DT89" s="1245"/>
      <c r="DU89" s="1245"/>
      <c r="DV89" s="1245"/>
      <c r="DW89" s="1245"/>
      <c r="DX89" s="1246"/>
    </row>
    <row r="90" spans="1:128" ht="15" customHeight="1">
      <c r="A90" s="1092" t="s">
        <v>219</v>
      </c>
      <c r="B90" s="1239" t="s">
        <v>220</v>
      </c>
      <c r="C90" s="1467" t="s">
        <v>274</v>
      </c>
      <c r="D90" s="1240">
        <f t="shared" si="10"/>
        <v>678482.98</v>
      </c>
      <c r="E90" s="1241">
        <f t="shared" si="8"/>
        <v>307976.71000000002</v>
      </c>
      <c r="F90" s="1242">
        <f t="shared" si="11"/>
        <v>98412.439999999988</v>
      </c>
      <c r="G90" s="1243">
        <f t="shared" si="9"/>
        <v>93595.93</v>
      </c>
      <c r="H90" s="1242">
        <f t="shared" si="9"/>
        <v>4816.5099999999984</v>
      </c>
      <c r="I90" s="1244"/>
      <c r="J90" s="1245"/>
      <c r="K90" s="1245"/>
      <c r="L90" s="1245"/>
      <c r="M90" s="1245"/>
      <c r="N90" s="1246"/>
      <c r="O90" s="1247">
        <v>0</v>
      </c>
      <c r="P90" s="1248">
        <v>0</v>
      </c>
      <c r="Q90" s="1248">
        <v>0</v>
      </c>
      <c r="R90" s="1248">
        <v>0</v>
      </c>
      <c r="S90" s="1248">
        <v>4816.6499999999996</v>
      </c>
      <c r="T90" s="1249">
        <v>4816.6499999999996</v>
      </c>
      <c r="U90" s="1247">
        <v>6466.94</v>
      </c>
      <c r="V90" s="1248">
        <v>0</v>
      </c>
      <c r="W90" s="1248">
        <v>38.520000000000003</v>
      </c>
      <c r="X90" s="1248">
        <v>1193.32</v>
      </c>
      <c r="Y90" s="1248">
        <v>-0.04</v>
      </c>
      <c r="Z90" s="1249">
        <v>7698.74</v>
      </c>
      <c r="AA90" s="1247">
        <v>25418.41</v>
      </c>
      <c r="AB90" s="1248">
        <v>0</v>
      </c>
      <c r="AC90" s="1248">
        <v>0</v>
      </c>
      <c r="AD90" s="1248">
        <v>6354.66</v>
      </c>
      <c r="AE90" s="1248">
        <v>0</v>
      </c>
      <c r="AF90" s="1249">
        <v>31773.07</v>
      </c>
      <c r="AG90" s="1244"/>
      <c r="AH90" s="1245"/>
      <c r="AI90" s="1245"/>
      <c r="AJ90" s="1245"/>
      <c r="AK90" s="1245"/>
      <c r="AL90" s="1246"/>
      <c r="AM90" s="1247">
        <v>6829.43</v>
      </c>
      <c r="AN90" s="1248">
        <v>0</v>
      </c>
      <c r="AO90" s="1248">
        <v>1707.35</v>
      </c>
      <c r="AP90" s="1248">
        <v>0</v>
      </c>
      <c r="AQ90" s="1248">
        <v>0</v>
      </c>
      <c r="AR90" s="1249">
        <v>8536.7800000000007</v>
      </c>
      <c r="AS90" s="1247">
        <v>16593.18</v>
      </c>
      <c r="AT90" s="1248">
        <v>0</v>
      </c>
      <c r="AU90" s="1248">
        <v>4148.29</v>
      </c>
      <c r="AV90" s="1248">
        <v>0</v>
      </c>
      <c r="AW90" s="1248">
        <v>0</v>
      </c>
      <c r="AX90" s="1249">
        <v>20741.47</v>
      </c>
      <c r="AY90" s="1244"/>
      <c r="AZ90" s="1245"/>
      <c r="BA90" s="1245"/>
      <c r="BB90" s="1245"/>
      <c r="BC90" s="1245"/>
      <c r="BD90" s="1246"/>
      <c r="BE90" s="1247">
        <v>1961.99</v>
      </c>
      <c r="BF90" s="1248">
        <v>0</v>
      </c>
      <c r="BG90" s="1248">
        <v>3543.01</v>
      </c>
      <c r="BH90" s="1248">
        <v>0</v>
      </c>
      <c r="BI90" s="1248">
        <v>0</v>
      </c>
      <c r="BJ90" s="1249">
        <v>5505</v>
      </c>
      <c r="BK90" s="1247">
        <v>30926.400000000001</v>
      </c>
      <c r="BL90" s="1248">
        <v>0</v>
      </c>
      <c r="BM90" s="1248">
        <v>3917.32</v>
      </c>
      <c r="BN90" s="1248">
        <v>6391.46</v>
      </c>
      <c r="BO90" s="1248">
        <v>-0.05</v>
      </c>
      <c r="BP90" s="1249">
        <v>41235.129999999997</v>
      </c>
      <c r="BQ90" s="1247">
        <v>237690.88</v>
      </c>
      <c r="BR90" s="1248">
        <v>0</v>
      </c>
      <c r="BS90" s="1248">
        <v>207745.04</v>
      </c>
      <c r="BT90" s="1248">
        <v>29945.84</v>
      </c>
      <c r="BU90" s="1248">
        <v>0.04</v>
      </c>
      <c r="BV90" s="1249">
        <v>475381.8</v>
      </c>
      <c r="BW90" s="1247">
        <v>125018.69</v>
      </c>
      <c r="BX90" s="1248">
        <v>0</v>
      </c>
      <c r="BY90" s="1248">
        <v>84439.1</v>
      </c>
      <c r="BZ90" s="1248">
        <v>38421.24</v>
      </c>
      <c r="CA90" s="1248">
        <v>-0.06</v>
      </c>
      <c r="CB90" s="1249">
        <v>247878.97</v>
      </c>
      <c r="CC90" s="1247">
        <v>4702.5</v>
      </c>
      <c r="CD90" s="1248">
        <v>0</v>
      </c>
      <c r="CE90" s="1248">
        <v>0</v>
      </c>
      <c r="CF90" s="1248">
        <v>8287.85</v>
      </c>
      <c r="CG90" s="1248">
        <v>0</v>
      </c>
      <c r="CH90" s="1249">
        <v>12990.35</v>
      </c>
      <c r="CI90" s="1244"/>
      <c r="CJ90" s="1245"/>
      <c r="CK90" s="1245"/>
      <c r="CL90" s="1245"/>
      <c r="CM90" s="1245"/>
      <c r="CN90" s="1246"/>
      <c r="CO90" s="1247">
        <v>76824</v>
      </c>
      <c r="CP90" s="1248">
        <v>0</v>
      </c>
      <c r="CQ90" s="1248">
        <v>0</v>
      </c>
      <c r="CR90" s="1248">
        <v>0</v>
      </c>
      <c r="CS90" s="1248">
        <v>0</v>
      </c>
      <c r="CT90" s="1249">
        <v>76824</v>
      </c>
      <c r="CU90" s="1244"/>
      <c r="CV90" s="1245"/>
      <c r="CW90" s="1245"/>
      <c r="CX90" s="1245"/>
      <c r="CY90" s="1245"/>
      <c r="CZ90" s="1246"/>
      <c r="DA90" s="1247">
        <v>132125.4</v>
      </c>
      <c r="DB90" s="1248">
        <v>0</v>
      </c>
      <c r="DC90" s="1248">
        <v>0</v>
      </c>
      <c r="DD90" s="1248">
        <v>0</v>
      </c>
      <c r="DE90" s="1248">
        <v>0</v>
      </c>
      <c r="DF90" s="1249">
        <v>132125.4</v>
      </c>
      <c r="DG90" s="1247">
        <v>3442.99</v>
      </c>
      <c r="DH90" s="1248">
        <v>0</v>
      </c>
      <c r="DI90" s="1248">
        <v>2375.6799999999998</v>
      </c>
      <c r="DJ90" s="1248">
        <v>1067.3399999999999</v>
      </c>
      <c r="DK90" s="1248">
        <v>-0.01</v>
      </c>
      <c r="DL90" s="1249">
        <v>6886</v>
      </c>
      <c r="DM90" s="1247">
        <v>10482.17</v>
      </c>
      <c r="DN90" s="1248">
        <v>0</v>
      </c>
      <c r="DO90" s="1248">
        <v>62.4</v>
      </c>
      <c r="DP90" s="1248">
        <v>1934.22</v>
      </c>
      <c r="DQ90" s="1248">
        <v>-0.02</v>
      </c>
      <c r="DR90" s="1249">
        <v>12478.77</v>
      </c>
      <c r="DS90" s="1244"/>
      <c r="DT90" s="1245"/>
      <c r="DU90" s="1245"/>
      <c r="DV90" s="1245"/>
      <c r="DW90" s="1245"/>
      <c r="DX90" s="1246"/>
    </row>
    <row r="91" spans="1:128" ht="15" customHeight="1">
      <c r="A91" s="1092" t="s">
        <v>221</v>
      </c>
      <c r="B91" s="1239" t="s">
        <v>222</v>
      </c>
      <c r="C91" s="1467" t="s">
        <v>274</v>
      </c>
      <c r="D91" s="1240">
        <f t="shared" si="10"/>
        <v>879408.08</v>
      </c>
      <c r="E91" s="1241">
        <f t="shared" si="8"/>
        <v>254410.28999999995</v>
      </c>
      <c r="F91" s="1242">
        <f t="shared" si="11"/>
        <v>83350.599999999977</v>
      </c>
      <c r="G91" s="1243">
        <f t="shared" si="9"/>
        <v>58087.82999999998</v>
      </c>
      <c r="H91" s="1242">
        <f t="shared" si="9"/>
        <v>25262.770000000004</v>
      </c>
      <c r="I91" s="1244"/>
      <c r="J91" s="1245"/>
      <c r="K91" s="1245"/>
      <c r="L91" s="1245"/>
      <c r="M91" s="1245"/>
      <c r="N91" s="1246"/>
      <c r="O91" s="1247">
        <v>0</v>
      </c>
      <c r="P91" s="1248">
        <v>0</v>
      </c>
      <c r="Q91" s="1248">
        <v>0</v>
      </c>
      <c r="R91" s="1248">
        <v>0</v>
      </c>
      <c r="S91" s="1248">
        <v>25062.79</v>
      </c>
      <c r="T91" s="1249">
        <v>25062.79</v>
      </c>
      <c r="U91" s="1247">
        <v>91.12</v>
      </c>
      <c r="V91" s="1248">
        <v>0</v>
      </c>
      <c r="W91" s="1248">
        <v>0.55000000000000004</v>
      </c>
      <c r="X91" s="1248">
        <v>16.809999999999999</v>
      </c>
      <c r="Y91" s="1248">
        <v>199.99</v>
      </c>
      <c r="Z91" s="1249">
        <v>308.47000000000003</v>
      </c>
      <c r="AA91" s="1247">
        <v>14410.14</v>
      </c>
      <c r="AB91" s="1248">
        <v>0</v>
      </c>
      <c r="AC91" s="1248">
        <v>0</v>
      </c>
      <c r="AD91" s="1248">
        <v>3602.53</v>
      </c>
      <c r="AE91" s="1248">
        <v>0</v>
      </c>
      <c r="AF91" s="1249">
        <v>18012.669999999998</v>
      </c>
      <c r="AG91" s="1244"/>
      <c r="AH91" s="1245"/>
      <c r="AI91" s="1245"/>
      <c r="AJ91" s="1245"/>
      <c r="AK91" s="1245"/>
      <c r="AL91" s="1246"/>
      <c r="AM91" s="1247">
        <v>4840.22</v>
      </c>
      <c r="AN91" s="1248">
        <v>0</v>
      </c>
      <c r="AO91" s="1248">
        <v>1210.05</v>
      </c>
      <c r="AP91" s="1248">
        <v>0</v>
      </c>
      <c r="AQ91" s="1248">
        <v>0</v>
      </c>
      <c r="AR91" s="1249">
        <v>6050.27</v>
      </c>
      <c r="AS91" s="1247">
        <v>9782.94</v>
      </c>
      <c r="AT91" s="1248">
        <v>0</v>
      </c>
      <c r="AU91" s="1248">
        <v>2445.7199999999998</v>
      </c>
      <c r="AV91" s="1248">
        <v>0</v>
      </c>
      <c r="AW91" s="1248">
        <v>0</v>
      </c>
      <c r="AX91" s="1249">
        <v>12228.66</v>
      </c>
      <c r="AY91" s="1244"/>
      <c r="AZ91" s="1245"/>
      <c r="BA91" s="1245"/>
      <c r="BB91" s="1245"/>
      <c r="BC91" s="1245"/>
      <c r="BD91" s="1246"/>
      <c r="BE91" s="1247">
        <v>1732.99</v>
      </c>
      <c r="BF91" s="1248">
        <v>0</v>
      </c>
      <c r="BG91" s="1248">
        <v>3129.51</v>
      </c>
      <c r="BH91" s="1248">
        <v>0</v>
      </c>
      <c r="BI91" s="1248">
        <v>0</v>
      </c>
      <c r="BJ91" s="1249">
        <v>4862.5</v>
      </c>
      <c r="BK91" s="1244"/>
      <c r="BL91" s="1245"/>
      <c r="BM91" s="1245"/>
      <c r="BN91" s="1245"/>
      <c r="BO91" s="1245"/>
      <c r="BP91" s="1246"/>
      <c r="BQ91" s="1247">
        <v>261024.6</v>
      </c>
      <c r="BR91" s="1248">
        <v>0</v>
      </c>
      <c r="BS91" s="1248">
        <v>226446.9</v>
      </c>
      <c r="BT91" s="1248">
        <v>34577.699999999997</v>
      </c>
      <c r="BU91" s="1248">
        <v>0</v>
      </c>
      <c r="BV91" s="1249">
        <v>522049.2</v>
      </c>
      <c r="BW91" s="1247">
        <v>25901.54</v>
      </c>
      <c r="BX91" s="1248">
        <v>0</v>
      </c>
      <c r="BY91" s="1248">
        <v>17551.150000000001</v>
      </c>
      <c r="BZ91" s="1248">
        <v>7970.59</v>
      </c>
      <c r="CA91" s="1248">
        <v>-0.01</v>
      </c>
      <c r="CB91" s="1249">
        <v>51423.27</v>
      </c>
      <c r="CC91" s="1247">
        <v>5644.03</v>
      </c>
      <c r="CD91" s="1248">
        <v>0</v>
      </c>
      <c r="CE91" s="1248">
        <v>0</v>
      </c>
      <c r="CF91" s="1248">
        <v>9947.23</v>
      </c>
      <c r="CG91" s="1248">
        <v>0</v>
      </c>
      <c r="CH91" s="1249">
        <v>15591.26</v>
      </c>
      <c r="CI91" s="1244"/>
      <c r="CJ91" s="1245"/>
      <c r="CK91" s="1245"/>
      <c r="CL91" s="1245"/>
      <c r="CM91" s="1245"/>
      <c r="CN91" s="1246"/>
      <c r="CO91" s="1247">
        <v>274339.59999999998</v>
      </c>
      <c r="CP91" s="1248">
        <v>0</v>
      </c>
      <c r="CQ91" s="1248">
        <v>0</v>
      </c>
      <c r="CR91" s="1248">
        <v>0</v>
      </c>
      <c r="CS91" s="1248">
        <v>0</v>
      </c>
      <c r="CT91" s="1249">
        <v>274339.59999999998</v>
      </c>
      <c r="CU91" s="1247">
        <v>-99</v>
      </c>
      <c r="CV91" s="1248">
        <v>0</v>
      </c>
      <c r="CW91" s="1248">
        <v>-84.2</v>
      </c>
      <c r="CX91" s="1248">
        <v>-14.8</v>
      </c>
      <c r="CY91" s="1248">
        <v>0</v>
      </c>
      <c r="CZ91" s="1249">
        <v>-198</v>
      </c>
      <c r="DA91" s="1247">
        <v>274614</v>
      </c>
      <c r="DB91" s="1248">
        <v>0</v>
      </c>
      <c r="DC91" s="1248">
        <v>0</v>
      </c>
      <c r="DD91" s="1248">
        <v>0</v>
      </c>
      <c r="DE91" s="1248">
        <v>0</v>
      </c>
      <c r="DF91" s="1249">
        <v>274614</v>
      </c>
      <c r="DG91" s="1247">
        <v>5362.5</v>
      </c>
      <c r="DH91" s="1248">
        <v>0</v>
      </c>
      <c r="DI91" s="1248">
        <v>3700.12</v>
      </c>
      <c r="DJ91" s="1248">
        <v>1662.38</v>
      </c>
      <c r="DK91" s="1248">
        <v>0</v>
      </c>
      <c r="DL91" s="1249">
        <v>10725</v>
      </c>
      <c r="DM91" s="1247">
        <v>1763.4</v>
      </c>
      <c r="DN91" s="1248">
        <v>0</v>
      </c>
      <c r="DO91" s="1248">
        <v>10.49</v>
      </c>
      <c r="DP91" s="1248">
        <v>325.39</v>
      </c>
      <c r="DQ91" s="1248">
        <v>0</v>
      </c>
      <c r="DR91" s="1249">
        <v>2099.2800000000002</v>
      </c>
      <c r="DS91" s="1244"/>
      <c r="DT91" s="1245"/>
      <c r="DU91" s="1245"/>
      <c r="DV91" s="1245"/>
      <c r="DW91" s="1245"/>
      <c r="DX91" s="1246"/>
    </row>
    <row r="92" spans="1:128" ht="15" customHeight="1">
      <c r="A92" s="1092" t="s">
        <v>225</v>
      </c>
      <c r="B92" s="1239" t="s">
        <v>226</v>
      </c>
      <c r="C92" s="1467" t="s">
        <v>271</v>
      </c>
      <c r="D92" s="1240">
        <f t="shared" si="10"/>
        <v>147248.34</v>
      </c>
      <c r="E92" s="1241">
        <f t="shared" si="8"/>
        <v>26767.159999999996</v>
      </c>
      <c r="F92" s="1242">
        <f t="shared" si="11"/>
        <v>30612.289999999997</v>
      </c>
      <c r="G92" s="1243">
        <f t="shared" si="9"/>
        <v>24915.01</v>
      </c>
      <c r="H92" s="1242">
        <f t="shared" si="9"/>
        <v>5697.28</v>
      </c>
      <c r="I92" s="1244"/>
      <c r="J92" s="1245"/>
      <c r="K92" s="1245"/>
      <c r="L92" s="1245"/>
      <c r="M92" s="1245"/>
      <c r="N92" s="1246"/>
      <c r="O92" s="1244"/>
      <c r="P92" s="1245"/>
      <c r="Q92" s="1245"/>
      <c r="R92" s="1245"/>
      <c r="S92" s="1245"/>
      <c r="T92" s="1246"/>
      <c r="U92" s="1247">
        <v>433.5</v>
      </c>
      <c r="V92" s="1248">
        <v>0</v>
      </c>
      <c r="W92" s="1248">
        <v>2.58</v>
      </c>
      <c r="X92" s="1248">
        <v>79.989999999999995</v>
      </c>
      <c r="Y92" s="1248">
        <v>-0.01</v>
      </c>
      <c r="Z92" s="1249">
        <v>516.05999999999995</v>
      </c>
      <c r="AA92" s="1247">
        <v>50750.14</v>
      </c>
      <c r="AB92" s="1248">
        <v>0</v>
      </c>
      <c r="AC92" s="1248">
        <v>0</v>
      </c>
      <c r="AD92" s="1248">
        <v>12687.55</v>
      </c>
      <c r="AE92" s="1248">
        <v>5608.83</v>
      </c>
      <c r="AF92" s="1249">
        <v>69046.52</v>
      </c>
      <c r="AG92" s="1247">
        <v>6438.02</v>
      </c>
      <c r="AH92" s="1248">
        <v>0</v>
      </c>
      <c r="AI92" s="1248">
        <v>4442.22</v>
      </c>
      <c r="AJ92" s="1248">
        <v>1995.78</v>
      </c>
      <c r="AK92" s="1248">
        <v>78.319999999999993</v>
      </c>
      <c r="AL92" s="1249">
        <v>12954.34</v>
      </c>
      <c r="AM92" s="1244"/>
      <c r="AN92" s="1245"/>
      <c r="AO92" s="1245"/>
      <c r="AP92" s="1245"/>
      <c r="AQ92" s="1245"/>
      <c r="AR92" s="1246"/>
      <c r="AS92" s="1247">
        <v>140</v>
      </c>
      <c r="AT92" s="1248">
        <v>0</v>
      </c>
      <c r="AU92" s="1248">
        <v>35</v>
      </c>
      <c r="AV92" s="1248">
        <v>0</v>
      </c>
      <c r="AW92" s="1248">
        <v>0</v>
      </c>
      <c r="AX92" s="1249">
        <v>175</v>
      </c>
      <c r="AY92" s="1244"/>
      <c r="AZ92" s="1245"/>
      <c r="BA92" s="1245"/>
      <c r="BB92" s="1245"/>
      <c r="BC92" s="1245"/>
      <c r="BD92" s="1246"/>
      <c r="BE92" s="1244"/>
      <c r="BF92" s="1245"/>
      <c r="BG92" s="1245"/>
      <c r="BH92" s="1245"/>
      <c r="BI92" s="1245"/>
      <c r="BJ92" s="1246"/>
      <c r="BK92" s="1247">
        <v>9401.9699999999993</v>
      </c>
      <c r="BL92" s="1248">
        <v>0</v>
      </c>
      <c r="BM92" s="1248">
        <v>1190.93</v>
      </c>
      <c r="BN92" s="1248">
        <v>1943.08</v>
      </c>
      <c r="BO92" s="1248">
        <v>-0.05</v>
      </c>
      <c r="BP92" s="1249">
        <v>12535.93</v>
      </c>
      <c r="BQ92" s="1247">
        <v>14428</v>
      </c>
      <c r="BR92" s="1248">
        <v>0</v>
      </c>
      <c r="BS92" s="1248">
        <v>12475.3</v>
      </c>
      <c r="BT92" s="1248">
        <v>1952.7</v>
      </c>
      <c r="BU92" s="1248">
        <v>0</v>
      </c>
      <c r="BV92" s="1249">
        <v>28856</v>
      </c>
      <c r="BW92" s="1247">
        <v>10627.44</v>
      </c>
      <c r="BX92" s="1248">
        <v>0</v>
      </c>
      <c r="BY92" s="1248">
        <v>7332.92</v>
      </c>
      <c r="BZ92" s="1248">
        <v>3294.51</v>
      </c>
      <c r="CA92" s="1248">
        <v>9.9700000000000006</v>
      </c>
      <c r="CB92" s="1249">
        <v>21264.84</v>
      </c>
      <c r="CC92" s="1244"/>
      <c r="CD92" s="1245"/>
      <c r="CE92" s="1245"/>
      <c r="CF92" s="1245"/>
      <c r="CG92" s="1245"/>
      <c r="CH92" s="1246"/>
      <c r="CI92" s="1244"/>
      <c r="CJ92" s="1245"/>
      <c r="CK92" s="1245"/>
      <c r="CL92" s="1245"/>
      <c r="CM92" s="1245"/>
      <c r="CN92" s="1246"/>
      <c r="CO92" s="1247">
        <v>2083</v>
      </c>
      <c r="CP92" s="1248">
        <v>0</v>
      </c>
      <c r="CQ92" s="1248">
        <v>0</v>
      </c>
      <c r="CR92" s="1248">
        <v>0</v>
      </c>
      <c r="CS92" s="1248">
        <v>0</v>
      </c>
      <c r="CT92" s="1249">
        <v>2083</v>
      </c>
      <c r="CU92" s="1244"/>
      <c r="CV92" s="1245"/>
      <c r="CW92" s="1245"/>
      <c r="CX92" s="1245"/>
      <c r="CY92" s="1245"/>
      <c r="CZ92" s="1246"/>
      <c r="DA92" s="1247">
        <v>38090</v>
      </c>
      <c r="DB92" s="1248">
        <v>0</v>
      </c>
      <c r="DC92" s="1248">
        <v>0</v>
      </c>
      <c r="DD92" s="1248">
        <v>0</v>
      </c>
      <c r="DE92" s="1248">
        <v>0</v>
      </c>
      <c r="DF92" s="1249">
        <v>38090</v>
      </c>
      <c r="DG92" s="1247">
        <v>1753.93</v>
      </c>
      <c r="DH92" s="1248">
        <v>0</v>
      </c>
      <c r="DI92" s="1248">
        <v>1210.21</v>
      </c>
      <c r="DJ92" s="1248">
        <v>543.71</v>
      </c>
      <c r="DK92" s="1248">
        <v>0</v>
      </c>
      <c r="DL92" s="1249">
        <v>3507.85</v>
      </c>
      <c r="DM92" s="1247">
        <v>13102.34</v>
      </c>
      <c r="DN92" s="1248">
        <v>0</v>
      </c>
      <c r="DO92" s="1248">
        <v>78</v>
      </c>
      <c r="DP92" s="1248">
        <v>2417.69</v>
      </c>
      <c r="DQ92" s="1248">
        <v>0.22</v>
      </c>
      <c r="DR92" s="1249">
        <v>15598.25</v>
      </c>
      <c r="DS92" s="1244"/>
      <c r="DT92" s="1245"/>
      <c r="DU92" s="1245"/>
      <c r="DV92" s="1245"/>
      <c r="DW92" s="1245"/>
      <c r="DX92" s="1246"/>
    </row>
    <row r="93" spans="1:128" ht="15" customHeight="1">
      <c r="A93" s="1092" t="s">
        <v>227</v>
      </c>
      <c r="B93" s="1239" t="s">
        <v>228</v>
      </c>
      <c r="C93" s="1467" t="s">
        <v>271</v>
      </c>
      <c r="D93" s="1240">
        <f t="shared" si="10"/>
        <v>94106.9</v>
      </c>
      <c r="E93" s="1241">
        <f t="shared" si="8"/>
        <v>22963.949999999997</v>
      </c>
      <c r="F93" s="1242">
        <f t="shared" si="11"/>
        <v>15453.159999999998</v>
      </c>
      <c r="G93" s="1243">
        <f t="shared" si="9"/>
        <v>13305.749999999998</v>
      </c>
      <c r="H93" s="1242">
        <f t="shared" si="9"/>
        <v>2147.4099999999994</v>
      </c>
      <c r="I93" s="1244"/>
      <c r="J93" s="1245"/>
      <c r="K93" s="1245"/>
      <c r="L93" s="1245"/>
      <c r="M93" s="1245"/>
      <c r="N93" s="1246"/>
      <c r="O93" s="1247">
        <v>0</v>
      </c>
      <c r="P93" s="1248">
        <v>0</v>
      </c>
      <c r="Q93" s="1248">
        <v>0</v>
      </c>
      <c r="R93" s="1248">
        <v>0</v>
      </c>
      <c r="S93" s="1248">
        <v>383.67</v>
      </c>
      <c r="T93" s="1249">
        <v>383.67</v>
      </c>
      <c r="U93" s="1247">
        <v>3501.56</v>
      </c>
      <c r="V93" s="1248">
        <v>0</v>
      </c>
      <c r="W93" s="1248">
        <v>20.84</v>
      </c>
      <c r="X93" s="1248">
        <v>646.12</v>
      </c>
      <c r="Y93" s="1248">
        <v>0.01</v>
      </c>
      <c r="Z93" s="1249">
        <v>4168.53</v>
      </c>
      <c r="AA93" s="1247">
        <v>19334.45</v>
      </c>
      <c r="AB93" s="1248">
        <v>0</v>
      </c>
      <c r="AC93" s="1248">
        <v>0</v>
      </c>
      <c r="AD93" s="1248">
        <v>4833.66</v>
      </c>
      <c r="AE93" s="1248">
        <v>1763.85</v>
      </c>
      <c r="AF93" s="1249">
        <v>25931.96</v>
      </c>
      <c r="AG93" s="1244"/>
      <c r="AH93" s="1245"/>
      <c r="AI93" s="1245"/>
      <c r="AJ93" s="1245"/>
      <c r="AK93" s="1245"/>
      <c r="AL93" s="1246"/>
      <c r="AM93" s="1244"/>
      <c r="AN93" s="1245"/>
      <c r="AO93" s="1245"/>
      <c r="AP93" s="1245"/>
      <c r="AQ93" s="1245"/>
      <c r="AR93" s="1246"/>
      <c r="AS93" s="1244"/>
      <c r="AT93" s="1245"/>
      <c r="AU93" s="1245"/>
      <c r="AV93" s="1245"/>
      <c r="AW93" s="1245"/>
      <c r="AX93" s="1246"/>
      <c r="AY93" s="1244"/>
      <c r="AZ93" s="1245"/>
      <c r="BA93" s="1245"/>
      <c r="BB93" s="1245"/>
      <c r="BC93" s="1245"/>
      <c r="BD93" s="1246"/>
      <c r="BE93" s="1244"/>
      <c r="BF93" s="1245"/>
      <c r="BG93" s="1245"/>
      <c r="BH93" s="1245"/>
      <c r="BI93" s="1245"/>
      <c r="BJ93" s="1246"/>
      <c r="BK93" s="1247">
        <v>144.53</v>
      </c>
      <c r="BL93" s="1248">
        <v>0</v>
      </c>
      <c r="BM93" s="1248">
        <v>18.309999999999999</v>
      </c>
      <c r="BN93" s="1248">
        <v>29.87</v>
      </c>
      <c r="BO93" s="1248">
        <v>-0.01</v>
      </c>
      <c r="BP93" s="1249">
        <v>192.7</v>
      </c>
      <c r="BQ93" s="1247">
        <v>15041.51</v>
      </c>
      <c r="BR93" s="1248">
        <v>0</v>
      </c>
      <c r="BS93" s="1248">
        <v>12807.31</v>
      </c>
      <c r="BT93" s="1248">
        <v>2234.1999999999998</v>
      </c>
      <c r="BU93" s="1248">
        <v>-0.02</v>
      </c>
      <c r="BV93" s="1249">
        <v>30083</v>
      </c>
      <c r="BW93" s="1247">
        <v>11663.48</v>
      </c>
      <c r="BX93" s="1248">
        <v>0</v>
      </c>
      <c r="BY93" s="1248">
        <v>7516.18</v>
      </c>
      <c r="BZ93" s="1248">
        <v>3518.18</v>
      </c>
      <c r="CA93" s="1248">
        <v>-0.1</v>
      </c>
      <c r="CB93" s="1249">
        <v>22697.74</v>
      </c>
      <c r="CC93" s="1244"/>
      <c r="CD93" s="1245"/>
      <c r="CE93" s="1245"/>
      <c r="CF93" s="1245"/>
      <c r="CG93" s="1245"/>
      <c r="CH93" s="1246"/>
      <c r="CI93" s="1244"/>
      <c r="CJ93" s="1245"/>
      <c r="CK93" s="1245"/>
      <c r="CL93" s="1245"/>
      <c r="CM93" s="1245"/>
      <c r="CN93" s="1246"/>
      <c r="CO93" s="1244"/>
      <c r="CP93" s="1245"/>
      <c r="CQ93" s="1245"/>
      <c r="CR93" s="1245"/>
      <c r="CS93" s="1245"/>
      <c r="CT93" s="1246"/>
      <c r="CU93" s="1244"/>
      <c r="CV93" s="1245"/>
      <c r="CW93" s="1245"/>
      <c r="CX93" s="1245"/>
      <c r="CY93" s="1245"/>
      <c r="CZ93" s="1246"/>
      <c r="DA93" s="1247">
        <v>35881.089999999997</v>
      </c>
      <c r="DB93" s="1248">
        <v>0</v>
      </c>
      <c r="DC93" s="1248">
        <v>0</v>
      </c>
      <c r="DD93" s="1248">
        <v>0</v>
      </c>
      <c r="DE93" s="1248">
        <v>0</v>
      </c>
      <c r="DF93" s="1249">
        <v>35881.089999999997</v>
      </c>
      <c r="DG93" s="1247">
        <v>3728.5</v>
      </c>
      <c r="DH93" s="1248">
        <v>0</v>
      </c>
      <c r="DI93" s="1248">
        <v>2572.67</v>
      </c>
      <c r="DJ93" s="1248">
        <v>1155.8399999999999</v>
      </c>
      <c r="DK93" s="1248">
        <v>-0.01</v>
      </c>
      <c r="DL93" s="1249">
        <v>7457</v>
      </c>
      <c r="DM93" s="1247">
        <v>4811.78</v>
      </c>
      <c r="DN93" s="1248">
        <v>0</v>
      </c>
      <c r="DO93" s="1248">
        <v>28.64</v>
      </c>
      <c r="DP93" s="1248">
        <v>887.88</v>
      </c>
      <c r="DQ93" s="1248">
        <v>0.02</v>
      </c>
      <c r="DR93" s="1249">
        <v>5728.32</v>
      </c>
      <c r="DS93" s="1244"/>
      <c r="DT93" s="1245"/>
      <c r="DU93" s="1245"/>
      <c r="DV93" s="1245"/>
      <c r="DW93" s="1245"/>
      <c r="DX93" s="1246"/>
    </row>
    <row r="94" spans="1:128" ht="15" customHeight="1">
      <c r="A94" s="1092" t="s">
        <v>229</v>
      </c>
      <c r="B94" s="1239" t="s">
        <v>230</v>
      </c>
      <c r="C94" s="1467" t="s">
        <v>275</v>
      </c>
      <c r="D94" s="1240">
        <f t="shared" si="10"/>
        <v>254792.29</v>
      </c>
      <c r="E94" s="1241">
        <f t="shared" si="8"/>
        <v>76730.080000000016</v>
      </c>
      <c r="F94" s="1242">
        <f t="shared" si="11"/>
        <v>41276.36</v>
      </c>
      <c r="G94" s="1243">
        <f t="shared" si="9"/>
        <v>41276.730000000003</v>
      </c>
      <c r="H94" s="1242">
        <f t="shared" si="9"/>
        <v>-0.37</v>
      </c>
      <c r="I94" s="1244"/>
      <c r="J94" s="1245"/>
      <c r="K94" s="1245"/>
      <c r="L94" s="1245"/>
      <c r="M94" s="1245"/>
      <c r="N94" s="1246"/>
      <c r="O94" s="1244"/>
      <c r="P94" s="1245"/>
      <c r="Q94" s="1245"/>
      <c r="R94" s="1245"/>
      <c r="S94" s="1245"/>
      <c r="T94" s="1246"/>
      <c r="U94" s="1247">
        <v>189</v>
      </c>
      <c r="V94" s="1248">
        <v>0</v>
      </c>
      <c r="W94" s="1248">
        <v>1.1299999999999999</v>
      </c>
      <c r="X94" s="1248">
        <v>34.880000000000003</v>
      </c>
      <c r="Y94" s="1248">
        <v>-0.01</v>
      </c>
      <c r="Z94" s="1249">
        <v>225</v>
      </c>
      <c r="AA94" s="1247">
        <v>37671.69</v>
      </c>
      <c r="AB94" s="1248">
        <v>0</v>
      </c>
      <c r="AC94" s="1248">
        <v>0</v>
      </c>
      <c r="AD94" s="1248">
        <v>9417.83</v>
      </c>
      <c r="AE94" s="1248">
        <v>0</v>
      </c>
      <c r="AF94" s="1249">
        <v>47089.52</v>
      </c>
      <c r="AG94" s="1247">
        <v>26132.19</v>
      </c>
      <c r="AH94" s="1248">
        <v>0</v>
      </c>
      <c r="AI94" s="1248">
        <v>7678.92</v>
      </c>
      <c r="AJ94" s="1248">
        <v>6202.06</v>
      </c>
      <c r="AK94" s="1248">
        <v>-7.0000000000000007E-2</v>
      </c>
      <c r="AL94" s="1249">
        <v>40013.1</v>
      </c>
      <c r="AM94" s="1247">
        <v>4975.51</v>
      </c>
      <c r="AN94" s="1248">
        <v>0</v>
      </c>
      <c r="AO94" s="1248">
        <v>1243.8800000000001</v>
      </c>
      <c r="AP94" s="1248">
        <v>0</v>
      </c>
      <c r="AQ94" s="1248">
        <v>0</v>
      </c>
      <c r="AR94" s="1249">
        <v>6219.39</v>
      </c>
      <c r="AS94" s="1247">
        <v>11917.02</v>
      </c>
      <c r="AT94" s="1248">
        <v>0</v>
      </c>
      <c r="AU94" s="1248">
        <v>2979.27</v>
      </c>
      <c r="AV94" s="1248">
        <v>0</v>
      </c>
      <c r="AW94" s="1248">
        <v>0</v>
      </c>
      <c r="AX94" s="1249">
        <v>14896.29</v>
      </c>
      <c r="AY94" s="1244"/>
      <c r="AZ94" s="1245"/>
      <c r="BA94" s="1245"/>
      <c r="BB94" s="1245"/>
      <c r="BC94" s="1245"/>
      <c r="BD94" s="1246"/>
      <c r="BE94" s="1247">
        <v>267.3</v>
      </c>
      <c r="BF94" s="1248">
        <v>0</v>
      </c>
      <c r="BG94" s="1248">
        <v>482.7</v>
      </c>
      <c r="BH94" s="1248">
        <v>0</v>
      </c>
      <c r="BI94" s="1248">
        <v>0</v>
      </c>
      <c r="BJ94" s="1249">
        <v>750</v>
      </c>
      <c r="BK94" s="1247">
        <v>7453.45</v>
      </c>
      <c r="BL94" s="1248">
        <v>0</v>
      </c>
      <c r="BM94" s="1248">
        <v>944.11</v>
      </c>
      <c r="BN94" s="1248">
        <v>1540.4</v>
      </c>
      <c r="BO94" s="1248">
        <v>-0.02</v>
      </c>
      <c r="BP94" s="1249">
        <v>9937.94</v>
      </c>
      <c r="BQ94" s="1247">
        <v>31439</v>
      </c>
      <c r="BR94" s="1248">
        <v>0</v>
      </c>
      <c r="BS94" s="1248">
        <v>26107.9</v>
      </c>
      <c r="BT94" s="1248">
        <v>5331.1</v>
      </c>
      <c r="BU94" s="1248">
        <v>0</v>
      </c>
      <c r="BV94" s="1249">
        <v>62878</v>
      </c>
      <c r="BW94" s="1247">
        <v>57476.66</v>
      </c>
      <c r="BX94" s="1248">
        <v>0</v>
      </c>
      <c r="BY94" s="1248">
        <v>35022.129999999997</v>
      </c>
      <c r="BZ94" s="1248">
        <v>16967.259999999998</v>
      </c>
      <c r="CA94" s="1248">
        <v>-0.24</v>
      </c>
      <c r="CB94" s="1249">
        <v>109465.81</v>
      </c>
      <c r="CC94" s="1244"/>
      <c r="CD94" s="1245"/>
      <c r="CE94" s="1245"/>
      <c r="CF94" s="1245"/>
      <c r="CG94" s="1245"/>
      <c r="CH94" s="1246"/>
      <c r="CI94" s="1244"/>
      <c r="CJ94" s="1245"/>
      <c r="CK94" s="1245"/>
      <c r="CL94" s="1245"/>
      <c r="CM94" s="1245"/>
      <c r="CN94" s="1246"/>
      <c r="CO94" s="1247">
        <v>5512</v>
      </c>
      <c r="CP94" s="1248">
        <v>0</v>
      </c>
      <c r="CQ94" s="1248">
        <v>0</v>
      </c>
      <c r="CR94" s="1248">
        <v>0</v>
      </c>
      <c r="CS94" s="1248">
        <v>0</v>
      </c>
      <c r="CT94" s="1249">
        <v>5512</v>
      </c>
      <c r="CU94" s="1244"/>
      <c r="CV94" s="1245"/>
      <c r="CW94" s="1245"/>
      <c r="CX94" s="1245"/>
      <c r="CY94" s="1245"/>
      <c r="CZ94" s="1246"/>
      <c r="DA94" s="1247">
        <v>64307.28</v>
      </c>
      <c r="DB94" s="1248">
        <v>0</v>
      </c>
      <c r="DC94" s="1248">
        <v>0</v>
      </c>
      <c r="DD94" s="1248">
        <v>0</v>
      </c>
      <c r="DE94" s="1248">
        <v>0</v>
      </c>
      <c r="DF94" s="1249">
        <v>64307.28</v>
      </c>
      <c r="DG94" s="1247">
        <v>3253.71</v>
      </c>
      <c r="DH94" s="1248">
        <v>0</v>
      </c>
      <c r="DI94" s="1248">
        <v>2245.0500000000002</v>
      </c>
      <c r="DJ94" s="1248">
        <v>1008.66</v>
      </c>
      <c r="DK94" s="1248">
        <v>-0.01</v>
      </c>
      <c r="DL94" s="1249">
        <v>6507.41</v>
      </c>
      <c r="DM94" s="1247">
        <v>4197.4799999999996</v>
      </c>
      <c r="DN94" s="1248">
        <v>0</v>
      </c>
      <c r="DO94" s="1248">
        <v>24.99</v>
      </c>
      <c r="DP94" s="1248">
        <v>774.54</v>
      </c>
      <c r="DQ94" s="1248">
        <v>-0.02</v>
      </c>
      <c r="DR94" s="1249">
        <v>4996.99</v>
      </c>
      <c r="DS94" s="1244"/>
      <c r="DT94" s="1245"/>
      <c r="DU94" s="1245"/>
      <c r="DV94" s="1245"/>
      <c r="DW94" s="1245"/>
      <c r="DX94" s="1246"/>
    </row>
    <row r="95" spans="1:128" ht="15" customHeight="1">
      <c r="A95" s="1092" t="s">
        <v>233</v>
      </c>
      <c r="B95" s="1239" t="s">
        <v>234</v>
      </c>
      <c r="C95" s="1467" t="s">
        <v>274</v>
      </c>
      <c r="D95" s="1240">
        <f t="shared" si="10"/>
        <v>308784.83000000007</v>
      </c>
      <c r="E95" s="1241">
        <f t="shared" si="8"/>
        <v>98397.48000000001</v>
      </c>
      <c r="F95" s="1242">
        <f t="shared" si="11"/>
        <v>40337.469999999994</v>
      </c>
      <c r="G95" s="1243">
        <f t="shared" si="9"/>
        <v>40337.719999999994</v>
      </c>
      <c r="H95" s="1242">
        <f t="shared" si="9"/>
        <v>-0.25</v>
      </c>
      <c r="I95" s="1244"/>
      <c r="J95" s="1245"/>
      <c r="K95" s="1245"/>
      <c r="L95" s="1245"/>
      <c r="M95" s="1245"/>
      <c r="N95" s="1246"/>
      <c r="O95" s="1244"/>
      <c r="P95" s="1245"/>
      <c r="Q95" s="1245"/>
      <c r="R95" s="1245"/>
      <c r="S95" s="1245"/>
      <c r="T95" s="1246"/>
      <c r="U95" s="1247">
        <v>2275.8000000000002</v>
      </c>
      <c r="V95" s="1248">
        <v>0</v>
      </c>
      <c r="W95" s="1248">
        <v>13.55</v>
      </c>
      <c r="X95" s="1248">
        <v>419.94</v>
      </c>
      <c r="Y95" s="1248">
        <v>0</v>
      </c>
      <c r="Z95" s="1249">
        <v>2709.29</v>
      </c>
      <c r="AA95" s="1247">
        <v>15066.86</v>
      </c>
      <c r="AB95" s="1248">
        <v>0</v>
      </c>
      <c r="AC95" s="1248">
        <v>0</v>
      </c>
      <c r="AD95" s="1248">
        <v>3766.73</v>
      </c>
      <c r="AE95" s="1248">
        <v>0</v>
      </c>
      <c r="AF95" s="1249">
        <v>18833.59</v>
      </c>
      <c r="AG95" s="1244"/>
      <c r="AH95" s="1245"/>
      <c r="AI95" s="1245"/>
      <c r="AJ95" s="1245"/>
      <c r="AK95" s="1245"/>
      <c r="AL95" s="1246"/>
      <c r="AM95" s="1247">
        <v>9339.94</v>
      </c>
      <c r="AN95" s="1248">
        <v>0</v>
      </c>
      <c r="AO95" s="1248">
        <v>2334.9899999999998</v>
      </c>
      <c r="AP95" s="1248">
        <v>0</v>
      </c>
      <c r="AQ95" s="1248">
        <v>0</v>
      </c>
      <c r="AR95" s="1249">
        <v>11674.93</v>
      </c>
      <c r="AS95" s="1247">
        <v>5379.89</v>
      </c>
      <c r="AT95" s="1248">
        <v>0</v>
      </c>
      <c r="AU95" s="1248">
        <v>1344.99</v>
      </c>
      <c r="AV95" s="1248">
        <v>0</v>
      </c>
      <c r="AW95" s="1248">
        <v>0</v>
      </c>
      <c r="AX95" s="1249">
        <v>6724.88</v>
      </c>
      <c r="AY95" s="1244"/>
      <c r="AZ95" s="1245"/>
      <c r="BA95" s="1245"/>
      <c r="BB95" s="1245"/>
      <c r="BC95" s="1245"/>
      <c r="BD95" s="1246"/>
      <c r="BE95" s="1247">
        <v>329.67</v>
      </c>
      <c r="BF95" s="1248">
        <v>0</v>
      </c>
      <c r="BG95" s="1248">
        <v>595.33000000000004</v>
      </c>
      <c r="BH95" s="1248">
        <v>0</v>
      </c>
      <c r="BI95" s="1248">
        <v>0</v>
      </c>
      <c r="BJ95" s="1249">
        <v>925</v>
      </c>
      <c r="BK95" s="1247">
        <v>13782.75</v>
      </c>
      <c r="BL95" s="1248">
        <v>0</v>
      </c>
      <c r="BM95" s="1248">
        <v>1745.83</v>
      </c>
      <c r="BN95" s="1248">
        <v>2848.43</v>
      </c>
      <c r="BO95" s="1248">
        <v>-0.04</v>
      </c>
      <c r="BP95" s="1249">
        <v>18376.97</v>
      </c>
      <c r="BQ95" s="1247">
        <v>63900.5</v>
      </c>
      <c r="BR95" s="1248">
        <v>0</v>
      </c>
      <c r="BS95" s="1248">
        <v>55473.55</v>
      </c>
      <c r="BT95" s="1248">
        <v>8426.9500000000007</v>
      </c>
      <c r="BU95" s="1248">
        <v>0</v>
      </c>
      <c r="BV95" s="1249">
        <v>127801</v>
      </c>
      <c r="BW95" s="1247">
        <v>25394.22</v>
      </c>
      <c r="BX95" s="1248">
        <v>0</v>
      </c>
      <c r="BY95" s="1248">
        <v>16541.11</v>
      </c>
      <c r="BZ95" s="1248">
        <v>7692.29</v>
      </c>
      <c r="CA95" s="1248">
        <v>-0.16</v>
      </c>
      <c r="CB95" s="1249">
        <v>49627.46</v>
      </c>
      <c r="CC95" s="1247">
        <v>6144.02</v>
      </c>
      <c r="CD95" s="1248">
        <v>0</v>
      </c>
      <c r="CE95" s="1248">
        <v>0</v>
      </c>
      <c r="CF95" s="1248">
        <v>10828.42</v>
      </c>
      <c r="CG95" s="1248">
        <v>0</v>
      </c>
      <c r="CH95" s="1249">
        <v>16972.439999999999</v>
      </c>
      <c r="CI95" s="1244"/>
      <c r="CJ95" s="1245"/>
      <c r="CK95" s="1245"/>
      <c r="CL95" s="1245"/>
      <c r="CM95" s="1245"/>
      <c r="CN95" s="1246"/>
      <c r="CO95" s="1247">
        <v>3422</v>
      </c>
      <c r="CP95" s="1248">
        <v>0</v>
      </c>
      <c r="CQ95" s="1248">
        <v>0</v>
      </c>
      <c r="CR95" s="1248">
        <v>0</v>
      </c>
      <c r="CS95" s="1248">
        <v>0</v>
      </c>
      <c r="CT95" s="1249">
        <v>3422</v>
      </c>
      <c r="CU95" s="1247">
        <v>19423.5</v>
      </c>
      <c r="CV95" s="1248">
        <v>0</v>
      </c>
      <c r="CW95" s="1248">
        <v>16497.8</v>
      </c>
      <c r="CX95" s="1248">
        <v>2925.7</v>
      </c>
      <c r="CY95" s="1248">
        <v>0</v>
      </c>
      <c r="CZ95" s="1249">
        <v>38847</v>
      </c>
      <c r="DA95" s="1247">
        <v>129481</v>
      </c>
      <c r="DB95" s="1248">
        <v>0</v>
      </c>
      <c r="DC95" s="1248">
        <v>0</v>
      </c>
      <c r="DD95" s="1248">
        <v>0</v>
      </c>
      <c r="DE95" s="1248">
        <v>0</v>
      </c>
      <c r="DF95" s="1249">
        <v>129481</v>
      </c>
      <c r="DG95" s="1247">
        <v>5499.59</v>
      </c>
      <c r="DH95" s="1248">
        <v>0</v>
      </c>
      <c r="DI95" s="1248">
        <v>3794.69</v>
      </c>
      <c r="DJ95" s="1248">
        <v>1704.88</v>
      </c>
      <c r="DK95" s="1248">
        <v>-0.05</v>
      </c>
      <c r="DL95" s="1249">
        <v>10999.11</v>
      </c>
      <c r="DM95" s="1247">
        <v>9345.09</v>
      </c>
      <c r="DN95" s="1248">
        <v>0</v>
      </c>
      <c r="DO95" s="1248">
        <v>55.64</v>
      </c>
      <c r="DP95" s="1248">
        <v>1724.38</v>
      </c>
      <c r="DQ95" s="1248">
        <v>0</v>
      </c>
      <c r="DR95" s="1249">
        <v>11125.11</v>
      </c>
      <c r="DS95" s="1244"/>
      <c r="DT95" s="1245"/>
      <c r="DU95" s="1245"/>
      <c r="DV95" s="1245"/>
      <c r="DW95" s="1245"/>
      <c r="DX95" s="1246"/>
    </row>
    <row r="96" spans="1:128" ht="15" customHeight="1">
      <c r="A96" s="1092" t="s">
        <v>235</v>
      </c>
      <c r="B96" s="1239" t="s">
        <v>236</v>
      </c>
      <c r="C96" s="1467" t="s">
        <v>275</v>
      </c>
      <c r="D96" s="1240">
        <f t="shared" si="10"/>
        <v>227920.85999999996</v>
      </c>
      <c r="E96" s="1241">
        <f t="shared" si="8"/>
        <v>49580.94999999999</v>
      </c>
      <c r="F96" s="1242">
        <f t="shared" si="11"/>
        <v>46939.689999999988</v>
      </c>
      <c r="G96" s="1243">
        <f t="shared" si="9"/>
        <v>33104.599999999991</v>
      </c>
      <c r="H96" s="1242">
        <f t="shared" si="9"/>
        <v>13835.09</v>
      </c>
      <c r="I96" s="1244"/>
      <c r="J96" s="1245"/>
      <c r="K96" s="1245"/>
      <c r="L96" s="1245"/>
      <c r="M96" s="1245"/>
      <c r="N96" s="1246"/>
      <c r="O96" s="1247">
        <v>0</v>
      </c>
      <c r="P96" s="1248">
        <v>0</v>
      </c>
      <c r="Q96" s="1248">
        <v>0</v>
      </c>
      <c r="R96" s="1248">
        <v>0</v>
      </c>
      <c r="S96" s="1248">
        <v>12720.76</v>
      </c>
      <c r="T96" s="1249">
        <v>12720.76</v>
      </c>
      <c r="U96" s="1247">
        <v>7251.55</v>
      </c>
      <c r="V96" s="1248">
        <v>0</v>
      </c>
      <c r="W96" s="1248">
        <v>43.17</v>
      </c>
      <c r="X96" s="1248">
        <v>1338.08</v>
      </c>
      <c r="Y96" s="1248">
        <v>0.01</v>
      </c>
      <c r="Z96" s="1249">
        <v>8632.81</v>
      </c>
      <c r="AA96" s="1247">
        <v>29256.7</v>
      </c>
      <c r="AB96" s="1248">
        <v>0</v>
      </c>
      <c r="AC96" s="1248">
        <v>0</v>
      </c>
      <c r="AD96" s="1248">
        <v>7314.15</v>
      </c>
      <c r="AE96" s="1248">
        <v>0</v>
      </c>
      <c r="AF96" s="1249">
        <v>36570.85</v>
      </c>
      <c r="AG96" s="1244"/>
      <c r="AH96" s="1245"/>
      <c r="AI96" s="1245"/>
      <c r="AJ96" s="1245"/>
      <c r="AK96" s="1245"/>
      <c r="AL96" s="1246"/>
      <c r="AM96" s="1244"/>
      <c r="AN96" s="1245"/>
      <c r="AO96" s="1245"/>
      <c r="AP96" s="1245"/>
      <c r="AQ96" s="1245"/>
      <c r="AR96" s="1246"/>
      <c r="AS96" s="1247">
        <v>2574.4299999999998</v>
      </c>
      <c r="AT96" s="1248">
        <v>0</v>
      </c>
      <c r="AU96" s="1248">
        <v>643.6</v>
      </c>
      <c r="AV96" s="1248">
        <v>0</v>
      </c>
      <c r="AW96" s="1248">
        <v>0</v>
      </c>
      <c r="AX96" s="1249">
        <v>3218.03</v>
      </c>
      <c r="AY96" s="1244"/>
      <c r="AZ96" s="1245"/>
      <c r="BA96" s="1245"/>
      <c r="BB96" s="1245"/>
      <c r="BC96" s="1245"/>
      <c r="BD96" s="1246"/>
      <c r="BE96" s="1247">
        <v>543.51</v>
      </c>
      <c r="BF96" s="1248">
        <v>0</v>
      </c>
      <c r="BG96" s="1248">
        <v>981.49</v>
      </c>
      <c r="BH96" s="1248">
        <v>0</v>
      </c>
      <c r="BI96" s="1248">
        <v>0</v>
      </c>
      <c r="BJ96" s="1249">
        <v>1525</v>
      </c>
      <c r="BK96" s="1247">
        <v>22990.54</v>
      </c>
      <c r="BL96" s="1248">
        <v>0</v>
      </c>
      <c r="BM96" s="1248">
        <v>2912.16</v>
      </c>
      <c r="BN96" s="1248">
        <v>4751.3900000000003</v>
      </c>
      <c r="BO96" s="1248">
        <v>365.97</v>
      </c>
      <c r="BP96" s="1249">
        <v>31020.06</v>
      </c>
      <c r="BQ96" s="1247">
        <v>24662.94</v>
      </c>
      <c r="BR96" s="1248">
        <v>0</v>
      </c>
      <c r="BS96" s="1248">
        <v>20263.5</v>
      </c>
      <c r="BT96" s="1248">
        <v>4399.4399999999996</v>
      </c>
      <c r="BU96" s="1248">
        <v>748.52</v>
      </c>
      <c r="BV96" s="1249">
        <v>50074.400000000001</v>
      </c>
      <c r="BW96" s="1247">
        <v>34678.26</v>
      </c>
      <c r="BX96" s="1248">
        <v>0</v>
      </c>
      <c r="BY96" s="1248">
        <v>23927.98</v>
      </c>
      <c r="BZ96" s="1248">
        <v>10750.28</v>
      </c>
      <c r="CA96" s="1248">
        <v>-0.16</v>
      </c>
      <c r="CB96" s="1249">
        <v>69356.36</v>
      </c>
      <c r="CC96" s="1247">
        <v>1190.92</v>
      </c>
      <c r="CD96" s="1248">
        <v>0</v>
      </c>
      <c r="CE96" s="1248">
        <v>0</v>
      </c>
      <c r="CF96" s="1248">
        <v>2098.89</v>
      </c>
      <c r="CG96" s="1248">
        <v>-0.01</v>
      </c>
      <c r="CH96" s="1249">
        <v>3289.8</v>
      </c>
      <c r="CI96" s="1244"/>
      <c r="CJ96" s="1245"/>
      <c r="CK96" s="1245"/>
      <c r="CL96" s="1245"/>
      <c r="CM96" s="1245"/>
      <c r="CN96" s="1246"/>
      <c r="CO96" s="1247">
        <v>5674</v>
      </c>
      <c r="CP96" s="1248">
        <v>0</v>
      </c>
      <c r="CQ96" s="1248">
        <v>0</v>
      </c>
      <c r="CR96" s="1248">
        <v>0</v>
      </c>
      <c r="CS96" s="1248">
        <v>0</v>
      </c>
      <c r="CT96" s="1249">
        <v>5674</v>
      </c>
      <c r="CU96" s="1247">
        <v>63</v>
      </c>
      <c r="CV96" s="1248">
        <v>0</v>
      </c>
      <c r="CW96" s="1248">
        <v>50.4</v>
      </c>
      <c r="CX96" s="1248">
        <v>12.6</v>
      </c>
      <c r="CY96" s="1248">
        <v>0</v>
      </c>
      <c r="CZ96" s="1249">
        <v>126</v>
      </c>
      <c r="DA96" s="1247">
        <v>86493</v>
      </c>
      <c r="DB96" s="1248">
        <v>0</v>
      </c>
      <c r="DC96" s="1248">
        <v>0</v>
      </c>
      <c r="DD96" s="1248">
        <v>0</v>
      </c>
      <c r="DE96" s="1248">
        <v>0</v>
      </c>
      <c r="DF96" s="1249">
        <v>86493</v>
      </c>
      <c r="DG96" s="1247">
        <v>999.93</v>
      </c>
      <c r="DH96" s="1248">
        <v>0</v>
      </c>
      <c r="DI96" s="1248">
        <v>689.95</v>
      </c>
      <c r="DJ96" s="1248">
        <v>309.98</v>
      </c>
      <c r="DK96" s="1248">
        <v>0</v>
      </c>
      <c r="DL96" s="1249">
        <v>1999.86</v>
      </c>
      <c r="DM96" s="1247">
        <v>11542.08</v>
      </c>
      <c r="DN96" s="1248">
        <v>0</v>
      </c>
      <c r="DO96" s="1248">
        <v>68.7</v>
      </c>
      <c r="DP96" s="1248">
        <v>2129.79</v>
      </c>
      <c r="DQ96" s="1248">
        <v>0</v>
      </c>
      <c r="DR96" s="1249">
        <v>13740.57</v>
      </c>
      <c r="DS96" s="1244"/>
      <c r="DT96" s="1245"/>
      <c r="DU96" s="1245"/>
      <c r="DV96" s="1245"/>
      <c r="DW96" s="1245"/>
      <c r="DX96" s="1246"/>
    </row>
    <row r="97" spans="1:128" ht="15" customHeight="1">
      <c r="A97" s="1092" t="s">
        <v>237</v>
      </c>
      <c r="B97" s="1239" t="s">
        <v>238</v>
      </c>
      <c r="C97" s="1467" t="s">
        <v>273</v>
      </c>
      <c r="D97" s="1240">
        <f t="shared" si="10"/>
        <v>173256.38</v>
      </c>
      <c r="E97" s="1241">
        <f t="shared" si="8"/>
        <v>32740.600000000002</v>
      </c>
      <c r="F97" s="1242">
        <f t="shared" si="11"/>
        <v>15349.129999999997</v>
      </c>
      <c r="G97" s="1243">
        <f t="shared" si="9"/>
        <v>15349.219999999998</v>
      </c>
      <c r="H97" s="1242">
        <f t="shared" si="9"/>
        <v>-0.09</v>
      </c>
      <c r="I97" s="1244"/>
      <c r="J97" s="1245"/>
      <c r="K97" s="1245"/>
      <c r="L97" s="1245"/>
      <c r="M97" s="1245"/>
      <c r="N97" s="1246"/>
      <c r="O97" s="1244"/>
      <c r="P97" s="1245"/>
      <c r="Q97" s="1245"/>
      <c r="R97" s="1245"/>
      <c r="S97" s="1245"/>
      <c r="T97" s="1246"/>
      <c r="U97" s="1247">
        <v>1978.2</v>
      </c>
      <c r="V97" s="1248">
        <v>0</v>
      </c>
      <c r="W97" s="1248">
        <v>11.78</v>
      </c>
      <c r="X97" s="1248">
        <v>365.03</v>
      </c>
      <c r="Y97" s="1248">
        <v>-0.01</v>
      </c>
      <c r="Z97" s="1249">
        <v>2355</v>
      </c>
      <c r="AA97" s="1247">
        <v>8544</v>
      </c>
      <c r="AB97" s="1248">
        <v>0</v>
      </c>
      <c r="AC97" s="1248">
        <v>0</v>
      </c>
      <c r="AD97" s="1248">
        <v>2136</v>
      </c>
      <c r="AE97" s="1248">
        <v>0</v>
      </c>
      <c r="AF97" s="1249">
        <v>10680</v>
      </c>
      <c r="AG97" s="1244"/>
      <c r="AH97" s="1245"/>
      <c r="AI97" s="1245"/>
      <c r="AJ97" s="1245"/>
      <c r="AK97" s="1245"/>
      <c r="AL97" s="1246"/>
      <c r="AM97" s="1244"/>
      <c r="AN97" s="1245"/>
      <c r="AO97" s="1245"/>
      <c r="AP97" s="1245"/>
      <c r="AQ97" s="1245"/>
      <c r="AR97" s="1246"/>
      <c r="AS97" s="1247">
        <v>739.48</v>
      </c>
      <c r="AT97" s="1248">
        <v>0</v>
      </c>
      <c r="AU97" s="1248">
        <v>184.87</v>
      </c>
      <c r="AV97" s="1248">
        <v>0</v>
      </c>
      <c r="AW97" s="1248">
        <v>0</v>
      </c>
      <c r="AX97" s="1249">
        <v>924.35</v>
      </c>
      <c r="AY97" s="1244"/>
      <c r="AZ97" s="1245"/>
      <c r="BA97" s="1245"/>
      <c r="BB97" s="1245"/>
      <c r="BC97" s="1245"/>
      <c r="BD97" s="1246"/>
      <c r="BE97" s="1244"/>
      <c r="BF97" s="1245"/>
      <c r="BG97" s="1245"/>
      <c r="BH97" s="1245"/>
      <c r="BI97" s="1245"/>
      <c r="BJ97" s="1246"/>
      <c r="BK97" s="1247">
        <v>14036.57</v>
      </c>
      <c r="BL97" s="1248">
        <v>0</v>
      </c>
      <c r="BM97" s="1248">
        <v>1777.98</v>
      </c>
      <c r="BN97" s="1248">
        <v>2900.88</v>
      </c>
      <c r="BO97" s="1248">
        <v>-0.02</v>
      </c>
      <c r="BP97" s="1249">
        <v>18715.41</v>
      </c>
      <c r="BQ97" s="1247">
        <v>18068.12</v>
      </c>
      <c r="BR97" s="1248">
        <v>0</v>
      </c>
      <c r="BS97" s="1248">
        <v>15253</v>
      </c>
      <c r="BT97" s="1248">
        <v>2815.12</v>
      </c>
      <c r="BU97" s="1248">
        <v>0</v>
      </c>
      <c r="BV97" s="1249">
        <v>36136.239999999998</v>
      </c>
      <c r="BW97" s="1247">
        <v>18762.400000000001</v>
      </c>
      <c r="BX97" s="1248">
        <v>0</v>
      </c>
      <c r="BY97" s="1248">
        <v>12946.02</v>
      </c>
      <c r="BZ97" s="1248">
        <v>5816.33</v>
      </c>
      <c r="CA97" s="1248">
        <v>-0.04</v>
      </c>
      <c r="CB97" s="1249">
        <v>37524.71</v>
      </c>
      <c r="CC97" s="1244"/>
      <c r="CD97" s="1245"/>
      <c r="CE97" s="1245"/>
      <c r="CF97" s="1245"/>
      <c r="CG97" s="1245"/>
      <c r="CH97" s="1246"/>
      <c r="CI97" s="1244"/>
      <c r="CJ97" s="1245"/>
      <c r="CK97" s="1245"/>
      <c r="CL97" s="1245"/>
      <c r="CM97" s="1245"/>
      <c r="CN97" s="1246"/>
      <c r="CO97" s="1244"/>
      <c r="CP97" s="1245"/>
      <c r="CQ97" s="1245"/>
      <c r="CR97" s="1245"/>
      <c r="CS97" s="1245"/>
      <c r="CT97" s="1246"/>
      <c r="CU97" s="1244"/>
      <c r="CV97" s="1245"/>
      <c r="CW97" s="1245"/>
      <c r="CX97" s="1245"/>
      <c r="CY97" s="1245"/>
      <c r="CZ97" s="1246"/>
      <c r="DA97" s="1247">
        <v>106521.11</v>
      </c>
      <c r="DB97" s="1248">
        <v>0</v>
      </c>
      <c r="DC97" s="1248">
        <v>0</v>
      </c>
      <c r="DD97" s="1248">
        <v>0</v>
      </c>
      <c r="DE97" s="1248">
        <v>0</v>
      </c>
      <c r="DF97" s="1249">
        <v>106521.11</v>
      </c>
      <c r="DG97" s="1247">
        <v>3712.5</v>
      </c>
      <c r="DH97" s="1248">
        <v>0</v>
      </c>
      <c r="DI97" s="1248">
        <v>2561.63</v>
      </c>
      <c r="DJ97" s="1248">
        <v>1150.8800000000001</v>
      </c>
      <c r="DK97" s="1248">
        <v>-0.01</v>
      </c>
      <c r="DL97" s="1249">
        <v>7425</v>
      </c>
      <c r="DM97" s="1247">
        <v>894</v>
      </c>
      <c r="DN97" s="1248">
        <v>0</v>
      </c>
      <c r="DO97" s="1248">
        <v>5.32</v>
      </c>
      <c r="DP97" s="1248">
        <v>164.98</v>
      </c>
      <c r="DQ97" s="1248">
        <v>-0.01</v>
      </c>
      <c r="DR97" s="1249">
        <v>1064.29</v>
      </c>
      <c r="DS97" s="1244"/>
      <c r="DT97" s="1245"/>
      <c r="DU97" s="1245"/>
      <c r="DV97" s="1245"/>
      <c r="DW97" s="1245"/>
      <c r="DX97" s="1246"/>
    </row>
    <row r="98" spans="1:128" ht="15" customHeight="1">
      <c r="A98" s="1092" t="s">
        <v>243</v>
      </c>
      <c r="B98" s="1239" t="s">
        <v>244</v>
      </c>
      <c r="C98" s="1467" t="s">
        <v>275</v>
      </c>
      <c r="D98" s="1240">
        <f t="shared" si="10"/>
        <v>443169.38999999996</v>
      </c>
      <c r="E98" s="1241">
        <f t="shared" si="8"/>
        <v>133198.51</v>
      </c>
      <c r="F98" s="1242">
        <f t="shared" si="11"/>
        <v>98068.02</v>
      </c>
      <c r="G98" s="1243">
        <f t="shared" si="9"/>
        <v>98068.24</v>
      </c>
      <c r="H98" s="1242">
        <f t="shared" si="9"/>
        <v>-0.22000000000000003</v>
      </c>
      <c r="I98" s="1244"/>
      <c r="J98" s="1245"/>
      <c r="K98" s="1245"/>
      <c r="L98" s="1245"/>
      <c r="M98" s="1245"/>
      <c r="N98" s="1246"/>
      <c r="O98" s="1244"/>
      <c r="P98" s="1245"/>
      <c r="Q98" s="1245"/>
      <c r="R98" s="1245"/>
      <c r="S98" s="1245"/>
      <c r="T98" s="1246"/>
      <c r="U98" s="1247">
        <v>19690.63</v>
      </c>
      <c r="V98" s="1248">
        <v>0</v>
      </c>
      <c r="W98" s="1248">
        <v>117.22</v>
      </c>
      <c r="X98" s="1248">
        <v>3633.39</v>
      </c>
      <c r="Y98" s="1248">
        <v>-0.04</v>
      </c>
      <c r="Z98" s="1249">
        <v>23441.200000000001</v>
      </c>
      <c r="AA98" s="1247">
        <v>139915.44</v>
      </c>
      <c r="AB98" s="1248">
        <v>0</v>
      </c>
      <c r="AC98" s="1248">
        <v>0</v>
      </c>
      <c r="AD98" s="1248">
        <v>34978.81</v>
      </c>
      <c r="AE98" s="1248">
        <v>0</v>
      </c>
      <c r="AF98" s="1249">
        <v>174894.25</v>
      </c>
      <c r="AG98" s="1244"/>
      <c r="AH98" s="1245"/>
      <c r="AI98" s="1245"/>
      <c r="AJ98" s="1245"/>
      <c r="AK98" s="1245"/>
      <c r="AL98" s="1246"/>
      <c r="AM98" s="1247">
        <v>15488.63</v>
      </c>
      <c r="AN98" s="1248">
        <v>0</v>
      </c>
      <c r="AO98" s="1248">
        <v>3872.16</v>
      </c>
      <c r="AP98" s="1248">
        <v>0</v>
      </c>
      <c r="AQ98" s="1248">
        <v>0</v>
      </c>
      <c r="AR98" s="1249">
        <v>19360.79</v>
      </c>
      <c r="AS98" s="1247">
        <v>17836.810000000001</v>
      </c>
      <c r="AT98" s="1248">
        <v>0</v>
      </c>
      <c r="AU98" s="1248">
        <v>4459.1899999999996</v>
      </c>
      <c r="AV98" s="1248">
        <v>0</v>
      </c>
      <c r="AW98" s="1248">
        <v>0</v>
      </c>
      <c r="AX98" s="1249">
        <v>22296</v>
      </c>
      <c r="AY98" s="1244"/>
      <c r="AZ98" s="1245"/>
      <c r="BA98" s="1245"/>
      <c r="BB98" s="1245"/>
      <c r="BC98" s="1245"/>
      <c r="BD98" s="1246"/>
      <c r="BE98" s="1247">
        <v>356.4</v>
      </c>
      <c r="BF98" s="1248">
        <v>0</v>
      </c>
      <c r="BG98" s="1248">
        <v>643.6</v>
      </c>
      <c r="BH98" s="1248">
        <v>0</v>
      </c>
      <c r="BI98" s="1248">
        <v>0</v>
      </c>
      <c r="BJ98" s="1249">
        <v>1000</v>
      </c>
      <c r="BK98" s="1247">
        <v>35256.43</v>
      </c>
      <c r="BL98" s="1248">
        <v>0</v>
      </c>
      <c r="BM98" s="1248">
        <v>4465.84</v>
      </c>
      <c r="BN98" s="1248">
        <v>7286.36</v>
      </c>
      <c r="BO98" s="1248">
        <v>-7.0000000000000007E-2</v>
      </c>
      <c r="BP98" s="1249">
        <v>47008.56</v>
      </c>
      <c r="BQ98" s="1247">
        <v>17206.5</v>
      </c>
      <c r="BR98" s="1248">
        <v>0</v>
      </c>
      <c r="BS98" s="1248">
        <v>14210.4</v>
      </c>
      <c r="BT98" s="1248">
        <v>2996.1</v>
      </c>
      <c r="BU98" s="1248">
        <v>0</v>
      </c>
      <c r="BV98" s="1249">
        <v>34413</v>
      </c>
      <c r="BW98" s="1247">
        <v>152953.63</v>
      </c>
      <c r="BX98" s="1248">
        <v>0</v>
      </c>
      <c r="BY98" s="1248">
        <v>105372.41</v>
      </c>
      <c r="BZ98" s="1248">
        <v>47385.19</v>
      </c>
      <c r="CA98" s="1248">
        <v>-0.11</v>
      </c>
      <c r="CB98" s="1249">
        <v>305711.12</v>
      </c>
      <c r="CC98" s="1244"/>
      <c r="CD98" s="1245"/>
      <c r="CE98" s="1245"/>
      <c r="CF98" s="1245"/>
      <c r="CG98" s="1245"/>
      <c r="CH98" s="1246"/>
      <c r="CI98" s="1244"/>
      <c r="CJ98" s="1245"/>
      <c r="CK98" s="1245"/>
      <c r="CL98" s="1245"/>
      <c r="CM98" s="1245"/>
      <c r="CN98" s="1246"/>
      <c r="CO98" s="1244"/>
      <c r="CP98" s="1245"/>
      <c r="CQ98" s="1245"/>
      <c r="CR98" s="1245"/>
      <c r="CS98" s="1245"/>
      <c r="CT98" s="1246"/>
      <c r="CU98" s="1244"/>
      <c r="CV98" s="1245"/>
      <c r="CW98" s="1245"/>
      <c r="CX98" s="1245"/>
      <c r="CY98" s="1245"/>
      <c r="CZ98" s="1246"/>
      <c r="DA98" s="1247">
        <v>34773</v>
      </c>
      <c r="DB98" s="1248">
        <v>0</v>
      </c>
      <c r="DC98" s="1248">
        <v>0</v>
      </c>
      <c r="DD98" s="1248">
        <v>0</v>
      </c>
      <c r="DE98" s="1248">
        <v>0</v>
      </c>
      <c r="DF98" s="1249">
        <v>34773</v>
      </c>
      <c r="DG98" s="1244"/>
      <c r="DH98" s="1245"/>
      <c r="DI98" s="1245"/>
      <c r="DJ98" s="1245"/>
      <c r="DK98" s="1245"/>
      <c r="DL98" s="1246"/>
      <c r="DM98" s="1247">
        <v>9691.92</v>
      </c>
      <c r="DN98" s="1248">
        <v>0</v>
      </c>
      <c r="DO98" s="1248">
        <v>57.69</v>
      </c>
      <c r="DP98" s="1248">
        <v>1788.39</v>
      </c>
      <c r="DQ98" s="1248">
        <v>0</v>
      </c>
      <c r="DR98" s="1249">
        <v>11538</v>
      </c>
      <c r="DS98" s="1244"/>
      <c r="DT98" s="1245"/>
      <c r="DU98" s="1245"/>
      <c r="DV98" s="1245"/>
      <c r="DW98" s="1245"/>
      <c r="DX98" s="1246"/>
    </row>
    <row r="99" spans="1:128" ht="15" customHeight="1">
      <c r="A99" s="1092" t="s">
        <v>245</v>
      </c>
      <c r="B99" s="1239" t="s">
        <v>246</v>
      </c>
      <c r="C99" s="1467" t="s">
        <v>275</v>
      </c>
      <c r="D99" s="1240">
        <f t="shared" si="10"/>
        <v>232886.03999999998</v>
      </c>
      <c r="E99" s="1241">
        <f t="shared" si="8"/>
        <v>54121.66</v>
      </c>
      <c r="F99" s="1242">
        <f t="shared" si="11"/>
        <v>30208.639999999999</v>
      </c>
      <c r="G99" s="1243">
        <f t="shared" si="9"/>
        <v>30208.92</v>
      </c>
      <c r="H99" s="1242">
        <f t="shared" si="9"/>
        <v>-0.28000000000000003</v>
      </c>
      <c r="I99" s="1244"/>
      <c r="J99" s="1245"/>
      <c r="K99" s="1245"/>
      <c r="L99" s="1245"/>
      <c r="M99" s="1245"/>
      <c r="N99" s="1246"/>
      <c r="O99" s="1244"/>
      <c r="P99" s="1245"/>
      <c r="Q99" s="1245"/>
      <c r="R99" s="1245"/>
      <c r="S99" s="1245"/>
      <c r="T99" s="1246"/>
      <c r="U99" s="1247">
        <v>6297.61</v>
      </c>
      <c r="V99" s="1248">
        <v>0</v>
      </c>
      <c r="W99" s="1248">
        <v>37.5</v>
      </c>
      <c r="X99" s="1248">
        <v>1162.07</v>
      </c>
      <c r="Y99" s="1248">
        <v>-0.02</v>
      </c>
      <c r="Z99" s="1249">
        <v>7497.16</v>
      </c>
      <c r="AA99" s="1247">
        <v>35777.9</v>
      </c>
      <c r="AB99" s="1248">
        <v>0</v>
      </c>
      <c r="AC99" s="1248">
        <v>0</v>
      </c>
      <c r="AD99" s="1248">
        <v>8944.44</v>
      </c>
      <c r="AE99" s="1248">
        <v>0</v>
      </c>
      <c r="AF99" s="1249">
        <v>44722.34</v>
      </c>
      <c r="AG99" s="1244"/>
      <c r="AH99" s="1245"/>
      <c r="AI99" s="1245"/>
      <c r="AJ99" s="1245"/>
      <c r="AK99" s="1245"/>
      <c r="AL99" s="1246"/>
      <c r="AM99" s="1247">
        <v>4743.6499999999996</v>
      </c>
      <c r="AN99" s="1248">
        <v>0</v>
      </c>
      <c r="AO99" s="1248">
        <v>1185.9100000000001</v>
      </c>
      <c r="AP99" s="1248">
        <v>0</v>
      </c>
      <c r="AQ99" s="1248">
        <v>0</v>
      </c>
      <c r="AR99" s="1249">
        <v>5929.56</v>
      </c>
      <c r="AS99" s="1247">
        <v>7101</v>
      </c>
      <c r="AT99" s="1248">
        <v>0</v>
      </c>
      <c r="AU99" s="1248">
        <v>1775.26</v>
      </c>
      <c r="AV99" s="1248">
        <v>0</v>
      </c>
      <c r="AW99" s="1248">
        <v>0</v>
      </c>
      <c r="AX99" s="1249">
        <v>8876.26</v>
      </c>
      <c r="AY99" s="1244"/>
      <c r="AZ99" s="1245"/>
      <c r="BA99" s="1245"/>
      <c r="BB99" s="1245"/>
      <c r="BC99" s="1245"/>
      <c r="BD99" s="1246"/>
      <c r="BE99" s="1247">
        <v>249.48</v>
      </c>
      <c r="BF99" s="1248">
        <v>0</v>
      </c>
      <c r="BG99" s="1248">
        <v>450.52</v>
      </c>
      <c r="BH99" s="1248">
        <v>0</v>
      </c>
      <c r="BI99" s="1248">
        <v>0</v>
      </c>
      <c r="BJ99" s="1249">
        <v>700</v>
      </c>
      <c r="BK99" s="1247">
        <v>16072.58</v>
      </c>
      <c r="BL99" s="1248">
        <v>0</v>
      </c>
      <c r="BM99" s="1248">
        <v>2035.85</v>
      </c>
      <c r="BN99" s="1248">
        <v>3321.66</v>
      </c>
      <c r="BO99" s="1248">
        <v>0</v>
      </c>
      <c r="BP99" s="1249">
        <v>21430.09</v>
      </c>
      <c r="BQ99" s="1247">
        <v>30995.71</v>
      </c>
      <c r="BR99" s="1248">
        <v>0</v>
      </c>
      <c r="BS99" s="1248">
        <v>25639.4</v>
      </c>
      <c r="BT99" s="1248">
        <v>5356.31</v>
      </c>
      <c r="BU99" s="1248">
        <v>0</v>
      </c>
      <c r="BV99" s="1249">
        <v>61991.42</v>
      </c>
      <c r="BW99" s="1247">
        <v>28846.21</v>
      </c>
      <c r="BX99" s="1248">
        <v>0</v>
      </c>
      <c r="BY99" s="1248">
        <v>19180.36</v>
      </c>
      <c r="BZ99" s="1248">
        <v>8809.66</v>
      </c>
      <c r="CA99" s="1248">
        <v>-0.23</v>
      </c>
      <c r="CB99" s="1249">
        <v>56836</v>
      </c>
      <c r="CC99" s="1244"/>
      <c r="CD99" s="1245"/>
      <c r="CE99" s="1245"/>
      <c r="CF99" s="1245"/>
      <c r="CG99" s="1245"/>
      <c r="CH99" s="1246"/>
      <c r="CI99" s="1244"/>
      <c r="CJ99" s="1245"/>
      <c r="CK99" s="1245"/>
      <c r="CL99" s="1245"/>
      <c r="CM99" s="1245"/>
      <c r="CN99" s="1246"/>
      <c r="CO99" s="1247">
        <v>4165.8</v>
      </c>
      <c r="CP99" s="1248">
        <v>0</v>
      </c>
      <c r="CQ99" s="1248">
        <v>0</v>
      </c>
      <c r="CR99" s="1248">
        <v>0</v>
      </c>
      <c r="CS99" s="1248">
        <v>0</v>
      </c>
      <c r="CT99" s="1249">
        <v>4165.8</v>
      </c>
      <c r="CU99" s="1247">
        <v>-7.5</v>
      </c>
      <c r="CV99" s="1248">
        <v>0</v>
      </c>
      <c r="CW99" s="1248">
        <v>-7.5</v>
      </c>
      <c r="CX99" s="1248">
        <v>0</v>
      </c>
      <c r="CY99" s="1248">
        <v>0</v>
      </c>
      <c r="CZ99" s="1249">
        <v>-15</v>
      </c>
      <c r="DA99" s="1247">
        <v>88213.28</v>
      </c>
      <c r="DB99" s="1248">
        <v>0</v>
      </c>
      <c r="DC99" s="1248">
        <v>0</v>
      </c>
      <c r="DD99" s="1248">
        <v>0</v>
      </c>
      <c r="DE99" s="1248">
        <v>0</v>
      </c>
      <c r="DF99" s="1249">
        <v>88213.28</v>
      </c>
      <c r="DG99" s="1247">
        <v>5500</v>
      </c>
      <c r="DH99" s="1248">
        <v>0</v>
      </c>
      <c r="DI99" s="1248">
        <v>3795</v>
      </c>
      <c r="DJ99" s="1248">
        <v>1705</v>
      </c>
      <c r="DK99" s="1248">
        <v>0</v>
      </c>
      <c r="DL99" s="1249">
        <v>11000</v>
      </c>
      <c r="DM99" s="1247">
        <v>4930.32</v>
      </c>
      <c r="DN99" s="1248">
        <v>0</v>
      </c>
      <c r="DO99" s="1248">
        <v>29.36</v>
      </c>
      <c r="DP99" s="1248">
        <v>909.78</v>
      </c>
      <c r="DQ99" s="1248">
        <v>-0.03</v>
      </c>
      <c r="DR99" s="1249">
        <v>5869.43</v>
      </c>
      <c r="DS99" s="1244"/>
      <c r="DT99" s="1245"/>
      <c r="DU99" s="1245"/>
      <c r="DV99" s="1245"/>
      <c r="DW99" s="1245"/>
      <c r="DX99" s="1246"/>
    </row>
    <row r="100" spans="1:128" ht="15" customHeight="1">
      <c r="A100" s="1092" t="s">
        <v>247</v>
      </c>
      <c r="B100" s="1239" t="s">
        <v>332</v>
      </c>
      <c r="C100" s="1467" t="s">
        <v>271</v>
      </c>
      <c r="D100" s="1240">
        <f t="shared" si="10"/>
        <v>370173.04</v>
      </c>
      <c r="E100" s="1241">
        <f t="shared" si="8"/>
        <v>67520.47</v>
      </c>
      <c r="F100" s="1242">
        <f t="shared" si="11"/>
        <v>38862.61</v>
      </c>
      <c r="G100" s="1243">
        <f t="shared" si="9"/>
        <v>37439.160000000003</v>
      </c>
      <c r="H100" s="1242">
        <f t="shared" si="9"/>
        <v>1423.45</v>
      </c>
      <c r="I100" s="1244"/>
      <c r="J100" s="1245"/>
      <c r="K100" s="1245"/>
      <c r="L100" s="1245"/>
      <c r="M100" s="1245"/>
      <c r="N100" s="1246"/>
      <c r="O100" s="1244"/>
      <c r="P100" s="1245"/>
      <c r="Q100" s="1245"/>
      <c r="R100" s="1245"/>
      <c r="S100" s="1245"/>
      <c r="T100" s="1246"/>
      <c r="U100" s="1247">
        <v>6185.76</v>
      </c>
      <c r="V100" s="1248">
        <v>0</v>
      </c>
      <c r="W100" s="1248">
        <v>36.81</v>
      </c>
      <c r="X100" s="1248">
        <v>1141.42</v>
      </c>
      <c r="Y100" s="1248">
        <v>0.01</v>
      </c>
      <c r="Z100" s="1249">
        <v>7364</v>
      </c>
      <c r="AA100" s="1247">
        <v>22238.71</v>
      </c>
      <c r="AB100" s="1248">
        <v>0</v>
      </c>
      <c r="AC100" s="1248">
        <v>0</v>
      </c>
      <c r="AD100" s="1248">
        <v>5559.67</v>
      </c>
      <c r="AE100" s="1248">
        <v>15.66</v>
      </c>
      <c r="AF100" s="1249">
        <v>27814.04</v>
      </c>
      <c r="AG100" s="1244"/>
      <c r="AH100" s="1245"/>
      <c r="AI100" s="1245"/>
      <c r="AJ100" s="1245"/>
      <c r="AK100" s="1245"/>
      <c r="AL100" s="1246"/>
      <c r="AM100" s="1244"/>
      <c r="AN100" s="1245"/>
      <c r="AO100" s="1245"/>
      <c r="AP100" s="1245"/>
      <c r="AQ100" s="1245"/>
      <c r="AR100" s="1246"/>
      <c r="AS100" s="1247">
        <v>1011.24</v>
      </c>
      <c r="AT100" s="1248">
        <v>0</v>
      </c>
      <c r="AU100" s="1248">
        <v>252.81</v>
      </c>
      <c r="AV100" s="1248">
        <v>0</v>
      </c>
      <c r="AW100" s="1248">
        <v>0</v>
      </c>
      <c r="AX100" s="1249">
        <v>1264.05</v>
      </c>
      <c r="AY100" s="1244"/>
      <c r="AZ100" s="1245"/>
      <c r="BA100" s="1245"/>
      <c r="BB100" s="1245"/>
      <c r="BC100" s="1245"/>
      <c r="BD100" s="1246"/>
      <c r="BE100" s="1247">
        <v>71.28</v>
      </c>
      <c r="BF100" s="1248">
        <v>0</v>
      </c>
      <c r="BG100" s="1248">
        <v>128.72</v>
      </c>
      <c r="BH100" s="1248">
        <v>0</v>
      </c>
      <c r="BI100" s="1248">
        <v>0</v>
      </c>
      <c r="BJ100" s="1249">
        <v>200</v>
      </c>
      <c r="BK100" s="1247">
        <v>37180.519999999997</v>
      </c>
      <c r="BL100" s="1248">
        <v>0</v>
      </c>
      <c r="BM100" s="1248">
        <v>4709.55</v>
      </c>
      <c r="BN100" s="1248">
        <v>7684</v>
      </c>
      <c r="BO100" s="1248">
        <v>1171.19</v>
      </c>
      <c r="BP100" s="1249">
        <v>50745.26</v>
      </c>
      <c r="BQ100" s="1247">
        <v>45562.05</v>
      </c>
      <c r="BR100" s="1248">
        <v>0</v>
      </c>
      <c r="BS100" s="1248">
        <v>38573.08</v>
      </c>
      <c r="BT100" s="1248">
        <v>6988.98</v>
      </c>
      <c r="BU100" s="1248">
        <v>-0.01</v>
      </c>
      <c r="BV100" s="1249">
        <v>91124.1</v>
      </c>
      <c r="BW100" s="1247">
        <v>26285.35</v>
      </c>
      <c r="BX100" s="1248">
        <v>0</v>
      </c>
      <c r="BY100" s="1248">
        <v>18069.27</v>
      </c>
      <c r="BZ100" s="1248">
        <v>8136.06</v>
      </c>
      <c r="CA100" s="1248">
        <v>-0.03</v>
      </c>
      <c r="CB100" s="1249">
        <v>52490.65</v>
      </c>
      <c r="CC100" s="1247">
        <v>2523.1999999999998</v>
      </c>
      <c r="CD100" s="1248">
        <v>0</v>
      </c>
      <c r="CE100" s="1248">
        <v>0</v>
      </c>
      <c r="CF100" s="1248">
        <v>4446.9399999999996</v>
      </c>
      <c r="CG100" s="1248">
        <v>26.59</v>
      </c>
      <c r="CH100" s="1249">
        <v>6996.73</v>
      </c>
      <c r="CI100" s="1244"/>
      <c r="CJ100" s="1245"/>
      <c r="CK100" s="1245"/>
      <c r="CL100" s="1245"/>
      <c r="CM100" s="1245"/>
      <c r="CN100" s="1246"/>
      <c r="CO100" s="1247">
        <v>31556</v>
      </c>
      <c r="CP100" s="1248">
        <v>0</v>
      </c>
      <c r="CQ100" s="1248">
        <v>0</v>
      </c>
      <c r="CR100" s="1248">
        <v>0</v>
      </c>
      <c r="CS100" s="1248">
        <v>0</v>
      </c>
      <c r="CT100" s="1249">
        <v>31556</v>
      </c>
      <c r="CU100" s="1247">
        <v>377.5</v>
      </c>
      <c r="CV100" s="1248">
        <v>0</v>
      </c>
      <c r="CW100" s="1248">
        <v>302</v>
      </c>
      <c r="CX100" s="1248">
        <v>75.5</v>
      </c>
      <c r="CY100" s="1248">
        <v>0</v>
      </c>
      <c r="CZ100" s="1249">
        <v>755</v>
      </c>
      <c r="DA100" s="1247">
        <v>184058.23999999999</v>
      </c>
      <c r="DB100" s="1248">
        <v>0</v>
      </c>
      <c r="DC100" s="1248">
        <v>0</v>
      </c>
      <c r="DD100" s="1248">
        <v>0</v>
      </c>
      <c r="DE100" s="1248">
        <v>0</v>
      </c>
      <c r="DF100" s="1249">
        <v>184058.23999999999</v>
      </c>
      <c r="DG100" s="1247">
        <v>7850.51</v>
      </c>
      <c r="DH100" s="1248">
        <v>0</v>
      </c>
      <c r="DI100" s="1248">
        <v>5416.84</v>
      </c>
      <c r="DJ100" s="1248">
        <v>2433.65</v>
      </c>
      <c r="DK100" s="1248">
        <v>0</v>
      </c>
      <c r="DL100" s="1249">
        <v>15701</v>
      </c>
      <c r="DM100" s="1247">
        <v>5272.68</v>
      </c>
      <c r="DN100" s="1248">
        <v>0</v>
      </c>
      <c r="DO100" s="1248">
        <v>31.39</v>
      </c>
      <c r="DP100" s="1248">
        <v>972.94</v>
      </c>
      <c r="DQ100" s="1248">
        <v>210.04</v>
      </c>
      <c r="DR100" s="1249">
        <v>6487.05</v>
      </c>
      <c r="DS100" s="1244"/>
      <c r="DT100" s="1245"/>
      <c r="DU100" s="1245"/>
      <c r="DV100" s="1245"/>
      <c r="DW100" s="1245"/>
      <c r="DX100" s="1246"/>
    </row>
    <row r="101" spans="1:128" ht="15" customHeight="1">
      <c r="A101" s="1092" t="s">
        <v>14</v>
      </c>
      <c r="B101" s="1239" t="s">
        <v>15</v>
      </c>
      <c r="C101" s="1467" t="s">
        <v>274</v>
      </c>
      <c r="D101" s="1240">
        <f t="shared" si="10"/>
        <v>2357692.6300000004</v>
      </c>
      <c r="E101" s="1241">
        <f t="shared" si="8"/>
        <v>654960.92000000004</v>
      </c>
      <c r="F101" s="1242">
        <f t="shared" si="11"/>
        <v>597698.85</v>
      </c>
      <c r="G101" s="1243">
        <f t="shared" si="9"/>
        <v>144680.71</v>
      </c>
      <c r="H101" s="1242">
        <f t="shared" si="9"/>
        <v>453018.14</v>
      </c>
      <c r="I101" s="1244"/>
      <c r="J101" s="1245"/>
      <c r="K101" s="1245"/>
      <c r="L101" s="1245"/>
      <c r="M101" s="1245"/>
      <c r="N101" s="1246"/>
      <c r="O101" s="1244"/>
      <c r="P101" s="1245"/>
      <c r="Q101" s="1245"/>
      <c r="R101" s="1245"/>
      <c r="S101" s="1245"/>
      <c r="T101" s="1246"/>
      <c r="U101" s="1247">
        <v>9479.41</v>
      </c>
      <c r="V101" s="1248">
        <v>0</v>
      </c>
      <c r="W101" s="1248">
        <v>56.44</v>
      </c>
      <c r="X101" s="1248">
        <v>1749.19</v>
      </c>
      <c r="Y101" s="1248">
        <v>76.819999999999993</v>
      </c>
      <c r="Z101" s="1249">
        <v>11361.86</v>
      </c>
      <c r="AA101" s="1247">
        <v>61384.800000000003</v>
      </c>
      <c r="AB101" s="1248">
        <v>0</v>
      </c>
      <c r="AC101" s="1248">
        <v>0</v>
      </c>
      <c r="AD101" s="1248">
        <v>15346.2</v>
      </c>
      <c r="AE101" s="1248">
        <v>398684.76</v>
      </c>
      <c r="AF101" s="1249">
        <v>475415.76</v>
      </c>
      <c r="AG101" s="1247">
        <v>6904.82</v>
      </c>
      <c r="AH101" s="1248">
        <v>0</v>
      </c>
      <c r="AI101" s="1248">
        <v>1602.52</v>
      </c>
      <c r="AJ101" s="1248">
        <v>1560.51</v>
      </c>
      <c r="AK101" s="1248">
        <v>0</v>
      </c>
      <c r="AL101" s="1249">
        <v>10067.85</v>
      </c>
      <c r="AM101" s="1247">
        <v>21567.59</v>
      </c>
      <c r="AN101" s="1248">
        <v>0</v>
      </c>
      <c r="AO101" s="1248">
        <v>5391.89</v>
      </c>
      <c r="AP101" s="1248">
        <v>0</v>
      </c>
      <c r="AQ101" s="1248">
        <v>-2032.07</v>
      </c>
      <c r="AR101" s="1249">
        <v>24927.41</v>
      </c>
      <c r="AS101" s="1247">
        <v>25591.19</v>
      </c>
      <c r="AT101" s="1248">
        <v>0</v>
      </c>
      <c r="AU101" s="1248">
        <v>6397.81</v>
      </c>
      <c r="AV101" s="1248">
        <v>0</v>
      </c>
      <c r="AW101" s="1248">
        <v>423.58</v>
      </c>
      <c r="AX101" s="1249">
        <v>32412.58</v>
      </c>
      <c r="AY101" s="1244"/>
      <c r="AZ101" s="1245"/>
      <c r="BA101" s="1245"/>
      <c r="BB101" s="1245"/>
      <c r="BC101" s="1245"/>
      <c r="BD101" s="1246"/>
      <c r="BE101" s="1247">
        <v>2397.69</v>
      </c>
      <c r="BF101" s="1248">
        <v>0</v>
      </c>
      <c r="BG101" s="1248">
        <v>4329.83</v>
      </c>
      <c r="BH101" s="1248">
        <v>0</v>
      </c>
      <c r="BI101" s="1248">
        <v>0</v>
      </c>
      <c r="BJ101" s="1249">
        <v>6727.52</v>
      </c>
      <c r="BK101" s="1247">
        <v>59758.17</v>
      </c>
      <c r="BL101" s="1248">
        <v>0</v>
      </c>
      <c r="BM101" s="1248">
        <v>7569.37</v>
      </c>
      <c r="BN101" s="1248">
        <v>12350.01</v>
      </c>
      <c r="BO101" s="1248">
        <v>-0.01</v>
      </c>
      <c r="BP101" s="1249">
        <v>79677.539999999994</v>
      </c>
      <c r="BQ101" s="1247">
        <v>459133.71</v>
      </c>
      <c r="BR101" s="1248">
        <v>0</v>
      </c>
      <c r="BS101" s="1248">
        <v>394832.27</v>
      </c>
      <c r="BT101" s="1248">
        <v>64301.440000000002</v>
      </c>
      <c r="BU101" s="1248">
        <v>-0.01</v>
      </c>
      <c r="BV101" s="1249">
        <v>918267.41</v>
      </c>
      <c r="BW101" s="1247">
        <v>30667.599999999999</v>
      </c>
      <c r="BX101" s="1248">
        <v>0</v>
      </c>
      <c r="BY101" s="1248">
        <v>16373.54</v>
      </c>
      <c r="BZ101" s="1248">
        <v>8628.85</v>
      </c>
      <c r="CA101" s="1248">
        <v>-0.01</v>
      </c>
      <c r="CB101" s="1249">
        <v>55669.98</v>
      </c>
      <c r="CC101" s="1247">
        <v>10633.01</v>
      </c>
      <c r="CD101" s="1248">
        <v>0</v>
      </c>
      <c r="CE101" s="1248">
        <v>0</v>
      </c>
      <c r="CF101" s="1248">
        <v>18739.98</v>
      </c>
      <c r="CG101" s="1248">
        <v>-0.01</v>
      </c>
      <c r="CH101" s="1249">
        <v>29372.98</v>
      </c>
      <c r="CI101" s="1244"/>
      <c r="CJ101" s="1245"/>
      <c r="CK101" s="1245"/>
      <c r="CL101" s="1245"/>
      <c r="CM101" s="1245"/>
      <c r="CN101" s="1246"/>
      <c r="CO101" s="1247">
        <v>195694.89</v>
      </c>
      <c r="CP101" s="1248">
        <v>0</v>
      </c>
      <c r="CQ101" s="1248">
        <v>0</v>
      </c>
      <c r="CR101" s="1248">
        <v>0</v>
      </c>
      <c r="CS101" s="1248">
        <v>0</v>
      </c>
      <c r="CT101" s="1249">
        <v>195694.89</v>
      </c>
      <c r="CU101" s="1247">
        <v>223057.27</v>
      </c>
      <c r="CV101" s="1248">
        <v>0</v>
      </c>
      <c r="CW101" s="1248">
        <v>207470.85</v>
      </c>
      <c r="CX101" s="1248">
        <v>15586.42</v>
      </c>
      <c r="CY101" s="1248">
        <v>45964.43</v>
      </c>
      <c r="CZ101" s="1249">
        <v>492078.97</v>
      </c>
      <c r="DA101" s="1247">
        <v>1227370</v>
      </c>
      <c r="DB101" s="1248">
        <v>0</v>
      </c>
      <c r="DC101" s="1248">
        <v>0</v>
      </c>
      <c r="DD101" s="1248">
        <v>0</v>
      </c>
      <c r="DE101" s="1248">
        <v>2975.4</v>
      </c>
      <c r="DF101" s="1249">
        <v>1230345.3999999999</v>
      </c>
      <c r="DG101" s="1247">
        <v>15778.49</v>
      </c>
      <c r="DH101" s="1248">
        <v>0</v>
      </c>
      <c r="DI101" s="1248">
        <v>10887.15</v>
      </c>
      <c r="DJ101" s="1248">
        <v>4891.34</v>
      </c>
      <c r="DK101" s="1248">
        <v>-0.05</v>
      </c>
      <c r="DL101" s="1249">
        <v>31556.93</v>
      </c>
      <c r="DM101" s="1247">
        <v>8273.99</v>
      </c>
      <c r="DN101" s="1248">
        <v>0</v>
      </c>
      <c r="DO101" s="1248">
        <v>49.25</v>
      </c>
      <c r="DP101" s="1248">
        <v>1526.77</v>
      </c>
      <c r="DQ101" s="1248">
        <v>6925.31</v>
      </c>
      <c r="DR101" s="1249">
        <v>16775.32</v>
      </c>
      <c r="DS101" s="1244"/>
      <c r="DT101" s="1245"/>
      <c r="DU101" s="1245"/>
      <c r="DV101" s="1245"/>
      <c r="DW101" s="1245"/>
      <c r="DX101" s="1246"/>
    </row>
    <row r="102" spans="1:128" ht="15" customHeight="1">
      <c r="A102" s="1092" t="s">
        <v>35</v>
      </c>
      <c r="B102" s="1239" t="s">
        <v>36</v>
      </c>
      <c r="C102" s="1467" t="s">
        <v>275</v>
      </c>
      <c r="D102" s="1240">
        <f t="shared" si="10"/>
        <v>329845.15999999997</v>
      </c>
      <c r="E102" s="1241">
        <f t="shared" si="8"/>
        <v>103589.21</v>
      </c>
      <c r="F102" s="1242">
        <f t="shared" si="11"/>
        <v>47010.079999999994</v>
      </c>
      <c r="G102" s="1243">
        <f t="shared" si="9"/>
        <v>47010.149999999994</v>
      </c>
      <c r="H102" s="1242">
        <f t="shared" si="9"/>
        <v>-6.9999999999999993E-2</v>
      </c>
      <c r="I102" s="1244"/>
      <c r="J102" s="1245"/>
      <c r="K102" s="1245"/>
      <c r="L102" s="1245"/>
      <c r="M102" s="1245"/>
      <c r="N102" s="1246"/>
      <c r="O102" s="1244"/>
      <c r="P102" s="1245"/>
      <c r="Q102" s="1245"/>
      <c r="R102" s="1245"/>
      <c r="S102" s="1245"/>
      <c r="T102" s="1246"/>
      <c r="U102" s="1247">
        <v>4623.3599999999997</v>
      </c>
      <c r="V102" s="1248">
        <v>0</v>
      </c>
      <c r="W102" s="1248">
        <v>27.52</v>
      </c>
      <c r="X102" s="1248">
        <v>853.13</v>
      </c>
      <c r="Y102" s="1248">
        <v>-0.01</v>
      </c>
      <c r="Z102" s="1249">
        <v>5504</v>
      </c>
      <c r="AA102" s="1247">
        <v>26651.77</v>
      </c>
      <c r="AB102" s="1248">
        <v>0</v>
      </c>
      <c r="AC102" s="1248">
        <v>0</v>
      </c>
      <c r="AD102" s="1248">
        <v>6662.96</v>
      </c>
      <c r="AE102" s="1248">
        <v>0</v>
      </c>
      <c r="AF102" s="1249">
        <v>33314.730000000003</v>
      </c>
      <c r="AG102" s="1247">
        <v>8523.43</v>
      </c>
      <c r="AH102" s="1248">
        <v>0</v>
      </c>
      <c r="AI102" s="1248">
        <v>1942.38</v>
      </c>
      <c r="AJ102" s="1248">
        <v>1919.76</v>
      </c>
      <c r="AK102" s="1248">
        <v>-0.03</v>
      </c>
      <c r="AL102" s="1249">
        <v>12385.54</v>
      </c>
      <c r="AM102" s="1247">
        <v>2549.63</v>
      </c>
      <c r="AN102" s="1248">
        <v>0</v>
      </c>
      <c r="AO102" s="1248">
        <v>637.41</v>
      </c>
      <c r="AP102" s="1248">
        <v>0</v>
      </c>
      <c r="AQ102" s="1248">
        <v>0</v>
      </c>
      <c r="AR102" s="1249">
        <v>3187.04</v>
      </c>
      <c r="AS102" s="1247">
        <v>4652.79</v>
      </c>
      <c r="AT102" s="1248">
        <v>0</v>
      </c>
      <c r="AU102" s="1248">
        <v>1163.21</v>
      </c>
      <c r="AV102" s="1248">
        <v>0</v>
      </c>
      <c r="AW102" s="1248">
        <v>0</v>
      </c>
      <c r="AX102" s="1249">
        <v>5816</v>
      </c>
      <c r="AY102" s="1244"/>
      <c r="AZ102" s="1245"/>
      <c r="BA102" s="1245"/>
      <c r="BB102" s="1245"/>
      <c r="BC102" s="1245"/>
      <c r="BD102" s="1246"/>
      <c r="BE102" s="1247">
        <v>491.66</v>
      </c>
      <c r="BF102" s="1248">
        <v>0</v>
      </c>
      <c r="BG102" s="1248">
        <v>887.89</v>
      </c>
      <c r="BH102" s="1248">
        <v>0</v>
      </c>
      <c r="BI102" s="1248">
        <v>0</v>
      </c>
      <c r="BJ102" s="1249">
        <v>1379.55</v>
      </c>
      <c r="BK102" s="1247">
        <v>20450.78</v>
      </c>
      <c r="BL102" s="1248">
        <v>0</v>
      </c>
      <c r="BM102" s="1248">
        <v>2590.4</v>
      </c>
      <c r="BN102" s="1248">
        <v>4226.51</v>
      </c>
      <c r="BO102" s="1248">
        <v>-0.01</v>
      </c>
      <c r="BP102" s="1249">
        <v>27267.68</v>
      </c>
      <c r="BQ102" s="1247">
        <v>73438.25</v>
      </c>
      <c r="BR102" s="1248">
        <v>0</v>
      </c>
      <c r="BS102" s="1248">
        <v>61233.9</v>
      </c>
      <c r="BT102" s="1248">
        <v>12204.35</v>
      </c>
      <c r="BU102" s="1248">
        <v>0</v>
      </c>
      <c r="BV102" s="1249">
        <v>146876.5</v>
      </c>
      <c r="BW102" s="1247">
        <v>41564.01</v>
      </c>
      <c r="BX102" s="1248">
        <v>0</v>
      </c>
      <c r="BY102" s="1248">
        <v>28269.06</v>
      </c>
      <c r="BZ102" s="1248">
        <v>12809.6</v>
      </c>
      <c r="CA102" s="1248">
        <v>-0.06</v>
      </c>
      <c r="CB102" s="1249">
        <v>82642.61</v>
      </c>
      <c r="CC102" s="1247">
        <v>2586.16</v>
      </c>
      <c r="CD102" s="1248">
        <v>0</v>
      </c>
      <c r="CE102" s="1248">
        <v>0</v>
      </c>
      <c r="CF102" s="1248">
        <v>4557.92</v>
      </c>
      <c r="CG102" s="1248">
        <v>0.02</v>
      </c>
      <c r="CH102" s="1249">
        <v>7144.1</v>
      </c>
      <c r="CI102" s="1244"/>
      <c r="CJ102" s="1245"/>
      <c r="CK102" s="1245"/>
      <c r="CL102" s="1245"/>
      <c r="CM102" s="1245"/>
      <c r="CN102" s="1246"/>
      <c r="CO102" s="1247">
        <v>1820</v>
      </c>
      <c r="CP102" s="1248">
        <v>0</v>
      </c>
      <c r="CQ102" s="1248">
        <v>0</v>
      </c>
      <c r="CR102" s="1248">
        <v>0</v>
      </c>
      <c r="CS102" s="1248">
        <v>0</v>
      </c>
      <c r="CT102" s="1249">
        <v>1820</v>
      </c>
      <c r="CU102" s="1247">
        <v>6236</v>
      </c>
      <c r="CV102" s="1248">
        <v>0</v>
      </c>
      <c r="CW102" s="1248">
        <v>5286.1</v>
      </c>
      <c r="CX102" s="1248">
        <v>949.9</v>
      </c>
      <c r="CY102" s="1248">
        <v>0</v>
      </c>
      <c r="CZ102" s="1249">
        <v>12472</v>
      </c>
      <c r="DA102" s="1247">
        <v>122402.26</v>
      </c>
      <c r="DB102" s="1248">
        <v>0</v>
      </c>
      <c r="DC102" s="1248">
        <v>0</v>
      </c>
      <c r="DD102" s="1248">
        <v>0</v>
      </c>
      <c r="DE102" s="1248">
        <v>0</v>
      </c>
      <c r="DF102" s="1249">
        <v>122402.26</v>
      </c>
      <c r="DG102" s="1247">
        <v>2147.34</v>
      </c>
      <c r="DH102" s="1248">
        <v>0</v>
      </c>
      <c r="DI102" s="1248">
        <v>1481.66</v>
      </c>
      <c r="DJ102" s="1248">
        <v>665.67</v>
      </c>
      <c r="DK102" s="1248">
        <v>-0.01</v>
      </c>
      <c r="DL102" s="1249">
        <v>4294.66</v>
      </c>
      <c r="DM102" s="1247">
        <v>11707.72</v>
      </c>
      <c r="DN102" s="1248">
        <v>0</v>
      </c>
      <c r="DO102" s="1248">
        <v>69.680000000000007</v>
      </c>
      <c r="DP102" s="1248">
        <v>2160.35</v>
      </c>
      <c r="DQ102" s="1248">
        <v>0.03</v>
      </c>
      <c r="DR102" s="1249">
        <v>13937.78</v>
      </c>
      <c r="DS102" s="1244"/>
      <c r="DT102" s="1245"/>
      <c r="DU102" s="1245"/>
      <c r="DV102" s="1245"/>
      <c r="DW102" s="1245"/>
      <c r="DX102" s="1246"/>
    </row>
    <row r="103" spans="1:128" ht="15" customHeight="1">
      <c r="A103" s="1092" t="s">
        <v>53</v>
      </c>
      <c r="B103" s="1239" t="s">
        <v>54</v>
      </c>
      <c r="C103" s="1467" t="s">
        <v>272</v>
      </c>
      <c r="D103" s="1240">
        <f t="shared" si="10"/>
        <v>552205.79</v>
      </c>
      <c r="E103" s="1241">
        <f t="shared" si="8"/>
        <v>187046.13999999998</v>
      </c>
      <c r="F103" s="1242">
        <f t="shared" si="11"/>
        <v>88799.330000000016</v>
      </c>
      <c r="G103" s="1243">
        <f t="shared" si="9"/>
        <v>80942.920000000013</v>
      </c>
      <c r="H103" s="1242">
        <f t="shared" si="9"/>
        <v>7856.41</v>
      </c>
      <c r="I103" s="1244"/>
      <c r="J103" s="1245"/>
      <c r="K103" s="1245"/>
      <c r="L103" s="1245"/>
      <c r="M103" s="1245"/>
      <c r="N103" s="1246"/>
      <c r="O103" s="1244"/>
      <c r="P103" s="1245"/>
      <c r="Q103" s="1245"/>
      <c r="R103" s="1245"/>
      <c r="S103" s="1245"/>
      <c r="T103" s="1246"/>
      <c r="U103" s="1247">
        <v>6383.15</v>
      </c>
      <c r="V103" s="1248">
        <v>0</v>
      </c>
      <c r="W103" s="1248">
        <v>38</v>
      </c>
      <c r="X103" s="1248">
        <v>1177.8499999999999</v>
      </c>
      <c r="Y103" s="1248">
        <v>0</v>
      </c>
      <c r="Z103" s="1249">
        <v>7599</v>
      </c>
      <c r="AA103" s="1247">
        <v>32702.89</v>
      </c>
      <c r="AB103" s="1248">
        <v>0</v>
      </c>
      <c r="AC103" s="1248">
        <v>0</v>
      </c>
      <c r="AD103" s="1248">
        <v>8175.76</v>
      </c>
      <c r="AE103" s="1248">
        <v>0</v>
      </c>
      <c r="AF103" s="1249">
        <v>40878.65</v>
      </c>
      <c r="AG103" s="1244"/>
      <c r="AH103" s="1245"/>
      <c r="AI103" s="1245"/>
      <c r="AJ103" s="1245"/>
      <c r="AK103" s="1245"/>
      <c r="AL103" s="1246"/>
      <c r="AM103" s="1247">
        <v>26081.59</v>
      </c>
      <c r="AN103" s="1248">
        <v>0</v>
      </c>
      <c r="AO103" s="1248">
        <v>6520.41</v>
      </c>
      <c r="AP103" s="1248">
        <v>0</v>
      </c>
      <c r="AQ103" s="1248">
        <v>0</v>
      </c>
      <c r="AR103" s="1249">
        <v>32602</v>
      </c>
      <c r="AS103" s="1247">
        <v>29468.79</v>
      </c>
      <c r="AT103" s="1248">
        <v>0</v>
      </c>
      <c r="AU103" s="1248">
        <v>7367.21</v>
      </c>
      <c r="AV103" s="1248">
        <v>0</v>
      </c>
      <c r="AW103" s="1248">
        <v>0</v>
      </c>
      <c r="AX103" s="1249">
        <v>36836</v>
      </c>
      <c r="AY103" s="1244"/>
      <c r="AZ103" s="1245"/>
      <c r="BA103" s="1245"/>
      <c r="BB103" s="1245"/>
      <c r="BC103" s="1245"/>
      <c r="BD103" s="1246"/>
      <c r="BE103" s="1247">
        <v>4385.51</v>
      </c>
      <c r="BF103" s="1248">
        <v>0</v>
      </c>
      <c r="BG103" s="1248">
        <v>7919.49</v>
      </c>
      <c r="BH103" s="1248">
        <v>0</v>
      </c>
      <c r="BI103" s="1248">
        <v>0</v>
      </c>
      <c r="BJ103" s="1249">
        <v>12305</v>
      </c>
      <c r="BK103" s="1247">
        <v>58294.51</v>
      </c>
      <c r="BL103" s="1248">
        <v>0</v>
      </c>
      <c r="BM103" s="1248">
        <v>7384.04</v>
      </c>
      <c r="BN103" s="1248">
        <v>12047.58</v>
      </c>
      <c r="BO103" s="1248">
        <v>-0.13</v>
      </c>
      <c r="BP103" s="1249">
        <v>77726</v>
      </c>
      <c r="BQ103" s="1247">
        <v>167725.26</v>
      </c>
      <c r="BR103" s="1248">
        <v>0</v>
      </c>
      <c r="BS103" s="1248">
        <v>134223.24</v>
      </c>
      <c r="BT103" s="1248">
        <v>33501.949999999997</v>
      </c>
      <c r="BU103" s="1248">
        <v>-0.06</v>
      </c>
      <c r="BV103" s="1249">
        <v>335450.39</v>
      </c>
      <c r="BW103" s="1247">
        <v>37806.400000000001</v>
      </c>
      <c r="BX103" s="1248">
        <v>0</v>
      </c>
      <c r="BY103" s="1248">
        <v>22743.08</v>
      </c>
      <c r="BZ103" s="1248">
        <v>11106.74</v>
      </c>
      <c r="CA103" s="1248">
        <v>7856.61</v>
      </c>
      <c r="CB103" s="1249">
        <v>79512.83</v>
      </c>
      <c r="CC103" s="1247">
        <v>7279.9</v>
      </c>
      <c r="CD103" s="1248">
        <v>0</v>
      </c>
      <c r="CE103" s="1248">
        <v>0</v>
      </c>
      <c r="CF103" s="1248">
        <v>12830.33</v>
      </c>
      <c r="CG103" s="1248">
        <v>0</v>
      </c>
      <c r="CH103" s="1249">
        <v>20110.23</v>
      </c>
      <c r="CI103" s="1244"/>
      <c r="CJ103" s="1245"/>
      <c r="CK103" s="1245"/>
      <c r="CL103" s="1245"/>
      <c r="CM103" s="1245"/>
      <c r="CN103" s="1246"/>
      <c r="CO103" s="1247">
        <v>3056</v>
      </c>
      <c r="CP103" s="1248">
        <v>0</v>
      </c>
      <c r="CQ103" s="1248">
        <v>0</v>
      </c>
      <c r="CR103" s="1248">
        <v>0</v>
      </c>
      <c r="CS103" s="1248">
        <v>0</v>
      </c>
      <c r="CT103" s="1249">
        <v>3056</v>
      </c>
      <c r="CU103" s="1247">
        <v>986.5</v>
      </c>
      <c r="CV103" s="1248">
        <v>0</v>
      </c>
      <c r="CW103" s="1248">
        <v>789.2</v>
      </c>
      <c r="CX103" s="1248">
        <v>197.3</v>
      </c>
      <c r="CY103" s="1248">
        <v>0</v>
      </c>
      <c r="CZ103" s="1249">
        <v>1973</v>
      </c>
      <c r="DA103" s="1247">
        <v>167709.16</v>
      </c>
      <c r="DB103" s="1248">
        <v>0</v>
      </c>
      <c r="DC103" s="1248">
        <v>0</v>
      </c>
      <c r="DD103" s="1248">
        <v>0</v>
      </c>
      <c r="DE103" s="1248">
        <v>0</v>
      </c>
      <c r="DF103" s="1249">
        <v>167709.16</v>
      </c>
      <c r="DG103" s="1244"/>
      <c r="DH103" s="1245"/>
      <c r="DI103" s="1245"/>
      <c r="DJ103" s="1245"/>
      <c r="DK103" s="1245"/>
      <c r="DL103" s="1246"/>
      <c r="DM103" s="1247">
        <v>10326.129999999999</v>
      </c>
      <c r="DN103" s="1248">
        <v>0</v>
      </c>
      <c r="DO103" s="1248">
        <v>61.47</v>
      </c>
      <c r="DP103" s="1248">
        <v>1905.41</v>
      </c>
      <c r="DQ103" s="1248">
        <v>-0.01</v>
      </c>
      <c r="DR103" s="1249">
        <v>12293</v>
      </c>
      <c r="DS103" s="1244"/>
      <c r="DT103" s="1245"/>
      <c r="DU103" s="1245"/>
      <c r="DV103" s="1245"/>
      <c r="DW103" s="1245"/>
      <c r="DX103" s="1246"/>
    </row>
    <row r="104" spans="1:128" ht="15" customHeight="1">
      <c r="A104" s="1092" t="s">
        <v>55</v>
      </c>
      <c r="B104" s="1239" t="s">
        <v>56</v>
      </c>
      <c r="C104" s="1467" t="s">
        <v>271</v>
      </c>
      <c r="D104" s="1240">
        <f t="shared" si="10"/>
        <v>2286042.5599999996</v>
      </c>
      <c r="E104" s="1241">
        <f t="shared" si="8"/>
        <v>841959.30000000016</v>
      </c>
      <c r="F104" s="1242">
        <f t="shared" si="11"/>
        <v>247386.31000000003</v>
      </c>
      <c r="G104" s="1243">
        <f t="shared" si="9"/>
        <v>244174.17</v>
      </c>
      <c r="H104" s="1242">
        <f t="shared" si="9"/>
        <v>3212.14</v>
      </c>
      <c r="I104" s="1244"/>
      <c r="J104" s="1245"/>
      <c r="K104" s="1245"/>
      <c r="L104" s="1245"/>
      <c r="M104" s="1245"/>
      <c r="N104" s="1246"/>
      <c r="O104" s="1247">
        <v>-0.4</v>
      </c>
      <c r="P104" s="1248">
        <v>0</v>
      </c>
      <c r="Q104" s="1248">
        <v>0</v>
      </c>
      <c r="R104" s="1248">
        <v>-0.1</v>
      </c>
      <c r="S104" s="1248">
        <v>0</v>
      </c>
      <c r="T104" s="1249">
        <v>-0.5</v>
      </c>
      <c r="U104" s="1247">
        <v>31772.86</v>
      </c>
      <c r="V104" s="1248">
        <v>0</v>
      </c>
      <c r="W104" s="1248">
        <v>189.13</v>
      </c>
      <c r="X104" s="1248">
        <v>5862.86</v>
      </c>
      <c r="Y104" s="1248">
        <v>-0.02</v>
      </c>
      <c r="Z104" s="1249">
        <v>37824.83</v>
      </c>
      <c r="AA104" s="1247">
        <v>51632.06</v>
      </c>
      <c r="AB104" s="1248">
        <v>0</v>
      </c>
      <c r="AC104" s="1248">
        <v>0</v>
      </c>
      <c r="AD104" s="1248">
        <v>12908</v>
      </c>
      <c r="AE104" s="1248">
        <v>0</v>
      </c>
      <c r="AF104" s="1249">
        <v>64540.06</v>
      </c>
      <c r="AG104" s="1247">
        <v>7867.99</v>
      </c>
      <c r="AH104" s="1248">
        <v>0</v>
      </c>
      <c r="AI104" s="1248">
        <v>5428.95</v>
      </c>
      <c r="AJ104" s="1248">
        <v>2439.11</v>
      </c>
      <c r="AK104" s="1248">
        <v>-0.05</v>
      </c>
      <c r="AL104" s="1249">
        <v>15736</v>
      </c>
      <c r="AM104" s="1247">
        <v>1826.49</v>
      </c>
      <c r="AN104" s="1248">
        <v>0</v>
      </c>
      <c r="AO104" s="1248">
        <v>456.62</v>
      </c>
      <c r="AP104" s="1248">
        <v>0</v>
      </c>
      <c r="AQ104" s="1248">
        <v>0</v>
      </c>
      <c r="AR104" s="1249">
        <v>2283.11</v>
      </c>
      <c r="AS104" s="1247">
        <v>13959.19</v>
      </c>
      <c r="AT104" s="1248">
        <v>0</v>
      </c>
      <c r="AU104" s="1248">
        <v>3489.81</v>
      </c>
      <c r="AV104" s="1248">
        <v>0</v>
      </c>
      <c r="AW104" s="1248">
        <v>0</v>
      </c>
      <c r="AX104" s="1249">
        <v>17449</v>
      </c>
      <c r="AY104" s="1244"/>
      <c r="AZ104" s="1245"/>
      <c r="BA104" s="1245"/>
      <c r="BB104" s="1245"/>
      <c r="BC104" s="1245"/>
      <c r="BD104" s="1246"/>
      <c r="BE104" s="1247">
        <v>3072.17</v>
      </c>
      <c r="BF104" s="1248">
        <v>0</v>
      </c>
      <c r="BG104" s="1248">
        <v>5547.83</v>
      </c>
      <c r="BH104" s="1248">
        <v>0</v>
      </c>
      <c r="BI104" s="1248">
        <v>0</v>
      </c>
      <c r="BJ104" s="1249">
        <v>8620</v>
      </c>
      <c r="BK104" s="1247">
        <v>50056.34</v>
      </c>
      <c r="BL104" s="1248">
        <v>0</v>
      </c>
      <c r="BM104" s="1248">
        <v>6340.46</v>
      </c>
      <c r="BN104" s="1248">
        <v>10345</v>
      </c>
      <c r="BO104" s="1248">
        <v>-0.01</v>
      </c>
      <c r="BP104" s="1249">
        <v>66741.789999999994</v>
      </c>
      <c r="BQ104" s="1247">
        <v>757725.97</v>
      </c>
      <c r="BR104" s="1248">
        <v>0</v>
      </c>
      <c r="BS104" s="1248">
        <v>651385.15</v>
      </c>
      <c r="BT104" s="1248">
        <v>106340.82</v>
      </c>
      <c r="BU104" s="1248">
        <v>-0.01</v>
      </c>
      <c r="BV104" s="1249">
        <v>1515451.93</v>
      </c>
      <c r="BW104" s="1247">
        <v>360973.51</v>
      </c>
      <c r="BX104" s="1248">
        <v>0</v>
      </c>
      <c r="BY104" s="1248">
        <v>167944.68</v>
      </c>
      <c r="BZ104" s="1248">
        <v>97020.61</v>
      </c>
      <c r="CA104" s="1248">
        <v>-0.31</v>
      </c>
      <c r="CB104" s="1249">
        <v>625938.49</v>
      </c>
      <c r="CC104" s="1247">
        <v>3756.93</v>
      </c>
      <c r="CD104" s="1248">
        <v>0</v>
      </c>
      <c r="CE104" s="1248">
        <v>0</v>
      </c>
      <c r="CF104" s="1248">
        <v>6621.31</v>
      </c>
      <c r="CG104" s="1248">
        <v>0</v>
      </c>
      <c r="CH104" s="1249">
        <v>10378.24</v>
      </c>
      <c r="CI104" s="1244"/>
      <c r="CJ104" s="1245"/>
      <c r="CK104" s="1245"/>
      <c r="CL104" s="1245"/>
      <c r="CM104" s="1245"/>
      <c r="CN104" s="1246"/>
      <c r="CO104" s="1247">
        <v>21771.599999999999</v>
      </c>
      <c r="CP104" s="1248">
        <v>0</v>
      </c>
      <c r="CQ104" s="1248">
        <v>0</v>
      </c>
      <c r="CR104" s="1248">
        <v>0</v>
      </c>
      <c r="CS104" s="1248">
        <v>0</v>
      </c>
      <c r="CT104" s="1249">
        <v>21771.599999999999</v>
      </c>
      <c r="CU104" s="1247">
        <v>-45</v>
      </c>
      <c r="CV104" s="1248">
        <v>0</v>
      </c>
      <c r="CW104" s="1248">
        <v>-36</v>
      </c>
      <c r="CX104" s="1248">
        <v>-9</v>
      </c>
      <c r="CY104" s="1248">
        <v>0</v>
      </c>
      <c r="CZ104" s="1249">
        <v>-90</v>
      </c>
      <c r="DA104" s="1247">
        <v>968463</v>
      </c>
      <c r="DB104" s="1248">
        <v>0</v>
      </c>
      <c r="DC104" s="1248">
        <v>0</v>
      </c>
      <c r="DD104" s="1248">
        <v>0</v>
      </c>
      <c r="DE104" s="1248">
        <v>3212.59</v>
      </c>
      <c r="DF104" s="1249">
        <v>971675.59</v>
      </c>
      <c r="DG104" s="1247">
        <v>1657.82</v>
      </c>
      <c r="DH104" s="1248">
        <v>0</v>
      </c>
      <c r="DI104" s="1248">
        <v>1143.8900000000001</v>
      </c>
      <c r="DJ104" s="1248">
        <v>513.91999999999996</v>
      </c>
      <c r="DK104" s="1248">
        <v>0</v>
      </c>
      <c r="DL104" s="1249">
        <v>3315.63</v>
      </c>
      <c r="DM104" s="1247">
        <v>11552.03</v>
      </c>
      <c r="DN104" s="1248">
        <v>0</v>
      </c>
      <c r="DO104" s="1248">
        <v>68.78</v>
      </c>
      <c r="DP104" s="1248">
        <v>2131.64</v>
      </c>
      <c r="DQ104" s="1248">
        <v>-0.05</v>
      </c>
      <c r="DR104" s="1249">
        <v>13752.4</v>
      </c>
      <c r="DS104" s="1244"/>
      <c r="DT104" s="1245"/>
      <c r="DU104" s="1245"/>
      <c r="DV104" s="1245"/>
      <c r="DW104" s="1245"/>
      <c r="DX104" s="1246"/>
    </row>
    <row r="105" spans="1:128" ht="15" customHeight="1">
      <c r="A105" s="1092" t="s">
        <v>67</v>
      </c>
      <c r="B105" s="1239" t="s">
        <v>68</v>
      </c>
      <c r="C105" s="1467" t="s">
        <v>272</v>
      </c>
      <c r="D105" s="1240">
        <f t="shared" si="10"/>
        <v>519174.29</v>
      </c>
      <c r="E105" s="1241">
        <f t="shared" si="8"/>
        <v>150074.31999999998</v>
      </c>
      <c r="F105" s="1242">
        <f t="shared" si="11"/>
        <v>68712.280000000013</v>
      </c>
      <c r="G105" s="1243">
        <f t="shared" si="9"/>
        <v>68712.48000000001</v>
      </c>
      <c r="H105" s="1242">
        <f t="shared" si="9"/>
        <v>-0.2</v>
      </c>
      <c r="I105" s="1244"/>
      <c r="J105" s="1245"/>
      <c r="K105" s="1245"/>
      <c r="L105" s="1245"/>
      <c r="M105" s="1245"/>
      <c r="N105" s="1246"/>
      <c r="O105" s="1244"/>
      <c r="P105" s="1245"/>
      <c r="Q105" s="1245"/>
      <c r="R105" s="1245"/>
      <c r="S105" s="1245"/>
      <c r="T105" s="1246"/>
      <c r="U105" s="1247">
        <v>14972.88</v>
      </c>
      <c r="V105" s="1248">
        <v>0</v>
      </c>
      <c r="W105" s="1248">
        <v>89.13</v>
      </c>
      <c r="X105" s="1248">
        <v>2762.87</v>
      </c>
      <c r="Y105" s="1248">
        <v>-0.03</v>
      </c>
      <c r="Z105" s="1249">
        <v>17824.849999999999</v>
      </c>
      <c r="AA105" s="1247">
        <v>62054.69</v>
      </c>
      <c r="AB105" s="1248">
        <v>0</v>
      </c>
      <c r="AC105" s="1248">
        <v>0</v>
      </c>
      <c r="AD105" s="1248">
        <v>15513.61</v>
      </c>
      <c r="AE105" s="1248">
        <v>0</v>
      </c>
      <c r="AF105" s="1249">
        <v>77568.3</v>
      </c>
      <c r="AG105" s="1247">
        <v>11008</v>
      </c>
      <c r="AH105" s="1248">
        <v>0</v>
      </c>
      <c r="AI105" s="1248">
        <v>3206.93</v>
      </c>
      <c r="AJ105" s="1248">
        <v>2607.48</v>
      </c>
      <c r="AK105" s="1248">
        <v>0.01</v>
      </c>
      <c r="AL105" s="1249">
        <v>16822.419999999998</v>
      </c>
      <c r="AM105" s="1247">
        <v>4885.96</v>
      </c>
      <c r="AN105" s="1248">
        <v>0</v>
      </c>
      <c r="AO105" s="1248">
        <v>1221.49</v>
      </c>
      <c r="AP105" s="1248">
        <v>0</v>
      </c>
      <c r="AQ105" s="1248">
        <v>0</v>
      </c>
      <c r="AR105" s="1249">
        <v>6107.45</v>
      </c>
      <c r="AS105" s="1247">
        <v>8934.2900000000009</v>
      </c>
      <c r="AT105" s="1248">
        <v>0</v>
      </c>
      <c r="AU105" s="1248">
        <v>2233.5700000000002</v>
      </c>
      <c r="AV105" s="1248">
        <v>0</v>
      </c>
      <c r="AW105" s="1248">
        <v>0</v>
      </c>
      <c r="AX105" s="1249">
        <v>11167.86</v>
      </c>
      <c r="AY105" s="1244"/>
      <c r="AZ105" s="1245"/>
      <c r="BA105" s="1245"/>
      <c r="BB105" s="1245"/>
      <c r="BC105" s="1245"/>
      <c r="BD105" s="1246"/>
      <c r="BE105" s="1247">
        <v>744.15</v>
      </c>
      <c r="BF105" s="1248">
        <v>0</v>
      </c>
      <c r="BG105" s="1248">
        <v>1343.85</v>
      </c>
      <c r="BH105" s="1248">
        <v>0</v>
      </c>
      <c r="BI105" s="1248">
        <v>0</v>
      </c>
      <c r="BJ105" s="1249">
        <v>2088</v>
      </c>
      <c r="BK105" s="1247">
        <v>33245.699999999997</v>
      </c>
      <c r="BL105" s="1248">
        <v>0</v>
      </c>
      <c r="BM105" s="1248">
        <v>4211.07</v>
      </c>
      <c r="BN105" s="1248">
        <v>6870.71</v>
      </c>
      <c r="BO105" s="1248">
        <v>-0.02</v>
      </c>
      <c r="BP105" s="1249">
        <v>44327.46</v>
      </c>
      <c r="BQ105" s="1247">
        <v>111506.5</v>
      </c>
      <c r="BR105" s="1248">
        <v>0</v>
      </c>
      <c r="BS105" s="1248">
        <v>92619.9</v>
      </c>
      <c r="BT105" s="1248">
        <v>18886.599999999999</v>
      </c>
      <c r="BU105" s="1248">
        <v>0</v>
      </c>
      <c r="BV105" s="1249">
        <v>223013</v>
      </c>
      <c r="BW105" s="1247">
        <v>38630.35</v>
      </c>
      <c r="BX105" s="1248">
        <v>0</v>
      </c>
      <c r="BY105" s="1248">
        <v>26654.99</v>
      </c>
      <c r="BZ105" s="1248">
        <v>11975.45</v>
      </c>
      <c r="CA105" s="1248">
        <v>-0.15</v>
      </c>
      <c r="CB105" s="1249">
        <v>77260.639999999999</v>
      </c>
      <c r="CC105" s="1247">
        <v>2836.53</v>
      </c>
      <c r="CD105" s="1248">
        <v>0</v>
      </c>
      <c r="CE105" s="1248">
        <v>0</v>
      </c>
      <c r="CF105" s="1248">
        <v>4999.1899999999996</v>
      </c>
      <c r="CG105" s="1248">
        <v>0</v>
      </c>
      <c r="CH105" s="1249">
        <v>7835.72</v>
      </c>
      <c r="CI105" s="1244"/>
      <c r="CJ105" s="1245"/>
      <c r="CK105" s="1245"/>
      <c r="CL105" s="1245"/>
      <c r="CM105" s="1245"/>
      <c r="CN105" s="1246"/>
      <c r="CO105" s="1247">
        <v>49958</v>
      </c>
      <c r="CP105" s="1248">
        <v>0</v>
      </c>
      <c r="CQ105" s="1248">
        <v>0</v>
      </c>
      <c r="CR105" s="1248">
        <v>0</v>
      </c>
      <c r="CS105" s="1248">
        <v>0</v>
      </c>
      <c r="CT105" s="1249">
        <v>49958</v>
      </c>
      <c r="CU105" s="1247">
        <v>18628.5</v>
      </c>
      <c r="CV105" s="1248">
        <v>0</v>
      </c>
      <c r="CW105" s="1248">
        <v>15466.3</v>
      </c>
      <c r="CX105" s="1248">
        <v>3162.2</v>
      </c>
      <c r="CY105" s="1248">
        <v>0</v>
      </c>
      <c r="CZ105" s="1249">
        <v>37257</v>
      </c>
      <c r="DA105" s="1247">
        <v>154250.4</v>
      </c>
      <c r="DB105" s="1248">
        <v>0</v>
      </c>
      <c r="DC105" s="1248">
        <v>0</v>
      </c>
      <c r="DD105" s="1248">
        <v>0</v>
      </c>
      <c r="DE105" s="1248">
        <v>0</v>
      </c>
      <c r="DF105" s="1249">
        <v>154250.4</v>
      </c>
      <c r="DG105" s="1247">
        <v>4359.83</v>
      </c>
      <c r="DH105" s="1248">
        <v>0</v>
      </c>
      <c r="DI105" s="1248">
        <v>3008.28</v>
      </c>
      <c r="DJ105" s="1248">
        <v>1351.55</v>
      </c>
      <c r="DK105" s="1248">
        <v>0</v>
      </c>
      <c r="DL105" s="1249">
        <v>8719.66</v>
      </c>
      <c r="DM105" s="1247">
        <v>3158.51</v>
      </c>
      <c r="DN105" s="1248">
        <v>0</v>
      </c>
      <c r="DO105" s="1248">
        <v>18.809999999999999</v>
      </c>
      <c r="DP105" s="1248">
        <v>582.82000000000005</v>
      </c>
      <c r="DQ105" s="1248">
        <v>-0.01</v>
      </c>
      <c r="DR105" s="1249">
        <v>3760.13</v>
      </c>
      <c r="DS105" s="1244"/>
      <c r="DT105" s="1245"/>
      <c r="DU105" s="1245"/>
      <c r="DV105" s="1245"/>
      <c r="DW105" s="1245"/>
      <c r="DX105" s="1246"/>
    </row>
    <row r="106" spans="1:128" ht="15" customHeight="1">
      <c r="A106" s="1092" t="s">
        <v>83</v>
      </c>
      <c r="B106" s="1239" t="s">
        <v>333</v>
      </c>
      <c r="C106" s="1467" t="s">
        <v>271</v>
      </c>
      <c r="D106" s="1240">
        <f t="shared" si="10"/>
        <v>116876.95000000001</v>
      </c>
      <c r="E106" s="1241">
        <f t="shared" si="8"/>
        <v>18364.810000000001</v>
      </c>
      <c r="F106" s="1242">
        <f t="shared" si="11"/>
        <v>12738.149999999998</v>
      </c>
      <c r="G106" s="1243">
        <f t="shared" si="9"/>
        <v>12738.289999999997</v>
      </c>
      <c r="H106" s="1242">
        <f t="shared" si="9"/>
        <v>-0.14000000000000001</v>
      </c>
      <c r="I106" s="1244"/>
      <c r="J106" s="1245"/>
      <c r="K106" s="1245"/>
      <c r="L106" s="1245"/>
      <c r="M106" s="1245"/>
      <c r="N106" s="1246"/>
      <c r="O106" s="1244"/>
      <c r="P106" s="1245"/>
      <c r="Q106" s="1245"/>
      <c r="R106" s="1245"/>
      <c r="S106" s="1245"/>
      <c r="T106" s="1246"/>
      <c r="U106" s="1247">
        <v>2538.4299999999998</v>
      </c>
      <c r="V106" s="1248">
        <v>0</v>
      </c>
      <c r="W106" s="1248">
        <v>15.12</v>
      </c>
      <c r="X106" s="1248">
        <v>468.4</v>
      </c>
      <c r="Y106" s="1248">
        <v>-0.02</v>
      </c>
      <c r="Z106" s="1249">
        <v>3021.93</v>
      </c>
      <c r="AA106" s="1247">
        <v>18636.37</v>
      </c>
      <c r="AB106" s="1248">
        <v>0</v>
      </c>
      <c r="AC106" s="1248">
        <v>0</v>
      </c>
      <c r="AD106" s="1248">
        <v>4659.1099999999997</v>
      </c>
      <c r="AE106" s="1248">
        <v>0</v>
      </c>
      <c r="AF106" s="1249">
        <v>23295.48</v>
      </c>
      <c r="AG106" s="1244"/>
      <c r="AH106" s="1245"/>
      <c r="AI106" s="1245"/>
      <c r="AJ106" s="1245"/>
      <c r="AK106" s="1245"/>
      <c r="AL106" s="1246"/>
      <c r="AM106" s="1247">
        <v>574.97</v>
      </c>
      <c r="AN106" s="1248">
        <v>0</v>
      </c>
      <c r="AO106" s="1248">
        <v>143.74</v>
      </c>
      <c r="AP106" s="1248">
        <v>0</v>
      </c>
      <c r="AQ106" s="1248">
        <v>0</v>
      </c>
      <c r="AR106" s="1249">
        <v>718.71</v>
      </c>
      <c r="AS106" s="1247">
        <v>1131.8900000000001</v>
      </c>
      <c r="AT106" s="1248">
        <v>0</v>
      </c>
      <c r="AU106" s="1248">
        <v>282.97000000000003</v>
      </c>
      <c r="AV106" s="1248">
        <v>0</v>
      </c>
      <c r="AW106" s="1248">
        <v>0</v>
      </c>
      <c r="AX106" s="1249">
        <v>1414.86</v>
      </c>
      <c r="AY106" s="1244"/>
      <c r="AZ106" s="1245"/>
      <c r="BA106" s="1245"/>
      <c r="BB106" s="1245"/>
      <c r="BC106" s="1245"/>
      <c r="BD106" s="1246"/>
      <c r="BE106" s="1244"/>
      <c r="BF106" s="1245"/>
      <c r="BG106" s="1245"/>
      <c r="BH106" s="1245"/>
      <c r="BI106" s="1245"/>
      <c r="BJ106" s="1246"/>
      <c r="BK106" s="1247">
        <v>14046.74</v>
      </c>
      <c r="BL106" s="1248">
        <v>0</v>
      </c>
      <c r="BM106" s="1248">
        <v>1779.27</v>
      </c>
      <c r="BN106" s="1248">
        <v>2903</v>
      </c>
      <c r="BO106" s="1248">
        <v>-0.03</v>
      </c>
      <c r="BP106" s="1249">
        <v>18728.98</v>
      </c>
      <c r="BQ106" s="1247">
        <v>12854.5</v>
      </c>
      <c r="BR106" s="1248">
        <v>0</v>
      </c>
      <c r="BS106" s="1248">
        <v>10802.5</v>
      </c>
      <c r="BT106" s="1248">
        <v>2052</v>
      </c>
      <c r="BU106" s="1248">
        <v>0</v>
      </c>
      <c r="BV106" s="1249">
        <v>25709</v>
      </c>
      <c r="BW106" s="1247">
        <v>5955.11</v>
      </c>
      <c r="BX106" s="1248">
        <v>0</v>
      </c>
      <c r="BY106" s="1248">
        <v>3380.12</v>
      </c>
      <c r="BZ106" s="1248">
        <v>1712.39</v>
      </c>
      <c r="CA106" s="1248">
        <v>-0.09</v>
      </c>
      <c r="CB106" s="1249">
        <v>11047.53</v>
      </c>
      <c r="CC106" s="1244"/>
      <c r="CD106" s="1245"/>
      <c r="CE106" s="1245"/>
      <c r="CF106" s="1245"/>
      <c r="CG106" s="1245"/>
      <c r="CH106" s="1246"/>
      <c r="CI106" s="1244"/>
      <c r="CJ106" s="1245"/>
      <c r="CK106" s="1245"/>
      <c r="CL106" s="1245"/>
      <c r="CM106" s="1245"/>
      <c r="CN106" s="1246"/>
      <c r="CO106" s="1244"/>
      <c r="CP106" s="1245"/>
      <c r="CQ106" s="1245"/>
      <c r="CR106" s="1245"/>
      <c r="CS106" s="1245"/>
      <c r="CT106" s="1246"/>
      <c r="CU106" s="1244"/>
      <c r="CV106" s="1245"/>
      <c r="CW106" s="1245"/>
      <c r="CX106" s="1245"/>
      <c r="CY106" s="1245"/>
      <c r="CZ106" s="1246"/>
      <c r="DA106" s="1247">
        <v>57957</v>
      </c>
      <c r="DB106" s="1248">
        <v>0</v>
      </c>
      <c r="DC106" s="1248">
        <v>0</v>
      </c>
      <c r="DD106" s="1248">
        <v>0</v>
      </c>
      <c r="DE106" s="1248">
        <v>0</v>
      </c>
      <c r="DF106" s="1249">
        <v>57957</v>
      </c>
      <c r="DG106" s="1247">
        <v>2839.22</v>
      </c>
      <c r="DH106" s="1248">
        <v>0</v>
      </c>
      <c r="DI106" s="1248">
        <v>1959.06</v>
      </c>
      <c r="DJ106" s="1248">
        <v>880.15</v>
      </c>
      <c r="DK106" s="1248">
        <v>-0.01</v>
      </c>
      <c r="DL106" s="1249">
        <v>5678.42</v>
      </c>
      <c r="DM106" s="1247">
        <v>342.72</v>
      </c>
      <c r="DN106" s="1248">
        <v>0</v>
      </c>
      <c r="DO106" s="1248">
        <v>2.0299999999999998</v>
      </c>
      <c r="DP106" s="1248">
        <v>63.24</v>
      </c>
      <c r="DQ106" s="1248">
        <v>0.01</v>
      </c>
      <c r="DR106" s="1249">
        <v>408</v>
      </c>
      <c r="DS106" s="1244"/>
      <c r="DT106" s="1245"/>
      <c r="DU106" s="1245"/>
      <c r="DV106" s="1245"/>
      <c r="DW106" s="1245"/>
      <c r="DX106" s="1246"/>
    </row>
    <row r="107" spans="1:128" ht="15" customHeight="1">
      <c r="A107" s="1092" t="s">
        <v>89</v>
      </c>
      <c r="B107" s="1239" t="s">
        <v>90</v>
      </c>
      <c r="C107" s="1467" t="s">
        <v>274</v>
      </c>
      <c r="D107" s="1240">
        <f t="shared" si="10"/>
        <v>651458.78999999992</v>
      </c>
      <c r="E107" s="1241">
        <f t="shared" si="8"/>
        <v>236473.69999999998</v>
      </c>
      <c r="F107" s="1242">
        <f t="shared" si="11"/>
        <v>59832.960000000006</v>
      </c>
      <c r="G107" s="1243">
        <f t="shared" si="9"/>
        <v>59659.3</v>
      </c>
      <c r="H107" s="1242">
        <f t="shared" si="9"/>
        <v>173.66000000000003</v>
      </c>
      <c r="I107" s="1247">
        <v>0</v>
      </c>
      <c r="J107" s="1248">
        <v>0</v>
      </c>
      <c r="K107" s="1248">
        <v>0</v>
      </c>
      <c r="L107" s="1248">
        <v>0</v>
      </c>
      <c r="M107" s="1248">
        <v>8.9600000000000009</v>
      </c>
      <c r="N107" s="1249">
        <v>8.9600000000000009</v>
      </c>
      <c r="O107" s="1244"/>
      <c r="P107" s="1245"/>
      <c r="Q107" s="1245"/>
      <c r="R107" s="1245"/>
      <c r="S107" s="1245"/>
      <c r="T107" s="1246"/>
      <c r="U107" s="1247">
        <v>2436.36</v>
      </c>
      <c r="V107" s="1248">
        <v>0</v>
      </c>
      <c r="W107" s="1248">
        <v>14.49</v>
      </c>
      <c r="X107" s="1248">
        <v>449.57</v>
      </c>
      <c r="Y107" s="1248">
        <v>0.01</v>
      </c>
      <c r="Z107" s="1249">
        <v>2900.43</v>
      </c>
      <c r="AA107" s="1247">
        <v>10818.88</v>
      </c>
      <c r="AB107" s="1248">
        <v>0</v>
      </c>
      <c r="AC107" s="1248">
        <v>0</v>
      </c>
      <c r="AD107" s="1248">
        <v>2704.72</v>
      </c>
      <c r="AE107" s="1248">
        <v>0</v>
      </c>
      <c r="AF107" s="1249">
        <v>13523.6</v>
      </c>
      <c r="AG107" s="1244"/>
      <c r="AH107" s="1245"/>
      <c r="AI107" s="1245"/>
      <c r="AJ107" s="1245"/>
      <c r="AK107" s="1245"/>
      <c r="AL107" s="1246"/>
      <c r="AM107" s="1247">
        <v>4268.8500000000004</v>
      </c>
      <c r="AN107" s="1248">
        <v>0</v>
      </c>
      <c r="AO107" s="1248">
        <v>1067.22</v>
      </c>
      <c r="AP107" s="1248">
        <v>0</v>
      </c>
      <c r="AQ107" s="1248">
        <v>0</v>
      </c>
      <c r="AR107" s="1249">
        <v>5336.07</v>
      </c>
      <c r="AS107" s="1247">
        <v>3847.5</v>
      </c>
      <c r="AT107" s="1248">
        <v>0</v>
      </c>
      <c r="AU107" s="1248">
        <v>961.87</v>
      </c>
      <c r="AV107" s="1248">
        <v>0</v>
      </c>
      <c r="AW107" s="1248">
        <v>0</v>
      </c>
      <c r="AX107" s="1249">
        <v>4809.37</v>
      </c>
      <c r="AY107" s="1244"/>
      <c r="AZ107" s="1245"/>
      <c r="BA107" s="1245"/>
      <c r="BB107" s="1245"/>
      <c r="BC107" s="1245"/>
      <c r="BD107" s="1246"/>
      <c r="BE107" s="1247">
        <v>395.61</v>
      </c>
      <c r="BF107" s="1248">
        <v>0</v>
      </c>
      <c r="BG107" s="1248">
        <v>714.39</v>
      </c>
      <c r="BH107" s="1248">
        <v>0</v>
      </c>
      <c r="BI107" s="1248">
        <v>0</v>
      </c>
      <c r="BJ107" s="1249">
        <v>1110</v>
      </c>
      <c r="BK107" s="1247">
        <v>9206.73</v>
      </c>
      <c r="BL107" s="1248">
        <v>0</v>
      </c>
      <c r="BM107" s="1248">
        <v>1166.18</v>
      </c>
      <c r="BN107" s="1248">
        <v>1902.73</v>
      </c>
      <c r="BO107" s="1248">
        <v>-0.03</v>
      </c>
      <c r="BP107" s="1249">
        <v>12275.61</v>
      </c>
      <c r="BQ107" s="1247">
        <v>241409</v>
      </c>
      <c r="BR107" s="1248">
        <v>0</v>
      </c>
      <c r="BS107" s="1248">
        <v>209441.3</v>
      </c>
      <c r="BT107" s="1248">
        <v>31967.7</v>
      </c>
      <c r="BU107" s="1248">
        <v>0</v>
      </c>
      <c r="BV107" s="1249">
        <v>482818</v>
      </c>
      <c r="BW107" s="1247">
        <v>27786.07</v>
      </c>
      <c r="BX107" s="1248">
        <v>0</v>
      </c>
      <c r="BY107" s="1248">
        <v>18913.77</v>
      </c>
      <c r="BZ107" s="1248">
        <v>8566.2099999999991</v>
      </c>
      <c r="CA107" s="1248">
        <v>-0.11</v>
      </c>
      <c r="CB107" s="1249">
        <v>55265.94</v>
      </c>
      <c r="CC107" s="1247">
        <v>6121.04</v>
      </c>
      <c r="CD107" s="1248">
        <v>0</v>
      </c>
      <c r="CE107" s="1248">
        <v>0</v>
      </c>
      <c r="CF107" s="1248">
        <v>10787.94</v>
      </c>
      <c r="CG107" s="1248">
        <v>0</v>
      </c>
      <c r="CH107" s="1249">
        <v>16908.98</v>
      </c>
      <c r="CI107" s="1247">
        <v>114.87</v>
      </c>
      <c r="CJ107" s="1248">
        <v>0</v>
      </c>
      <c r="CK107" s="1248">
        <v>0</v>
      </c>
      <c r="CL107" s="1248">
        <v>359.79</v>
      </c>
      <c r="CM107" s="1248">
        <v>0</v>
      </c>
      <c r="CN107" s="1249">
        <v>474.66</v>
      </c>
      <c r="CO107" s="1247">
        <v>181986</v>
      </c>
      <c r="CP107" s="1248">
        <v>0</v>
      </c>
      <c r="CQ107" s="1248">
        <v>0</v>
      </c>
      <c r="CR107" s="1248">
        <v>0</v>
      </c>
      <c r="CS107" s="1248">
        <v>0</v>
      </c>
      <c r="CT107" s="1249">
        <v>181986</v>
      </c>
      <c r="CU107" s="1247">
        <v>454</v>
      </c>
      <c r="CV107" s="1248">
        <v>0</v>
      </c>
      <c r="CW107" s="1248">
        <v>363.2</v>
      </c>
      <c r="CX107" s="1248">
        <v>90.8</v>
      </c>
      <c r="CY107" s="1248">
        <v>0</v>
      </c>
      <c r="CZ107" s="1249">
        <v>908</v>
      </c>
      <c r="DA107" s="1247">
        <v>151018</v>
      </c>
      <c r="DB107" s="1248">
        <v>0</v>
      </c>
      <c r="DC107" s="1248">
        <v>0</v>
      </c>
      <c r="DD107" s="1248">
        <v>0</v>
      </c>
      <c r="DE107" s="1248">
        <v>0</v>
      </c>
      <c r="DF107" s="1249">
        <v>151018</v>
      </c>
      <c r="DG107" s="1247">
        <v>5500</v>
      </c>
      <c r="DH107" s="1248">
        <v>0</v>
      </c>
      <c r="DI107" s="1248">
        <v>3795</v>
      </c>
      <c r="DJ107" s="1248">
        <v>1705</v>
      </c>
      <c r="DK107" s="1248">
        <v>0</v>
      </c>
      <c r="DL107" s="1249">
        <v>11000</v>
      </c>
      <c r="DM107" s="1247">
        <v>6095.88</v>
      </c>
      <c r="DN107" s="1248">
        <v>0</v>
      </c>
      <c r="DO107" s="1248">
        <v>36.28</v>
      </c>
      <c r="DP107" s="1248">
        <v>1124.8399999999999</v>
      </c>
      <c r="DQ107" s="1248">
        <v>164.83</v>
      </c>
      <c r="DR107" s="1249">
        <v>7421.83</v>
      </c>
      <c r="DS107" s="1244"/>
      <c r="DT107" s="1245"/>
      <c r="DU107" s="1245"/>
      <c r="DV107" s="1245"/>
      <c r="DW107" s="1245"/>
      <c r="DX107" s="1246"/>
    </row>
    <row r="108" spans="1:128" ht="15" customHeight="1">
      <c r="A108" s="1092" t="s">
        <v>91</v>
      </c>
      <c r="B108" s="1239" t="s">
        <v>92</v>
      </c>
      <c r="C108" s="1467" t="s">
        <v>275</v>
      </c>
      <c r="D108" s="1240">
        <f t="shared" si="10"/>
        <v>88551.349999999991</v>
      </c>
      <c r="E108" s="1241">
        <f t="shared" si="8"/>
        <v>33581.54</v>
      </c>
      <c r="F108" s="1242">
        <f t="shared" si="11"/>
        <v>14743.430000000002</v>
      </c>
      <c r="G108" s="1243">
        <f t="shared" si="9"/>
        <v>14743.480000000001</v>
      </c>
      <c r="H108" s="1242">
        <f t="shared" si="9"/>
        <v>-4.9999999999999996E-2</v>
      </c>
      <c r="I108" s="1244"/>
      <c r="J108" s="1245"/>
      <c r="K108" s="1245"/>
      <c r="L108" s="1245"/>
      <c r="M108" s="1245"/>
      <c r="N108" s="1246"/>
      <c r="O108" s="1244"/>
      <c r="P108" s="1245"/>
      <c r="Q108" s="1245"/>
      <c r="R108" s="1245"/>
      <c r="S108" s="1245"/>
      <c r="T108" s="1246"/>
      <c r="U108" s="1247">
        <v>1215.04</v>
      </c>
      <c r="V108" s="1248">
        <v>0</v>
      </c>
      <c r="W108" s="1248">
        <v>7.23</v>
      </c>
      <c r="X108" s="1248">
        <v>224.2</v>
      </c>
      <c r="Y108" s="1248">
        <v>0.01</v>
      </c>
      <c r="Z108" s="1249">
        <v>1446.48</v>
      </c>
      <c r="AA108" s="1247">
        <v>9335.4699999999993</v>
      </c>
      <c r="AB108" s="1248">
        <v>0</v>
      </c>
      <c r="AC108" s="1248">
        <v>0</v>
      </c>
      <c r="AD108" s="1248">
        <v>2333.9</v>
      </c>
      <c r="AE108" s="1248">
        <v>0</v>
      </c>
      <c r="AF108" s="1249">
        <v>11669.37</v>
      </c>
      <c r="AG108" s="1244"/>
      <c r="AH108" s="1245"/>
      <c r="AI108" s="1245"/>
      <c r="AJ108" s="1245"/>
      <c r="AK108" s="1245"/>
      <c r="AL108" s="1246"/>
      <c r="AM108" s="1244"/>
      <c r="AN108" s="1245"/>
      <c r="AO108" s="1245"/>
      <c r="AP108" s="1245"/>
      <c r="AQ108" s="1245"/>
      <c r="AR108" s="1246"/>
      <c r="AS108" s="1244"/>
      <c r="AT108" s="1245"/>
      <c r="AU108" s="1245"/>
      <c r="AV108" s="1245"/>
      <c r="AW108" s="1245"/>
      <c r="AX108" s="1246"/>
      <c r="AY108" s="1244"/>
      <c r="AZ108" s="1245"/>
      <c r="BA108" s="1245"/>
      <c r="BB108" s="1245"/>
      <c r="BC108" s="1245"/>
      <c r="BD108" s="1246"/>
      <c r="BE108" s="1244"/>
      <c r="BF108" s="1245"/>
      <c r="BG108" s="1245"/>
      <c r="BH108" s="1245"/>
      <c r="BI108" s="1245"/>
      <c r="BJ108" s="1246"/>
      <c r="BK108" s="1247">
        <v>11506.5</v>
      </c>
      <c r="BL108" s="1248">
        <v>0</v>
      </c>
      <c r="BM108" s="1248">
        <v>1457.49</v>
      </c>
      <c r="BN108" s="1248">
        <v>2378.0100000000002</v>
      </c>
      <c r="BO108" s="1248">
        <v>0</v>
      </c>
      <c r="BP108" s="1249">
        <v>15342</v>
      </c>
      <c r="BQ108" s="1247">
        <v>17644.2</v>
      </c>
      <c r="BR108" s="1248">
        <v>0</v>
      </c>
      <c r="BS108" s="1248">
        <v>14880.28</v>
      </c>
      <c r="BT108" s="1248">
        <v>2763.92</v>
      </c>
      <c r="BU108" s="1248">
        <v>0</v>
      </c>
      <c r="BV108" s="1249">
        <v>35288.400000000001</v>
      </c>
      <c r="BW108" s="1247">
        <v>11981.44</v>
      </c>
      <c r="BX108" s="1248">
        <v>0</v>
      </c>
      <c r="BY108" s="1248">
        <v>7990.99</v>
      </c>
      <c r="BZ108" s="1248">
        <v>3663.59</v>
      </c>
      <c r="CA108" s="1248">
        <v>-0.06</v>
      </c>
      <c r="CB108" s="1249">
        <v>23635.96</v>
      </c>
      <c r="CC108" s="1244"/>
      <c r="CD108" s="1245"/>
      <c r="CE108" s="1245"/>
      <c r="CF108" s="1245"/>
      <c r="CG108" s="1245"/>
      <c r="CH108" s="1246"/>
      <c r="CI108" s="1244"/>
      <c r="CJ108" s="1245"/>
      <c r="CK108" s="1245"/>
      <c r="CL108" s="1245"/>
      <c r="CM108" s="1245"/>
      <c r="CN108" s="1246"/>
      <c r="CO108" s="1247">
        <v>3582</v>
      </c>
      <c r="CP108" s="1248">
        <v>0</v>
      </c>
      <c r="CQ108" s="1248">
        <v>0</v>
      </c>
      <c r="CR108" s="1248">
        <v>0</v>
      </c>
      <c r="CS108" s="1248">
        <v>0</v>
      </c>
      <c r="CT108" s="1249">
        <v>3582</v>
      </c>
      <c r="CU108" s="1247">
        <v>7705.5</v>
      </c>
      <c r="CV108" s="1248">
        <v>0</v>
      </c>
      <c r="CW108" s="1248">
        <v>6193.3</v>
      </c>
      <c r="CX108" s="1248">
        <v>1512.2</v>
      </c>
      <c r="CY108" s="1248">
        <v>0</v>
      </c>
      <c r="CZ108" s="1249">
        <v>15411</v>
      </c>
      <c r="DA108" s="1247">
        <v>18451.599999999999</v>
      </c>
      <c r="DB108" s="1248">
        <v>0</v>
      </c>
      <c r="DC108" s="1248">
        <v>0</v>
      </c>
      <c r="DD108" s="1248">
        <v>0</v>
      </c>
      <c r="DE108" s="1248">
        <v>0</v>
      </c>
      <c r="DF108" s="1249">
        <v>18451.599999999999</v>
      </c>
      <c r="DG108" s="1247">
        <v>4400.01</v>
      </c>
      <c r="DH108" s="1248">
        <v>0</v>
      </c>
      <c r="DI108" s="1248">
        <v>3035.99</v>
      </c>
      <c r="DJ108" s="1248">
        <v>1364</v>
      </c>
      <c r="DK108" s="1248">
        <v>0</v>
      </c>
      <c r="DL108" s="1249">
        <v>8800</v>
      </c>
      <c r="DM108" s="1247">
        <v>2729.59</v>
      </c>
      <c r="DN108" s="1248">
        <v>0</v>
      </c>
      <c r="DO108" s="1248">
        <v>16.260000000000002</v>
      </c>
      <c r="DP108" s="1248">
        <v>503.66</v>
      </c>
      <c r="DQ108" s="1248">
        <v>0</v>
      </c>
      <c r="DR108" s="1249">
        <v>3249.51</v>
      </c>
      <c r="DS108" s="1244"/>
      <c r="DT108" s="1245"/>
      <c r="DU108" s="1245"/>
      <c r="DV108" s="1245"/>
      <c r="DW108" s="1245"/>
      <c r="DX108" s="1246"/>
    </row>
    <row r="109" spans="1:128" ht="15" customHeight="1">
      <c r="A109" s="1092" t="s">
        <v>107</v>
      </c>
      <c r="B109" s="1239" t="s">
        <v>108</v>
      </c>
      <c r="C109" s="1467" t="s">
        <v>271</v>
      </c>
      <c r="D109" s="1240">
        <f t="shared" si="10"/>
        <v>1779666.43</v>
      </c>
      <c r="E109" s="1241">
        <f t="shared" si="8"/>
        <v>712523.05</v>
      </c>
      <c r="F109" s="1242">
        <f t="shared" si="11"/>
        <v>259299.19999999998</v>
      </c>
      <c r="G109" s="1243">
        <f t="shared" si="9"/>
        <v>259299.37</v>
      </c>
      <c r="H109" s="1242">
        <f t="shared" si="9"/>
        <v>-0.17</v>
      </c>
      <c r="I109" s="1244"/>
      <c r="J109" s="1245"/>
      <c r="K109" s="1245"/>
      <c r="L109" s="1245"/>
      <c r="M109" s="1245"/>
      <c r="N109" s="1246"/>
      <c r="O109" s="1244"/>
      <c r="P109" s="1245"/>
      <c r="Q109" s="1245"/>
      <c r="R109" s="1245"/>
      <c r="S109" s="1245"/>
      <c r="T109" s="1246"/>
      <c r="U109" s="1247">
        <v>24930.47</v>
      </c>
      <c r="V109" s="1248">
        <v>0</v>
      </c>
      <c r="W109" s="1248">
        <v>148.38999999999999</v>
      </c>
      <c r="X109" s="1248">
        <v>4600.2700000000004</v>
      </c>
      <c r="Y109" s="1248">
        <v>-0.01</v>
      </c>
      <c r="Z109" s="1249">
        <v>29679.119999999999</v>
      </c>
      <c r="AA109" s="1247">
        <v>114430.68</v>
      </c>
      <c r="AB109" s="1248">
        <v>0</v>
      </c>
      <c r="AC109" s="1248">
        <v>0</v>
      </c>
      <c r="AD109" s="1248">
        <v>28607.67</v>
      </c>
      <c r="AE109" s="1248">
        <v>0</v>
      </c>
      <c r="AF109" s="1249">
        <v>143038.35</v>
      </c>
      <c r="AG109" s="1247">
        <v>6101.35</v>
      </c>
      <c r="AH109" s="1248">
        <v>0</v>
      </c>
      <c r="AI109" s="1248">
        <v>1728.8</v>
      </c>
      <c r="AJ109" s="1248">
        <v>1436.32</v>
      </c>
      <c r="AK109" s="1248">
        <v>-0.04</v>
      </c>
      <c r="AL109" s="1249">
        <v>9266.43</v>
      </c>
      <c r="AM109" s="1247">
        <v>16464.16</v>
      </c>
      <c r="AN109" s="1248">
        <v>0</v>
      </c>
      <c r="AO109" s="1248">
        <v>4116.03</v>
      </c>
      <c r="AP109" s="1248">
        <v>0</v>
      </c>
      <c r="AQ109" s="1248">
        <v>0</v>
      </c>
      <c r="AR109" s="1249">
        <v>20580.189999999999</v>
      </c>
      <c r="AS109" s="1247">
        <v>12748.95</v>
      </c>
      <c r="AT109" s="1248">
        <v>0</v>
      </c>
      <c r="AU109" s="1248">
        <v>3187.23</v>
      </c>
      <c r="AV109" s="1248">
        <v>0</v>
      </c>
      <c r="AW109" s="1248">
        <v>0</v>
      </c>
      <c r="AX109" s="1249">
        <v>15936.18</v>
      </c>
      <c r="AY109" s="1244"/>
      <c r="AZ109" s="1245"/>
      <c r="BA109" s="1245"/>
      <c r="BB109" s="1245"/>
      <c r="BC109" s="1245"/>
      <c r="BD109" s="1246"/>
      <c r="BE109" s="1247">
        <v>1105.2</v>
      </c>
      <c r="BF109" s="1248">
        <v>0</v>
      </c>
      <c r="BG109" s="1248">
        <v>1995.8</v>
      </c>
      <c r="BH109" s="1248">
        <v>0</v>
      </c>
      <c r="BI109" s="1248">
        <v>0</v>
      </c>
      <c r="BJ109" s="1249">
        <v>3101</v>
      </c>
      <c r="BK109" s="1247">
        <v>87923.99</v>
      </c>
      <c r="BL109" s="1248">
        <v>0</v>
      </c>
      <c r="BM109" s="1248">
        <v>11137.05</v>
      </c>
      <c r="BN109" s="1248">
        <v>18170.95</v>
      </c>
      <c r="BO109" s="1248">
        <v>-0.02</v>
      </c>
      <c r="BP109" s="1249">
        <v>117231.97</v>
      </c>
      <c r="BQ109" s="1247">
        <v>664483.68999999994</v>
      </c>
      <c r="BR109" s="1248">
        <v>0</v>
      </c>
      <c r="BS109" s="1248">
        <v>571053.54</v>
      </c>
      <c r="BT109" s="1248">
        <v>93430.15</v>
      </c>
      <c r="BU109" s="1248">
        <v>-0.01</v>
      </c>
      <c r="BV109" s="1249">
        <v>1328967.3700000001</v>
      </c>
      <c r="BW109" s="1247">
        <v>215481.22</v>
      </c>
      <c r="BX109" s="1248">
        <v>0</v>
      </c>
      <c r="BY109" s="1248">
        <v>112638.66</v>
      </c>
      <c r="BZ109" s="1248">
        <v>60187.7</v>
      </c>
      <c r="CA109" s="1248">
        <v>-7.0000000000000007E-2</v>
      </c>
      <c r="CB109" s="1249">
        <v>388307.51</v>
      </c>
      <c r="CC109" s="1247">
        <v>25280.11</v>
      </c>
      <c r="CD109" s="1248">
        <v>0</v>
      </c>
      <c r="CE109" s="1248">
        <v>0</v>
      </c>
      <c r="CF109" s="1248">
        <v>44554.41</v>
      </c>
      <c r="CG109" s="1248">
        <v>0</v>
      </c>
      <c r="CH109" s="1249">
        <v>69834.52</v>
      </c>
      <c r="CI109" s="1247">
        <v>812.4</v>
      </c>
      <c r="CJ109" s="1248">
        <v>0</v>
      </c>
      <c r="CK109" s="1248">
        <v>0</v>
      </c>
      <c r="CL109" s="1248">
        <v>2544.65</v>
      </c>
      <c r="CM109" s="1248">
        <v>0</v>
      </c>
      <c r="CN109" s="1249">
        <v>3357.05</v>
      </c>
      <c r="CO109" s="1247">
        <v>737</v>
      </c>
      <c r="CP109" s="1248">
        <v>0</v>
      </c>
      <c r="CQ109" s="1248">
        <v>0</v>
      </c>
      <c r="CR109" s="1248">
        <v>0</v>
      </c>
      <c r="CS109" s="1248">
        <v>0</v>
      </c>
      <c r="CT109" s="1249">
        <v>737</v>
      </c>
      <c r="CU109" s="1244"/>
      <c r="CV109" s="1245"/>
      <c r="CW109" s="1245"/>
      <c r="CX109" s="1245"/>
      <c r="CY109" s="1245"/>
      <c r="CZ109" s="1246"/>
      <c r="DA109" s="1247">
        <v>584244</v>
      </c>
      <c r="DB109" s="1248">
        <v>0</v>
      </c>
      <c r="DC109" s="1248">
        <v>0</v>
      </c>
      <c r="DD109" s="1248">
        <v>0</v>
      </c>
      <c r="DE109" s="1248">
        <v>0</v>
      </c>
      <c r="DF109" s="1249">
        <v>584244</v>
      </c>
      <c r="DG109" s="1247">
        <v>9311.0300000000007</v>
      </c>
      <c r="DH109" s="1248">
        <v>0</v>
      </c>
      <c r="DI109" s="1248">
        <v>6424.61</v>
      </c>
      <c r="DJ109" s="1248">
        <v>2886.42</v>
      </c>
      <c r="DK109" s="1248">
        <v>0</v>
      </c>
      <c r="DL109" s="1249">
        <v>18622.060000000001</v>
      </c>
      <c r="DM109" s="1247">
        <v>15612.18</v>
      </c>
      <c r="DN109" s="1248">
        <v>0</v>
      </c>
      <c r="DO109" s="1248">
        <v>92.94</v>
      </c>
      <c r="DP109" s="1248">
        <v>2880.83</v>
      </c>
      <c r="DQ109" s="1248">
        <v>-0.02</v>
      </c>
      <c r="DR109" s="1249">
        <v>18585.93</v>
      </c>
      <c r="DS109" s="1244"/>
      <c r="DT109" s="1245"/>
      <c r="DU109" s="1245"/>
      <c r="DV109" s="1245"/>
      <c r="DW109" s="1245"/>
      <c r="DX109" s="1246"/>
    </row>
    <row r="110" spans="1:128" ht="15" customHeight="1">
      <c r="A110" s="1092" t="s">
        <v>117</v>
      </c>
      <c r="B110" s="1239" t="s">
        <v>118</v>
      </c>
      <c r="C110" s="1467" t="s">
        <v>273</v>
      </c>
      <c r="D110" s="1240">
        <f t="shared" si="10"/>
        <v>414448.03</v>
      </c>
      <c r="E110" s="1241">
        <f t="shared" si="8"/>
        <v>133390.26000000004</v>
      </c>
      <c r="F110" s="1242">
        <f t="shared" si="11"/>
        <v>41799.82</v>
      </c>
      <c r="G110" s="1243">
        <f t="shared" si="9"/>
        <v>41800.129999999997</v>
      </c>
      <c r="H110" s="1242">
        <f t="shared" si="9"/>
        <v>-0.31000000000000005</v>
      </c>
      <c r="I110" s="1244"/>
      <c r="J110" s="1245"/>
      <c r="K110" s="1245"/>
      <c r="L110" s="1245"/>
      <c r="M110" s="1245"/>
      <c r="N110" s="1246"/>
      <c r="O110" s="1244"/>
      <c r="P110" s="1245"/>
      <c r="Q110" s="1245"/>
      <c r="R110" s="1245"/>
      <c r="S110" s="1245"/>
      <c r="T110" s="1246"/>
      <c r="U110" s="1247">
        <v>676.68</v>
      </c>
      <c r="V110" s="1248">
        <v>0</v>
      </c>
      <c r="W110" s="1248">
        <v>4.03</v>
      </c>
      <c r="X110" s="1248">
        <v>124.87</v>
      </c>
      <c r="Y110" s="1248">
        <v>-0.01</v>
      </c>
      <c r="Z110" s="1249">
        <v>805.57</v>
      </c>
      <c r="AA110" s="1247">
        <v>19592.990000000002</v>
      </c>
      <c r="AB110" s="1248">
        <v>0</v>
      </c>
      <c r="AC110" s="1248">
        <v>0</v>
      </c>
      <c r="AD110" s="1248">
        <v>4898.25</v>
      </c>
      <c r="AE110" s="1248">
        <v>0</v>
      </c>
      <c r="AF110" s="1249">
        <v>24491.24</v>
      </c>
      <c r="AG110" s="1244"/>
      <c r="AH110" s="1245"/>
      <c r="AI110" s="1245"/>
      <c r="AJ110" s="1245"/>
      <c r="AK110" s="1245"/>
      <c r="AL110" s="1246"/>
      <c r="AM110" s="1244"/>
      <c r="AN110" s="1245"/>
      <c r="AO110" s="1245"/>
      <c r="AP110" s="1245"/>
      <c r="AQ110" s="1245"/>
      <c r="AR110" s="1246"/>
      <c r="AS110" s="1247">
        <v>1554.18</v>
      </c>
      <c r="AT110" s="1248">
        <v>0</v>
      </c>
      <c r="AU110" s="1248">
        <v>388.55</v>
      </c>
      <c r="AV110" s="1248">
        <v>0</v>
      </c>
      <c r="AW110" s="1248">
        <v>0</v>
      </c>
      <c r="AX110" s="1249">
        <v>1942.73</v>
      </c>
      <c r="AY110" s="1244"/>
      <c r="AZ110" s="1245"/>
      <c r="BA110" s="1245"/>
      <c r="BB110" s="1245"/>
      <c r="BC110" s="1245"/>
      <c r="BD110" s="1246"/>
      <c r="BE110" s="1244"/>
      <c r="BF110" s="1245"/>
      <c r="BG110" s="1245"/>
      <c r="BH110" s="1245"/>
      <c r="BI110" s="1245"/>
      <c r="BJ110" s="1246"/>
      <c r="BK110" s="1247">
        <v>972</v>
      </c>
      <c r="BL110" s="1248">
        <v>0</v>
      </c>
      <c r="BM110" s="1248">
        <v>123.13</v>
      </c>
      <c r="BN110" s="1248">
        <v>200.89</v>
      </c>
      <c r="BO110" s="1248">
        <v>-0.02</v>
      </c>
      <c r="BP110" s="1249">
        <v>1296</v>
      </c>
      <c r="BQ110" s="1247">
        <v>107844.9</v>
      </c>
      <c r="BR110" s="1248">
        <v>0</v>
      </c>
      <c r="BS110" s="1248">
        <v>92182.91</v>
      </c>
      <c r="BT110" s="1248">
        <v>15661.99</v>
      </c>
      <c r="BU110" s="1248">
        <v>0</v>
      </c>
      <c r="BV110" s="1249">
        <v>215689.8</v>
      </c>
      <c r="BW110" s="1247">
        <v>55271.01</v>
      </c>
      <c r="BX110" s="1248">
        <v>0</v>
      </c>
      <c r="BY110" s="1248">
        <v>38137.050000000003</v>
      </c>
      <c r="BZ110" s="1248">
        <v>17134.099999999999</v>
      </c>
      <c r="CA110" s="1248">
        <v>-0.23</v>
      </c>
      <c r="CB110" s="1249">
        <v>110541.93</v>
      </c>
      <c r="CC110" s="1247">
        <v>1313.15</v>
      </c>
      <c r="CD110" s="1248">
        <v>0</v>
      </c>
      <c r="CE110" s="1248">
        <v>0</v>
      </c>
      <c r="CF110" s="1248">
        <v>2314.35</v>
      </c>
      <c r="CG110" s="1248">
        <v>0</v>
      </c>
      <c r="CH110" s="1249">
        <v>3627.5</v>
      </c>
      <c r="CI110" s="1244"/>
      <c r="CJ110" s="1245"/>
      <c r="CK110" s="1245"/>
      <c r="CL110" s="1245"/>
      <c r="CM110" s="1245"/>
      <c r="CN110" s="1246"/>
      <c r="CO110" s="1247">
        <v>99155.1</v>
      </c>
      <c r="CP110" s="1248">
        <v>0</v>
      </c>
      <c r="CQ110" s="1248">
        <v>0</v>
      </c>
      <c r="CR110" s="1248">
        <v>0</v>
      </c>
      <c r="CS110" s="1248">
        <v>0</v>
      </c>
      <c r="CT110" s="1249">
        <v>99155.1</v>
      </c>
      <c r="CU110" s="1244"/>
      <c r="CV110" s="1245"/>
      <c r="CW110" s="1245"/>
      <c r="CX110" s="1245"/>
      <c r="CY110" s="1245"/>
      <c r="CZ110" s="1246"/>
      <c r="DA110" s="1247">
        <v>122632.3</v>
      </c>
      <c r="DB110" s="1248">
        <v>0</v>
      </c>
      <c r="DC110" s="1248">
        <v>0</v>
      </c>
      <c r="DD110" s="1248">
        <v>0</v>
      </c>
      <c r="DE110" s="1248">
        <v>0</v>
      </c>
      <c r="DF110" s="1249">
        <v>122632.3</v>
      </c>
      <c r="DG110" s="1247">
        <v>3687.21</v>
      </c>
      <c r="DH110" s="1248">
        <v>0</v>
      </c>
      <c r="DI110" s="1248">
        <v>2544.17</v>
      </c>
      <c r="DJ110" s="1248">
        <v>1143.03</v>
      </c>
      <c r="DK110" s="1248">
        <v>-0.03</v>
      </c>
      <c r="DL110" s="1249">
        <v>7374.38</v>
      </c>
      <c r="DM110" s="1247">
        <v>1748.51</v>
      </c>
      <c r="DN110" s="1248">
        <v>0</v>
      </c>
      <c r="DO110" s="1248">
        <v>10.42</v>
      </c>
      <c r="DP110" s="1248">
        <v>322.64999999999998</v>
      </c>
      <c r="DQ110" s="1248">
        <v>-0.02</v>
      </c>
      <c r="DR110" s="1249">
        <v>2081.56</v>
      </c>
      <c r="DS110" s="1244"/>
      <c r="DT110" s="1245"/>
      <c r="DU110" s="1245"/>
      <c r="DV110" s="1245"/>
      <c r="DW110" s="1245"/>
      <c r="DX110" s="1246"/>
    </row>
    <row r="111" spans="1:128" ht="15" customHeight="1">
      <c r="A111" s="1092" t="s">
        <v>139</v>
      </c>
      <c r="B111" s="1239" t="s">
        <v>140</v>
      </c>
      <c r="C111" s="1467" t="s">
        <v>272</v>
      </c>
      <c r="D111" s="1240">
        <f t="shared" si="10"/>
        <v>671315.86</v>
      </c>
      <c r="E111" s="1241">
        <f t="shared" si="8"/>
        <v>267927.75</v>
      </c>
      <c r="F111" s="1242">
        <f t="shared" si="11"/>
        <v>94480.930000000008</v>
      </c>
      <c r="G111" s="1243">
        <f t="shared" si="9"/>
        <v>94480.99</v>
      </c>
      <c r="H111" s="1242">
        <f t="shared" si="9"/>
        <v>-0.06</v>
      </c>
      <c r="I111" s="1244"/>
      <c r="J111" s="1245"/>
      <c r="K111" s="1245"/>
      <c r="L111" s="1245"/>
      <c r="M111" s="1245"/>
      <c r="N111" s="1246"/>
      <c r="O111" s="1244"/>
      <c r="P111" s="1245"/>
      <c r="Q111" s="1245"/>
      <c r="R111" s="1245"/>
      <c r="S111" s="1245"/>
      <c r="T111" s="1246"/>
      <c r="U111" s="1247">
        <v>15656.76</v>
      </c>
      <c r="V111" s="1248">
        <v>0</v>
      </c>
      <c r="W111" s="1248">
        <v>93.18</v>
      </c>
      <c r="X111" s="1248">
        <v>2889.04</v>
      </c>
      <c r="Y111" s="1248">
        <v>0.02</v>
      </c>
      <c r="Z111" s="1249">
        <v>18639</v>
      </c>
      <c r="AA111" s="1247">
        <v>75384.22</v>
      </c>
      <c r="AB111" s="1248">
        <v>0</v>
      </c>
      <c r="AC111" s="1248">
        <v>0</v>
      </c>
      <c r="AD111" s="1248">
        <v>18846.080000000002</v>
      </c>
      <c r="AE111" s="1248">
        <v>0</v>
      </c>
      <c r="AF111" s="1249">
        <v>94230.3</v>
      </c>
      <c r="AG111" s="1244"/>
      <c r="AH111" s="1245"/>
      <c r="AI111" s="1245"/>
      <c r="AJ111" s="1245"/>
      <c r="AK111" s="1245"/>
      <c r="AL111" s="1246"/>
      <c r="AM111" s="1247">
        <v>10555.17</v>
      </c>
      <c r="AN111" s="1248">
        <v>0</v>
      </c>
      <c r="AO111" s="1248">
        <v>2638.78</v>
      </c>
      <c r="AP111" s="1248">
        <v>0</v>
      </c>
      <c r="AQ111" s="1248">
        <v>0</v>
      </c>
      <c r="AR111" s="1249">
        <v>13193.95</v>
      </c>
      <c r="AS111" s="1247">
        <v>21828.86</v>
      </c>
      <c r="AT111" s="1248">
        <v>0</v>
      </c>
      <c r="AU111" s="1248">
        <v>5457.23</v>
      </c>
      <c r="AV111" s="1248">
        <v>0</v>
      </c>
      <c r="AW111" s="1248">
        <v>0</v>
      </c>
      <c r="AX111" s="1249">
        <v>27286.09</v>
      </c>
      <c r="AY111" s="1244"/>
      <c r="AZ111" s="1245"/>
      <c r="BA111" s="1245"/>
      <c r="BB111" s="1245"/>
      <c r="BC111" s="1245"/>
      <c r="BD111" s="1246"/>
      <c r="BE111" s="1247">
        <v>3331.27</v>
      </c>
      <c r="BF111" s="1248">
        <v>0</v>
      </c>
      <c r="BG111" s="1248">
        <v>6015.73</v>
      </c>
      <c r="BH111" s="1248">
        <v>0</v>
      </c>
      <c r="BI111" s="1248">
        <v>0</v>
      </c>
      <c r="BJ111" s="1249">
        <v>9347</v>
      </c>
      <c r="BK111" s="1247">
        <v>25829.22</v>
      </c>
      <c r="BL111" s="1248">
        <v>0</v>
      </c>
      <c r="BM111" s="1248">
        <v>3271.7</v>
      </c>
      <c r="BN111" s="1248">
        <v>5338.05</v>
      </c>
      <c r="BO111" s="1248">
        <v>-0.03</v>
      </c>
      <c r="BP111" s="1249">
        <v>34438.94</v>
      </c>
      <c r="BQ111" s="1247">
        <v>173940.8</v>
      </c>
      <c r="BR111" s="1248">
        <v>0</v>
      </c>
      <c r="BS111" s="1248">
        <v>145162</v>
      </c>
      <c r="BT111" s="1248">
        <v>28778.799999999999</v>
      </c>
      <c r="BU111" s="1248">
        <v>0</v>
      </c>
      <c r="BV111" s="1249">
        <v>347881.6</v>
      </c>
      <c r="BW111" s="1247">
        <v>48370.54</v>
      </c>
      <c r="BX111" s="1248">
        <v>0</v>
      </c>
      <c r="BY111" s="1248">
        <v>32603.32</v>
      </c>
      <c r="BZ111" s="1248">
        <v>14853.19</v>
      </c>
      <c r="CA111" s="1248">
        <v>-0.05</v>
      </c>
      <c r="CB111" s="1249">
        <v>95827</v>
      </c>
      <c r="CC111" s="1247">
        <v>3619.56</v>
      </c>
      <c r="CD111" s="1248">
        <v>0</v>
      </c>
      <c r="CE111" s="1248">
        <v>0</v>
      </c>
      <c r="CF111" s="1248">
        <v>6379.22</v>
      </c>
      <c r="CG111" s="1248">
        <v>0</v>
      </c>
      <c r="CH111" s="1249">
        <v>9998.7800000000007</v>
      </c>
      <c r="CI111" s="1244"/>
      <c r="CJ111" s="1245"/>
      <c r="CK111" s="1245"/>
      <c r="CL111" s="1245"/>
      <c r="CM111" s="1245"/>
      <c r="CN111" s="1246"/>
      <c r="CO111" s="1247">
        <v>4952</v>
      </c>
      <c r="CP111" s="1248">
        <v>0</v>
      </c>
      <c r="CQ111" s="1248">
        <v>0</v>
      </c>
      <c r="CR111" s="1248">
        <v>0</v>
      </c>
      <c r="CS111" s="1248">
        <v>0</v>
      </c>
      <c r="CT111" s="1249">
        <v>4952</v>
      </c>
      <c r="CU111" s="1247">
        <v>88299.199999999997</v>
      </c>
      <c r="CV111" s="1248">
        <v>0</v>
      </c>
      <c r="CW111" s="1248">
        <v>72630.080000000002</v>
      </c>
      <c r="CX111" s="1248">
        <v>15669.12</v>
      </c>
      <c r="CY111" s="1248">
        <v>0</v>
      </c>
      <c r="CZ111" s="1249">
        <v>176598.39999999999</v>
      </c>
      <c r="DA111" s="1247">
        <v>190186.4</v>
      </c>
      <c r="DB111" s="1248">
        <v>0</v>
      </c>
      <c r="DC111" s="1248">
        <v>0</v>
      </c>
      <c r="DD111" s="1248">
        <v>0</v>
      </c>
      <c r="DE111" s="1248">
        <v>0</v>
      </c>
      <c r="DF111" s="1249">
        <v>190186.4</v>
      </c>
      <c r="DG111" s="1244"/>
      <c r="DH111" s="1245"/>
      <c r="DI111" s="1245"/>
      <c r="DJ111" s="1245"/>
      <c r="DK111" s="1245"/>
      <c r="DL111" s="1246"/>
      <c r="DM111" s="1247">
        <v>9361.86</v>
      </c>
      <c r="DN111" s="1248">
        <v>0</v>
      </c>
      <c r="DO111" s="1248">
        <v>55.73</v>
      </c>
      <c r="DP111" s="1248">
        <v>1727.49</v>
      </c>
      <c r="DQ111" s="1248">
        <v>0</v>
      </c>
      <c r="DR111" s="1249">
        <v>11145.08</v>
      </c>
      <c r="DS111" s="1244"/>
      <c r="DT111" s="1245"/>
      <c r="DU111" s="1245"/>
      <c r="DV111" s="1245"/>
      <c r="DW111" s="1245"/>
      <c r="DX111" s="1246"/>
    </row>
    <row r="112" spans="1:128" ht="15" customHeight="1">
      <c r="A112" s="1092" t="s">
        <v>143</v>
      </c>
      <c r="B112" s="1239" t="s">
        <v>144</v>
      </c>
      <c r="C112" s="1467" t="s">
        <v>274</v>
      </c>
      <c r="D112" s="1240">
        <f t="shared" si="10"/>
        <v>522286.41000000003</v>
      </c>
      <c r="E112" s="1241">
        <f t="shared" si="8"/>
        <v>201876.58</v>
      </c>
      <c r="F112" s="1242">
        <f t="shared" si="11"/>
        <v>48611.209999999992</v>
      </c>
      <c r="G112" s="1243">
        <f t="shared" si="9"/>
        <v>48531.80999999999</v>
      </c>
      <c r="H112" s="1242">
        <f t="shared" si="9"/>
        <v>79.399999999999991</v>
      </c>
      <c r="I112" s="1244"/>
      <c r="J112" s="1245"/>
      <c r="K112" s="1245"/>
      <c r="L112" s="1245"/>
      <c r="M112" s="1245"/>
      <c r="N112" s="1246"/>
      <c r="O112" s="1244"/>
      <c r="P112" s="1245"/>
      <c r="Q112" s="1245"/>
      <c r="R112" s="1245"/>
      <c r="S112" s="1245"/>
      <c r="T112" s="1246"/>
      <c r="U112" s="1247">
        <v>2429.16</v>
      </c>
      <c r="V112" s="1248">
        <v>0</v>
      </c>
      <c r="W112" s="1248">
        <v>14.46</v>
      </c>
      <c r="X112" s="1248">
        <v>448.23</v>
      </c>
      <c r="Y112" s="1248">
        <v>0</v>
      </c>
      <c r="Z112" s="1249">
        <v>2891.85</v>
      </c>
      <c r="AA112" s="1247">
        <v>2582.16</v>
      </c>
      <c r="AB112" s="1248">
        <v>0</v>
      </c>
      <c r="AC112" s="1248">
        <v>0</v>
      </c>
      <c r="AD112" s="1248">
        <v>645.54999999999995</v>
      </c>
      <c r="AE112" s="1248">
        <v>0</v>
      </c>
      <c r="AF112" s="1249">
        <v>3227.71</v>
      </c>
      <c r="AG112" s="1244"/>
      <c r="AH112" s="1245"/>
      <c r="AI112" s="1245"/>
      <c r="AJ112" s="1245"/>
      <c r="AK112" s="1245"/>
      <c r="AL112" s="1246"/>
      <c r="AM112" s="1244"/>
      <c r="AN112" s="1245"/>
      <c r="AO112" s="1245"/>
      <c r="AP112" s="1245"/>
      <c r="AQ112" s="1245"/>
      <c r="AR112" s="1246"/>
      <c r="AS112" s="1247">
        <v>522.98</v>
      </c>
      <c r="AT112" s="1248">
        <v>0</v>
      </c>
      <c r="AU112" s="1248">
        <v>130.75</v>
      </c>
      <c r="AV112" s="1248">
        <v>0</v>
      </c>
      <c r="AW112" s="1248">
        <v>0</v>
      </c>
      <c r="AX112" s="1249">
        <v>653.73</v>
      </c>
      <c r="AY112" s="1244"/>
      <c r="AZ112" s="1245"/>
      <c r="BA112" s="1245"/>
      <c r="BB112" s="1245"/>
      <c r="BC112" s="1245"/>
      <c r="BD112" s="1246"/>
      <c r="BE112" s="1244"/>
      <c r="BF112" s="1245"/>
      <c r="BG112" s="1245"/>
      <c r="BH112" s="1245"/>
      <c r="BI112" s="1245"/>
      <c r="BJ112" s="1246"/>
      <c r="BK112" s="1247">
        <v>18893.96</v>
      </c>
      <c r="BL112" s="1248">
        <v>0</v>
      </c>
      <c r="BM112" s="1248">
        <v>2393.23</v>
      </c>
      <c r="BN112" s="1248">
        <v>3904.76</v>
      </c>
      <c r="BO112" s="1248">
        <v>-0.01</v>
      </c>
      <c r="BP112" s="1249">
        <v>25191.94</v>
      </c>
      <c r="BQ112" s="1247">
        <v>184058.25</v>
      </c>
      <c r="BR112" s="1248">
        <v>0</v>
      </c>
      <c r="BS112" s="1248">
        <v>159612.71</v>
      </c>
      <c r="BT112" s="1248">
        <v>24445.51</v>
      </c>
      <c r="BU112" s="1248">
        <v>-0.06</v>
      </c>
      <c r="BV112" s="1249">
        <v>368116.41</v>
      </c>
      <c r="BW112" s="1247">
        <v>44608.800000000003</v>
      </c>
      <c r="BX112" s="1248">
        <v>0</v>
      </c>
      <c r="BY112" s="1248">
        <v>30780.01</v>
      </c>
      <c r="BZ112" s="1248">
        <v>13828.69</v>
      </c>
      <c r="CA112" s="1248">
        <v>-0.1</v>
      </c>
      <c r="CB112" s="1249">
        <v>89217.4</v>
      </c>
      <c r="CC112" s="1247">
        <v>928.89</v>
      </c>
      <c r="CD112" s="1248">
        <v>0</v>
      </c>
      <c r="CE112" s="1248">
        <v>0</v>
      </c>
      <c r="CF112" s="1248">
        <v>1637.1</v>
      </c>
      <c r="CG112" s="1248">
        <v>0</v>
      </c>
      <c r="CH112" s="1249">
        <v>2565.9899999999998</v>
      </c>
      <c r="CI112" s="1244"/>
      <c r="CJ112" s="1245"/>
      <c r="CK112" s="1245"/>
      <c r="CL112" s="1245"/>
      <c r="CM112" s="1245"/>
      <c r="CN112" s="1246"/>
      <c r="CO112" s="1247">
        <v>142548.20000000001</v>
      </c>
      <c r="CP112" s="1248">
        <v>0</v>
      </c>
      <c r="CQ112" s="1248">
        <v>0</v>
      </c>
      <c r="CR112" s="1248">
        <v>0</v>
      </c>
      <c r="CS112" s="1248">
        <v>0</v>
      </c>
      <c r="CT112" s="1249">
        <v>142548.20000000001</v>
      </c>
      <c r="CU112" s="1247">
        <v>6493.5</v>
      </c>
      <c r="CV112" s="1248">
        <v>0</v>
      </c>
      <c r="CW112" s="1248">
        <v>5494.8</v>
      </c>
      <c r="CX112" s="1248">
        <v>998.7</v>
      </c>
      <c r="CY112" s="1248">
        <v>0</v>
      </c>
      <c r="CZ112" s="1249">
        <v>12987</v>
      </c>
      <c r="DA112" s="1247">
        <v>108370</v>
      </c>
      <c r="DB112" s="1248">
        <v>0</v>
      </c>
      <c r="DC112" s="1248">
        <v>0</v>
      </c>
      <c r="DD112" s="1248">
        <v>0</v>
      </c>
      <c r="DE112" s="1248">
        <v>0</v>
      </c>
      <c r="DF112" s="1249">
        <v>108370</v>
      </c>
      <c r="DG112" s="1247">
        <v>4950</v>
      </c>
      <c r="DH112" s="1248">
        <v>0</v>
      </c>
      <c r="DI112" s="1248">
        <v>3415.5</v>
      </c>
      <c r="DJ112" s="1248">
        <v>1534.5</v>
      </c>
      <c r="DK112" s="1248">
        <v>0</v>
      </c>
      <c r="DL112" s="1249">
        <v>9900</v>
      </c>
      <c r="DM112" s="1247">
        <v>5900.51</v>
      </c>
      <c r="DN112" s="1248">
        <v>0</v>
      </c>
      <c r="DO112" s="1248">
        <v>35.119999999999997</v>
      </c>
      <c r="DP112" s="1248">
        <v>1088.77</v>
      </c>
      <c r="DQ112" s="1248">
        <v>79.569999999999993</v>
      </c>
      <c r="DR112" s="1249">
        <v>7103.97</v>
      </c>
      <c r="DS112" s="1244"/>
      <c r="DT112" s="1245"/>
      <c r="DU112" s="1245"/>
      <c r="DV112" s="1245"/>
      <c r="DW112" s="1245"/>
      <c r="DX112" s="1246"/>
    </row>
    <row r="113" spans="1:128" ht="15" customHeight="1">
      <c r="A113" s="1092" t="s">
        <v>145</v>
      </c>
      <c r="B113" s="1239" t="s">
        <v>146</v>
      </c>
      <c r="C113" s="1467" t="s">
        <v>274</v>
      </c>
      <c r="D113" s="1240">
        <f t="shared" si="10"/>
        <v>133710.24</v>
      </c>
      <c r="E113" s="1241">
        <f t="shared" si="8"/>
        <v>32290.980000000003</v>
      </c>
      <c r="F113" s="1242">
        <f t="shared" si="11"/>
        <v>13240.76</v>
      </c>
      <c r="G113" s="1243">
        <f t="shared" si="9"/>
        <v>12980.79</v>
      </c>
      <c r="H113" s="1242">
        <f t="shared" si="9"/>
        <v>259.97000000000003</v>
      </c>
      <c r="I113" s="1244"/>
      <c r="J113" s="1245"/>
      <c r="K113" s="1245"/>
      <c r="L113" s="1245"/>
      <c r="M113" s="1245"/>
      <c r="N113" s="1246"/>
      <c r="O113" s="1244"/>
      <c r="P113" s="1245"/>
      <c r="Q113" s="1245"/>
      <c r="R113" s="1245"/>
      <c r="S113" s="1245"/>
      <c r="T113" s="1246"/>
      <c r="U113" s="1247">
        <v>603.66999999999996</v>
      </c>
      <c r="V113" s="1248">
        <v>0</v>
      </c>
      <c r="W113" s="1248">
        <v>3.6</v>
      </c>
      <c r="X113" s="1248">
        <v>111.4</v>
      </c>
      <c r="Y113" s="1248">
        <v>-0.01</v>
      </c>
      <c r="Z113" s="1249">
        <v>718.66</v>
      </c>
      <c r="AA113" s="1247">
        <v>8574.2000000000007</v>
      </c>
      <c r="AB113" s="1248">
        <v>0</v>
      </c>
      <c r="AC113" s="1248">
        <v>0</v>
      </c>
      <c r="AD113" s="1248">
        <v>2143.5500000000002</v>
      </c>
      <c r="AE113" s="1248">
        <v>0</v>
      </c>
      <c r="AF113" s="1249">
        <v>10717.75</v>
      </c>
      <c r="AG113" s="1244"/>
      <c r="AH113" s="1245"/>
      <c r="AI113" s="1245"/>
      <c r="AJ113" s="1245"/>
      <c r="AK113" s="1245"/>
      <c r="AL113" s="1246"/>
      <c r="AM113" s="1244"/>
      <c r="AN113" s="1245"/>
      <c r="AO113" s="1245"/>
      <c r="AP113" s="1245"/>
      <c r="AQ113" s="1245"/>
      <c r="AR113" s="1246"/>
      <c r="AS113" s="1247">
        <v>516.79999999999995</v>
      </c>
      <c r="AT113" s="1248">
        <v>0</v>
      </c>
      <c r="AU113" s="1248">
        <v>129.19999999999999</v>
      </c>
      <c r="AV113" s="1248">
        <v>0</v>
      </c>
      <c r="AW113" s="1248">
        <v>0</v>
      </c>
      <c r="AX113" s="1249">
        <v>646</v>
      </c>
      <c r="AY113" s="1244"/>
      <c r="AZ113" s="1245"/>
      <c r="BA113" s="1245"/>
      <c r="BB113" s="1245"/>
      <c r="BC113" s="1245"/>
      <c r="BD113" s="1246"/>
      <c r="BE113" s="1244"/>
      <c r="BF113" s="1245"/>
      <c r="BG113" s="1245"/>
      <c r="BH113" s="1245"/>
      <c r="BI113" s="1245"/>
      <c r="BJ113" s="1246"/>
      <c r="BK113" s="1247">
        <v>20145.78</v>
      </c>
      <c r="BL113" s="1248">
        <v>0</v>
      </c>
      <c r="BM113" s="1248">
        <v>2551.79</v>
      </c>
      <c r="BN113" s="1248">
        <v>4163.47</v>
      </c>
      <c r="BO113" s="1248">
        <v>0</v>
      </c>
      <c r="BP113" s="1249">
        <v>26861.040000000001</v>
      </c>
      <c r="BQ113" s="1247">
        <v>25036</v>
      </c>
      <c r="BR113" s="1248">
        <v>0</v>
      </c>
      <c r="BS113" s="1248">
        <v>22529.4</v>
      </c>
      <c r="BT113" s="1248">
        <v>2506.6</v>
      </c>
      <c r="BU113" s="1248">
        <v>0</v>
      </c>
      <c r="BV113" s="1249">
        <v>50072</v>
      </c>
      <c r="BW113" s="1247">
        <v>6329.34</v>
      </c>
      <c r="BX113" s="1248">
        <v>0</v>
      </c>
      <c r="BY113" s="1248">
        <v>3611.9</v>
      </c>
      <c r="BZ113" s="1248">
        <v>1823.54</v>
      </c>
      <c r="CA113" s="1248">
        <v>0.01</v>
      </c>
      <c r="CB113" s="1249">
        <v>11764.79</v>
      </c>
      <c r="CC113" s="1244"/>
      <c r="CD113" s="1245"/>
      <c r="CE113" s="1245"/>
      <c r="CF113" s="1245"/>
      <c r="CG113" s="1245"/>
      <c r="CH113" s="1246"/>
      <c r="CI113" s="1244"/>
      <c r="CJ113" s="1245"/>
      <c r="CK113" s="1245"/>
      <c r="CL113" s="1245"/>
      <c r="CM113" s="1245"/>
      <c r="CN113" s="1246"/>
      <c r="CO113" s="1247">
        <v>16230</v>
      </c>
      <c r="CP113" s="1248">
        <v>0</v>
      </c>
      <c r="CQ113" s="1248">
        <v>0</v>
      </c>
      <c r="CR113" s="1248">
        <v>0</v>
      </c>
      <c r="CS113" s="1248">
        <v>0</v>
      </c>
      <c r="CT113" s="1249">
        <v>16230</v>
      </c>
      <c r="CU113" s="1247">
        <v>692.08</v>
      </c>
      <c r="CV113" s="1248">
        <v>0</v>
      </c>
      <c r="CW113" s="1248">
        <v>673.66</v>
      </c>
      <c r="CX113" s="1248">
        <v>18.420000000000002</v>
      </c>
      <c r="CY113" s="1248">
        <v>0</v>
      </c>
      <c r="CZ113" s="1249">
        <v>1384.16</v>
      </c>
      <c r="DA113" s="1247">
        <v>46305</v>
      </c>
      <c r="DB113" s="1248">
        <v>0</v>
      </c>
      <c r="DC113" s="1248">
        <v>0</v>
      </c>
      <c r="DD113" s="1248">
        <v>0</v>
      </c>
      <c r="DE113" s="1248">
        <v>0</v>
      </c>
      <c r="DF113" s="1249">
        <v>46305</v>
      </c>
      <c r="DG113" s="1247">
        <v>4000</v>
      </c>
      <c r="DH113" s="1248">
        <v>0</v>
      </c>
      <c r="DI113" s="1248">
        <v>2760</v>
      </c>
      <c r="DJ113" s="1248">
        <v>1240</v>
      </c>
      <c r="DK113" s="1248">
        <v>260</v>
      </c>
      <c r="DL113" s="1249">
        <v>8260</v>
      </c>
      <c r="DM113" s="1247">
        <v>5277.37</v>
      </c>
      <c r="DN113" s="1248">
        <v>0</v>
      </c>
      <c r="DO113" s="1248">
        <v>31.43</v>
      </c>
      <c r="DP113" s="1248">
        <v>973.81</v>
      </c>
      <c r="DQ113" s="1248">
        <v>-0.03</v>
      </c>
      <c r="DR113" s="1249">
        <v>6282.58</v>
      </c>
      <c r="DS113" s="1244"/>
      <c r="DT113" s="1245"/>
      <c r="DU113" s="1245"/>
      <c r="DV113" s="1245"/>
      <c r="DW113" s="1245"/>
      <c r="DX113" s="1246"/>
    </row>
    <row r="114" spans="1:128" ht="15" customHeight="1">
      <c r="A114" s="1092" t="s">
        <v>159</v>
      </c>
      <c r="B114" s="1239" t="s">
        <v>160</v>
      </c>
      <c r="C114" s="1467" t="s">
        <v>271</v>
      </c>
      <c r="D114" s="1240">
        <f t="shared" si="10"/>
        <v>3324837.3600000003</v>
      </c>
      <c r="E114" s="1241">
        <f t="shared" si="8"/>
        <v>1390476.66</v>
      </c>
      <c r="F114" s="1242">
        <f t="shared" si="11"/>
        <v>388359.90000000008</v>
      </c>
      <c r="G114" s="1243">
        <f t="shared" si="9"/>
        <v>388360.07000000007</v>
      </c>
      <c r="H114" s="1242">
        <f t="shared" si="9"/>
        <v>-0.17</v>
      </c>
      <c r="I114" s="1244"/>
      <c r="J114" s="1245"/>
      <c r="K114" s="1245"/>
      <c r="L114" s="1245"/>
      <c r="M114" s="1245"/>
      <c r="N114" s="1246"/>
      <c r="O114" s="1244"/>
      <c r="P114" s="1245"/>
      <c r="Q114" s="1245"/>
      <c r="R114" s="1245"/>
      <c r="S114" s="1245"/>
      <c r="T114" s="1246"/>
      <c r="U114" s="1247">
        <v>43547.94</v>
      </c>
      <c r="V114" s="1248">
        <v>0</v>
      </c>
      <c r="W114" s="1248">
        <v>259.20999999999998</v>
      </c>
      <c r="X114" s="1248">
        <v>8035.64</v>
      </c>
      <c r="Y114" s="1248">
        <v>-0.01</v>
      </c>
      <c r="Z114" s="1249">
        <v>51842.78</v>
      </c>
      <c r="AA114" s="1247">
        <v>155122.57999999999</v>
      </c>
      <c r="AB114" s="1248">
        <v>0</v>
      </c>
      <c r="AC114" s="1248">
        <v>0</v>
      </c>
      <c r="AD114" s="1248">
        <v>38780.629999999997</v>
      </c>
      <c r="AE114" s="1248">
        <v>0</v>
      </c>
      <c r="AF114" s="1249">
        <v>193903.21</v>
      </c>
      <c r="AG114" s="1247">
        <v>7756.05</v>
      </c>
      <c r="AH114" s="1248">
        <v>0</v>
      </c>
      <c r="AI114" s="1248">
        <v>5351.67</v>
      </c>
      <c r="AJ114" s="1248">
        <v>2404.39</v>
      </c>
      <c r="AK114" s="1248">
        <v>-0.02</v>
      </c>
      <c r="AL114" s="1249">
        <v>15512.09</v>
      </c>
      <c r="AM114" s="1247">
        <v>15937.98</v>
      </c>
      <c r="AN114" s="1248">
        <v>0</v>
      </c>
      <c r="AO114" s="1248">
        <v>3984.5</v>
      </c>
      <c r="AP114" s="1248">
        <v>0</v>
      </c>
      <c r="AQ114" s="1248">
        <v>0</v>
      </c>
      <c r="AR114" s="1249">
        <v>19922.48</v>
      </c>
      <c r="AS114" s="1247">
        <v>31465.8</v>
      </c>
      <c r="AT114" s="1248">
        <v>0</v>
      </c>
      <c r="AU114" s="1248">
        <v>7866.46</v>
      </c>
      <c r="AV114" s="1248">
        <v>0</v>
      </c>
      <c r="AW114" s="1248">
        <v>0</v>
      </c>
      <c r="AX114" s="1249">
        <v>39332.26</v>
      </c>
      <c r="AY114" s="1244"/>
      <c r="AZ114" s="1245"/>
      <c r="BA114" s="1245"/>
      <c r="BB114" s="1245"/>
      <c r="BC114" s="1245"/>
      <c r="BD114" s="1246"/>
      <c r="BE114" s="1247">
        <v>1106.6199999999999</v>
      </c>
      <c r="BF114" s="1248">
        <v>0</v>
      </c>
      <c r="BG114" s="1248">
        <v>1998.38</v>
      </c>
      <c r="BH114" s="1248">
        <v>0</v>
      </c>
      <c r="BI114" s="1248">
        <v>0</v>
      </c>
      <c r="BJ114" s="1249">
        <v>3105</v>
      </c>
      <c r="BK114" s="1247">
        <v>15421.66</v>
      </c>
      <c r="BL114" s="1248">
        <v>0</v>
      </c>
      <c r="BM114" s="1248">
        <v>1953.41</v>
      </c>
      <c r="BN114" s="1248">
        <v>3187.13</v>
      </c>
      <c r="BO114" s="1248">
        <v>0.01</v>
      </c>
      <c r="BP114" s="1249">
        <v>20562.21</v>
      </c>
      <c r="BQ114" s="1247">
        <v>1134145.0900000001</v>
      </c>
      <c r="BR114" s="1248">
        <v>0</v>
      </c>
      <c r="BS114" s="1248">
        <v>962414.71</v>
      </c>
      <c r="BT114" s="1248">
        <v>171730.38</v>
      </c>
      <c r="BU114" s="1248">
        <v>0.02</v>
      </c>
      <c r="BV114" s="1249">
        <v>2268290.2000000002</v>
      </c>
      <c r="BW114" s="1247">
        <v>460652.13</v>
      </c>
      <c r="BX114" s="1248">
        <v>0</v>
      </c>
      <c r="BY114" s="1248">
        <v>227737.7</v>
      </c>
      <c r="BZ114" s="1248">
        <v>126272.72</v>
      </c>
      <c r="CA114" s="1248">
        <v>-0.15</v>
      </c>
      <c r="CB114" s="1249">
        <v>814662.4</v>
      </c>
      <c r="CC114" s="1247">
        <v>5110.0600000000004</v>
      </c>
      <c r="CD114" s="1248">
        <v>0</v>
      </c>
      <c r="CE114" s="1248">
        <v>0</v>
      </c>
      <c r="CF114" s="1248">
        <v>9006.1299999999992</v>
      </c>
      <c r="CG114" s="1248">
        <v>0</v>
      </c>
      <c r="CH114" s="1249">
        <v>14116.19</v>
      </c>
      <c r="CI114" s="1244"/>
      <c r="CJ114" s="1245"/>
      <c r="CK114" s="1245"/>
      <c r="CL114" s="1245"/>
      <c r="CM114" s="1245"/>
      <c r="CN114" s="1246"/>
      <c r="CO114" s="1247">
        <v>94968.25</v>
      </c>
      <c r="CP114" s="1248">
        <v>0</v>
      </c>
      <c r="CQ114" s="1248">
        <v>0</v>
      </c>
      <c r="CR114" s="1248">
        <v>0</v>
      </c>
      <c r="CS114" s="1248">
        <v>0</v>
      </c>
      <c r="CT114" s="1249">
        <v>94968.25</v>
      </c>
      <c r="CU114" s="1247">
        <v>180703.95</v>
      </c>
      <c r="CV114" s="1248">
        <v>0</v>
      </c>
      <c r="CW114" s="1248">
        <v>161887.45000000001</v>
      </c>
      <c r="CX114" s="1248">
        <v>18816.5</v>
      </c>
      <c r="CY114" s="1248">
        <v>0.02</v>
      </c>
      <c r="CZ114" s="1249">
        <v>361407.92</v>
      </c>
      <c r="DA114" s="1247">
        <v>1140716.5</v>
      </c>
      <c r="DB114" s="1248">
        <v>0</v>
      </c>
      <c r="DC114" s="1248">
        <v>0</v>
      </c>
      <c r="DD114" s="1248">
        <v>0</v>
      </c>
      <c r="DE114" s="1248">
        <v>0</v>
      </c>
      <c r="DF114" s="1249">
        <v>1140716.5</v>
      </c>
      <c r="DG114" s="1247">
        <v>24553.7</v>
      </c>
      <c r="DH114" s="1248">
        <v>0</v>
      </c>
      <c r="DI114" s="1248">
        <v>16942.04</v>
      </c>
      <c r="DJ114" s="1248">
        <v>7611.65</v>
      </c>
      <c r="DK114" s="1248">
        <v>-0.01</v>
      </c>
      <c r="DL114" s="1249">
        <v>49107.38</v>
      </c>
      <c r="DM114" s="1247">
        <v>13629.05</v>
      </c>
      <c r="DN114" s="1248">
        <v>0</v>
      </c>
      <c r="DO114" s="1248">
        <v>81.13</v>
      </c>
      <c r="DP114" s="1248">
        <v>2514.9</v>
      </c>
      <c r="DQ114" s="1248">
        <v>-0.03</v>
      </c>
      <c r="DR114" s="1249">
        <v>16225.05</v>
      </c>
      <c r="DS114" s="1244"/>
      <c r="DT114" s="1245"/>
      <c r="DU114" s="1245"/>
      <c r="DV114" s="1245"/>
      <c r="DW114" s="1245"/>
      <c r="DX114" s="1246"/>
    </row>
    <row r="115" spans="1:128" ht="15" customHeight="1">
      <c r="A115" s="1092" t="s">
        <v>161</v>
      </c>
      <c r="B115" s="1239" t="s">
        <v>162</v>
      </c>
      <c r="C115" s="1467" t="s">
        <v>271</v>
      </c>
      <c r="D115" s="1240">
        <f t="shared" si="10"/>
        <v>4213296.41</v>
      </c>
      <c r="E115" s="1241">
        <f t="shared" si="8"/>
        <v>1320018.83</v>
      </c>
      <c r="F115" s="1242">
        <f t="shared" si="11"/>
        <v>364292.77000000008</v>
      </c>
      <c r="G115" s="1243">
        <f t="shared" si="9"/>
        <v>364293.18000000005</v>
      </c>
      <c r="H115" s="1242">
        <f t="shared" si="9"/>
        <v>-0.41000000000000003</v>
      </c>
      <c r="I115" s="1244"/>
      <c r="J115" s="1245"/>
      <c r="K115" s="1245"/>
      <c r="L115" s="1245"/>
      <c r="M115" s="1245"/>
      <c r="N115" s="1246"/>
      <c r="O115" s="1244"/>
      <c r="P115" s="1245"/>
      <c r="Q115" s="1245"/>
      <c r="R115" s="1245"/>
      <c r="S115" s="1245"/>
      <c r="T115" s="1246"/>
      <c r="U115" s="1247">
        <v>175392.47</v>
      </c>
      <c r="V115" s="1248">
        <v>0</v>
      </c>
      <c r="W115" s="1248">
        <v>1044</v>
      </c>
      <c r="X115" s="1248">
        <v>32364.1</v>
      </c>
      <c r="Y115" s="1248">
        <v>0.01</v>
      </c>
      <c r="Z115" s="1249">
        <v>208800.58</v>
      </c>
      <c r="AA115" s="1247">
        <v>105348.82</v>
      </c>
      <c r="AB115" s="1248">
        <v>0</v>
      </c>
      <c r="AC115" s="1248">
        <v>0</v>
      </c>
      <c r="AD115" s="1248">
        <v>26337.17</v>
      </c>
      <c r="AE115" s="1248">
        <v>0</v>
      </c>
      <c r="AF115" s="1249">
        <v>131685.99</v>
      </c>
      <c r="AG115" s="1247">
        <v>30845.27</v>
      </c>
      <c r="AH115" s="1248">
        <v>0</v>
      </c>
      <c r="AI115" s="1248">
        <v>7464.94</v>
      </c>
      <c r="AJ115" s="1248">
        <v>7027.32</v>
      </c>
      <c r="AK115" s="1248">
        <v>-0.03</v>
      </c>
      <c r="AL115" s="1249">
        <v>45337.5</v>
      </c>
      <c r="AM115" s="1247">
        <v>16613.63</v>
      </c>
      <c r="AN115" s="1248">
        <v>0</v>
      </c>
      <c r="AO115" s="1248">
        <v>4153.3900000000003</v>
      </c>
      <c r="AP115" s="1248">
        <v>0</v>
      </c>
      <c r="AQ115" s="1248">
        <v>0</v>
      </c>
      <c r="AR115" s="1249">
        <v>20767.02</v>
      </c>
      <c r="AS115" s="1247">
        <v>26781.919999999998</v>
      </c>
      <c r="AT115" s="1248">
        <v>0</v>
      </c>
      <c r="AU115" s="1248">
        <v>6695.47</v>
      </c>
      <c r="AV115" s="1248">
        <v>0</v>
      </c>
      <c r="AW115" s="1248">
        <v>0</v>
      </c>
      <c r="AX115" s="1249">
        <v>33477.39</v>
      </c>
      <c r="AY115" s="1244"/>
      <c r="AZ115" s="1245"/>
      <c r="BA115" s="1245"/>
      <c r="BB115" s="1245"/>
      <c r="BC115" s="1245"/>
      <c r="BD115" s="1246"/>
      <c r="BE115" s="1247">
        <v>4305.32</v>
      </c>
      <c r="BF115" s="1248">
        <v>0</v>
      </c>
      <c r="BG115" s="1248">
        <v>7774.68</v>
      </c>
      <c r="BH115" s="1248">
        <v>0</v>
      </c>
      <c r="BI115" s="1248">
        <v>0</v>
      </c>
      <c r="BJ115" s="1249">
        <v>12080</v>
      </c>
      <c r="BK115" s="1247">
        <v>153502.35</v>
      </c>
      <c r="BL115" s="1248">
        <v>0</v>
      </c>
      <c r="BM115" s="1248">
        <v>19443.61</v>
      </c>
      <c r="BN115" s="1248">
        <v>31723.8</v>
      </c>
      <c r="BO115" s="1248">
        <v>-0.03</v>
      </c>
      <c r="BP115" s="1249">
        <v>204669.73</v>
      </c>
      <c r="BQ115" s="1247">
        <v>1333436.67</v>
      </c>
      <c r="BR115" s="1248">
        <v>0</v>
      </c>
      <c r="BS115" s="1248">
        <v>1146581.4099999999</v>
      </c>
      <c r="BT115" s="1248">
        <v>186855.24</v>
      </c>
      <c r="BU115" s="1248">
        <v>-7.0000000000000007E-2</v>
      </c>
      <c r="BV115" s="1249">
        <v>2666873.25</v>
      </c>
      <c r="BW115" s="1247">
        <v>164505.35</v>
      </c>
      <c r="BX115" s="1248">
        <v>0</v>
      </c>
      <c r="BY115" s="1248">
        <v>113508.77</v>
      </c>
      <c r="BZ115" s="1248">
        <v>50996.75</v>
      </c>
      <c r="CA115" s="1248">
        <v>-0.27</v>
      </c>
      <c r="CB115" s="1249">
        <v>329010.59999999998</v>
      </c>
      <c r="CC115" s="1247">
        <v>8774.32</v>
      </c>
      <c r="CD115" s="1248">
        <v>0</v>
      </c>
      <c r="CE115" s="1248">
        <v>0</v>
      </c>
      <c r="CF115" s="1248">
        <v>15464.13</v>
      </c>
      <c r="CG115" s="1248">
        <v>0</v>
      </c>
      <c r="CH115" s="1249">
        <v>24238.45</v>
      </c>
      <c r="CI115" s="1244"/>
      <c r="CJ115" s="1245"/>
      <c r="CK115" s="1245"/>
      <c r="CL115" s="1245"/>
      <c r="CM115" s="1245"/>
      <c r="CN115" s="1246"/>
      <c r="CO115" s="1247">
        <v>63954.91</v>
      </c>
      <c r="CP115" s="1248">
        <v>0</v>
      </c>
      <c r="CQ115" s="1248">
        <v>0</v>
      </c>
      <c r="CR115" s="1248">
        <v>0</v>
      </c>
      <c r="CS115" s="1248">
        <v>0</v>
      </c>
      <c r="CT115" s="1249">
        <v>63954.91</v>
      </c>
      <c r="CU115" s="1244"/>
      <c r="CV115" s="1245"/>
      <c r="CW115" s="1245"/>
      <c r="CX115" s="1245"/>
      <c r="CY115" s="1245"/>
      <c r="CZ115" s="1246"/>
      <c r="DA115" s="1247">
        <v>2069456.67</v>
      </c>
      <c r="DB115" s="1248">
        <v>0</v>
      </c>
      <c r="DC115" s="1248">
        <v>0</v>
      </c>
      <c r="DD115" s="1248">
        <v>0</v>
      </c>
      <c r="DE115" s="1248">
        <v>0</v>
      </c>
      <c r="DF115" s="1249">
        <v>2069456.67</v>
      </c>
      <c r="DG115" s="1247">
        <v>18994.5</v>
      </c>
      <c r="DH115" s="1248">
        <v>0</v>
      </c>
      <c r="DI115" s="1248">
        <v>13106.22</v>
      </c>
      <c r="DJ115" s="1248">
        <v>5888.28</v>
      </c>
      <c r="DK115" s="1248">
        <v>0</v>
      </c>
      <c r="DL115" s="1249">
        <v>37989</v>
      </c>
      <c r="DM115" s="1247">
        <v>41384.21</v>
      </c>
      <c r="DN115" s="1248">
        <v>0</v>
      </c>
      <c r="DO115" s="1248">
        <v>246.34</v>
      </c>
      <c r="DP115" s="1248">
        <v>7636.39</v>
      </c>
      <c r="DQ115" s="1248">
        <v>-0.02</v>
      </c>
      <c r="DR115" s="1249">
        <v>49266.92</v>
      </c>
      <c r="DS115" s="1244"/>
      <c r="DT115" s="1245"/>
      <c r="DU115" s="1245"/>
      <c r="DV115" s="1245"/>
      <c r="DW115" s="1245"/>
      <c r="DX115" s="1246"/>
    </row>
    <row r="116" spans="1:128" ht="15" customHeight="1">
      <c r="A116" s="1092" t="s">
        <v>167</v>
      </c>
      <c r="B116" s="1239" t="s">
        <v>168</v>
      </c>
      <c r="C116" s="1467" t="s">
        <v>275</v>
      </c>
      <c r="D116" s="1240">
        <f t="shared" si="10"/>
        <v>40892.630000000005</v>
      </c>
      <c r="E116" s="1241">
        <f t="shared" si="8"/>
        <v>12736.1</v>
      </c>
      <c r="F116" s="1242">
        <f t="shared" si="11"/>
        <v>7520.0300000000016</v>
      </c>
      <c r="G116" s="1243">
        <f t="shared" si="9"/>
        <v>7492.0800000000017</v>
      </c>
      <c r="H116" s="1242">
        <f t="shared" si="9"/>
        <v>27.95</v>
      </c>
      <c r="I116" s="1244"/>
      <c r="J116" s="1245"/>
      <c r="K116" s="1245"/>
      <c r="L116" s="1245"/>
      <c r="M116" s="1245"/>
      <c r="N116" s="1246"/>
      <c r="O116" s="1244"/>
      <c r="P116" s="1245"/>
      <c r="Q116" s="1245"/>
      <c r="R116" s="1245"/>
      <c r="S116" s="1245"/>
      <c r="T116" s="1246"/>
      <c r="U116" s="1247">
        <v>71.540000000000006</v>
      </c>
      <c r="V116" s="1248">
        <v>0</v>
      </c>
      <c r="W116" s="1248">
        <v>0.43</v>
      </c>
      <c r="X116" s="1248">
        <v>13.2</v>
      </c>
      <c r="Y116" s="1248">
        <v>0</v>
      </c>
      <c r="Z116" s="1249">
        <v>85.17</v>
      </c>
      <c r="AA116" s="1247">
        <v>3761.78</v>
      </c>
      <c r="AB116" s="1248">
        <v>0</v>
      </c>
      <c r="AC116" s="1248">
        <v>0</v>
      </c>
      <c r="AD116" s="1248">
        <v>940.44</v>
      </c>
      <c r="AE116" s="1248">
        <v>0</v>
      </c>
      <c r="AF116" s="1249">
        <v>4702.22</v>
      </c>
      <c r="AG116" s="1244"/>
      <c r="AH116" s="1245"/>
      <c r="AI116" s="1245"/>
      <c r="AJ116" s="1245"/>
      <c r="AK116" s="1245"/>
      <c r="AL116" s="1246"/>
      <c r="AM116" s="1244"/>
      <c r="AN116" s="1245"/>
      <c r="AO116" s="1245"/>
      <c r="AP116" s="1245"/>
      <c r="AQ116" s="1245"/>
      <c r="AR116" s="1246"/>
      <c r="AS116" s="1244"/>
      <c r="AT116" s="1245"/>
      <c r="AU116" s="1245"/>
      <c r="AV116" s="1245"/>
      <c r="AW116" s="1245"/>
      <c r="AX116" s="1246"/>
      <c r="AY116" s="1244"/>
      <c r="AZ116" s="1245"/>
      <c r="BA116" s="1245"/>
      <c r="BB116" s="1245"/>
      <c r="BC116" s="1245"/>
      <c r="BD116" s="1246"/>
      <c r="BE116" s="1244"/>
      <c r="BF116" s="1245"/>
      <c r="BG116" s="1245"/>
      <c r="BH116" s="1245"/>
      <c r="BI116" s="1245"/>
      <c r="BJ116" s="1246"/>
      <c r="BK116" s="1247">
        <v>12641.25</v>
      </c>
      <c r="BL116" s="1248">
        <v>0</v>
      </c>
      <c r="BM116" s="1248">
        <v>1601.23</v>
      </c>
      <c r="BN116" s="1248">
        <v>2612.5300000000002</v>
      </c>
      <c r="BO116" s="1248">
        <v>-0.01</v>
      </c>
      <c r="BP116" s="1249">
        <v>16855</v>
      </c>
      <c r="BQ116" s="1247">
        <v>4894.5</v>
      </c>
      <c r="BR116" s="1248">
        <v>0</v>
      </c>
      <c r="BS116" s="1248">
        <v>4012.2</v>
      </c>
      <c r="BT116" s="1248">
        <v>882.3</v>
      </c>
      <c r="BU116" s="1248">
        <v>0</v>
      </c>
      <c r="BV116" s="1249">
        <v>9789</v>
      </c>
      <c r="BW116" s="1247">
        <v>5513.83</v>
      </c>
      <c r="BX116" s="1248">
        <v>0</v>
      </c>
      <c r="BY116" s="1248">
        <v>3761.96</v>
      </c>
      <c r="BZ116" s="1248">
        <v>1701.48</v>
      </c>
      <c r="CA116" s="1248">
        <v>-0.04</v>
      </c>
      <c r="CB116" s="1249">
        <v>10977.23</v>
      </c>
      <c r="CC116" s="1244"/>
      <c r="CD116" s="1245"/>
      <c r="CE116" s="1245"/>
      <c r="CF116" s="1245"/>
      <c r="CG116" s="1245"/>
      <c r="CH116" s="1246"/>
      <c r="CI116" s="1244"/>
      <c r="CJ116" s="1245"/>
      <c r="CK116" s="1245"/>
      <c r="CL116" s="1245"/>
      <c r="CM116" s="1245"/>
      <c r="CN116" s="1246"/>
      <c r="CO116" s="1244"/>
      <c r="CP116" s="1245"/>
      <c r="CQ116" s="1245"/>
      <c r="CR116" s="1245"/>
      <c r="CS116" s="1245"/>
      <c r="CT116" s="1246"/>
      <c r="CU116" s="1247">
        <v>1353</v>
      </c>
      <c r="CV116" s="1248">
        <v>0</v>
      </c>
      <c r="CW116" s="1248">
        <v>1082.4000000000001</v>
      </c>
      <c r="CX116" s="1248">
        <v>270.60000000000002</v>
      </c>
      <c r="CY116" s="1248">
        <v>28</v>
      </c>
      <c r="CZ116" s="1249">
        <v>2734</v>
      </c>
      <c r="DA116" s="1247">
        <v>9093</v>
      </c>
      <c r="DB116" s="1248">
        <v>0</v>
      </c>
      <c r="DC116" s="1248">
        <v>0</v>
      </c>
      <c r="DD116" s="1248">
        <v>0</v>
      </c>
      <c r="DE116" s="1248">
        <v>0</v>
      </c>
      <c r="DF116" s="1249">
        <v>9093</v>
      </c>
      <c r="DG116" s="1247">
        <v>3298.98</v>
      </c>
      <c r="DH116" s="1248">
        <v>0</v>
      </c>
      <c r="DI116" s="1248">
        <v>2276.3000000000002</v>
      </c>
      <c r="DJ116" s="1248">
        <v>1022.68</v>
      </c>
      <c r="DK116" s="1248">
        <v>0</v>
      </c>
      <c r="DL116" s="1249">
        <v>6597.96</v>
      </c>
      <c r="DM116" s="1247">
        <v>264.75</v>
      </c>
      <c r="DN116" s="1248">
        <v>0</v>
      </c>
      <c r="DO116" s="1248">
        <v>1.58</v>
      </c>
      <c r="DP116" s="1248">
        <v>48.85</v>
      </c>
      <c r="DQ116" s="1248">
        <v>0</v>
      </c>
      <c r="DR116" s="1249">
        <v>315.18</v>
      </c>
      <c r="DS116" s="1244"/>
      <c r="DT116" s="1245"/>
      <c r="DU116" s="1245"/>
      <c r="DV116" s="1245"/>
      <c r="DW116" s="1245"/>
      <c r="DX116" s="1246"/>
    </row>
    <row r="117" spans="1:128" ht="15" customHeight="1">
      <c r="A117" s="1092" t="s">
        <v>177</v>
      </c>
      <c r="B117" s="1239" t="s">
        <v>178</v>
      </c>
      <c r="C117" s="1467" t="s">
        <v>273</v>
      </c>
      <c r="D117" s="1240">
        <f t="shared" si="10"/>
        <v>810108.66999999981</v>
      </c>
      <c r="E117" s="1241">
        <f t="shared" si="8"/>
        <v>358379.45</v>
      </c>
      <c r="F117" s="1242">
        <f t="shared" si="11"/>
        <v>131459.38999999998</v>
      </c>
      <c r="G117" s="1243">
        <f t="shared" si="9"/>
        <v>118183.06</v>
      </c>
      <c r="H117" s="1242">
        <f t="shared" si="9"/>
        <v>13276.33</v>
      </c>
      <c r="I117" s="1244"/>
      <c r="J117" s="1245"/>
      <c r="K117" s="1245"/>
      <c r="L117" s="1245"/>
      <c r="M117" s="1245"/>
      <c r="N117" s="1246"/>
      <c r="O117" s="1244"/>
      <c r="P117" s="1245"/>
      <c r="Q117" s="1245"/>
      <c r="R117" s="1245"/>
      <c r="S117" s="1245"/>
      <c r="T117" s="1246"/>
      <c r="U117" s="1247">
        <v>6945.42</v>
      </c>
      <c r="V117" s="1248">
        <v>0</v>
      </c>
      <c r="W117" s="1248">
        <v>41.34</v>
      </c>
      <c r="X117" s="1248">
        <v>1281.6099999999999</v>
      </c>
      <c r="Y117" s="1248">
        <v>-0.01</v>
      </c>
      <c r="Z117" s="1249">
        <v>8268.36</v>
      </c>
      <c r="AA117" s="1247">
        <v>57055.24</v>
      </c>
      <c r="AB117" s="1248">
        <v>0</v>
      </c>
      <c r="AC117" s="1248">
        <v>0</v>
      </c>
      <c r="AD117" s="1248">
        <v>14263.78</v>
      </c>
      <c r="AE117" s="1248">
        <v>13168.77</v>
      </c>
      <c r="AF117" s="1249">
        <v>84487.79</v>
      </c>
      <c r="AG117" s="1244"/>
      <c r="AH117" s="1245"/>
      <c r="AI117" s="1245"/>
      <c r="AJ117" s="1245"/>
      <c r="AK117" s="1245"/>
      <c r="AL117" s="1246"/>
      <c r="AM117" s="1247">
        <v>1435.94</v>
      </c>
      <c r="AN117" s="1248">
        <v>0</v>
      </c>
      <c r="AO117" s="1248">
        <v>358.99</v>
      </c>
      <c r="AP117" s="1248">
        <v>0</v>
      </c>
      <c r="AQ117" s="1248">
        <v>0</v>
      </c>
      <c r="AR117" s="1249">
        <v>1794.93</v>
      </c>
      <c r="AS117" s="1247">
        <v>6911.27</v>
      </c>
      <c r="AT117" s="1248">
        <v>0</v>
      </c>
      <c r="AU117" s="1248">
        <v>1727.81</v>
      </c>
      <c r="AV117" s="1248">
        <v>0</v>
      </c>
      <c r="AW117" s="1248">
        <v>0</v>
      </c>
      <c r="AX117" s="1249">
        <v>8639.08</v>
      </c>
      <c r="AY117" s="1244"/>
      <c r="AZ117" s="1245"/>
      <c r="BA117" s="1245"/>
      <c r="BB117" s="1245"/>
      <c r="BC117" s="1245"/>
      <c r="BD117" s="1246"/>
      <c r="BE117" s="1244"/>
      <c r="BF117" s="1245"/>
      <c r="BG117" s="1245"/>
      <c r="BH117" s="1245"/>
      <c r="BI117" s="1245"/>
      <c r="BJ117" s="1246"/>
      <c r="BK117" s="1247">
        <v>30378.03</v>
      </c>
      <c r="BL117" s="1248">
        <v>0</v>
      </c>
      <c r="BM117" s="1248">
        <v>3847.9</v>
      </c>
      <c r="BN117" s="1248">
        <v>6278.12</v>
      </c>
      <c r="BO117" s="1248">
        <v>-0.03</v>
      </c>
      <c r="BP117" s="1249">
        <v>40504.019999999997</v>
      </c>
      <c r="BQ117" s="1247">
        <v>239378.6</v>
      </c>
      <c r="BR117" s="1248">
        <v>0</v>
      </c>
      <c r="BS117" s="1248">
        <v>205608.32000000001</v>
      </c>
      <c r="BT117" s="1248">
        <v>33770.28</v>
      </c>
      <c r="BU117" s="1248">
        <v>0</v>
      </c>
      <c r="BV117" s="1249">
        <v>478757.2</v>
      </c>
      <c r="BW117" s="1247">
        <v>178612.39</v>
      </c>
      <c r="BX117" s="1248">
        <v>0</v>
      </c>
      <c r="BY117" s="1248">
        <v>117707.05</v>
      </c>
      <c r="BZ117" s="1248">
        <v>54354.46</v>
      </c>
      <c r="CA117" s="1248">
        <v>-0.16</v>
      </c>
      <c r="CB117" s="1249">
        <v>350673.74</v>
      </c>
      <c r="CC117" s="1247">
        <v>720.55</v>
      </c>
      <c r="CD117" s="1248">
        <v>0</v>
      </c>
      <c r="CE117" s="1248">
        <v>0</v>
      </c>
      <c r="CF117" s="1248">
        <v>1269.93</v>
      </c>
      <c r="CG117" s="1248">
        <v>0</v>
      </c>
      <c r="CH117" s="1249">
        <v>1990.48</v>
      </c>
      <c r="CI117" s="1244"/>
      <c r="CJ117" s="1245"/>
      <c r="CK117" s="1245"/>
      <c r="CL117" s="1245"/>
      <c r="CM117" s="1245"/>
      <c r="CN117" s="1246"/>
      <c r="CO117" s="1247">
        <v>42121</v>
      </c>
      <c r="CP117" s="1248">
        <v>0</v>
      </c>
      <c r="CQ117" s="1248">
        <v>0</v>
      </c>
      <c r="CR117" s="1248">
        <v>0</v>
      </c>
      <c r="CS117" s="1248">
        <v>0</v>
      </c>
      <c r="CT117" s="1249">
        <v>42121</v>
      </c>
      <c r="CU117" s="1247">
        <v>33210.730000000003</v>
      </c>
      <c r="CV117" s="1248">
        <v>0</v>
      </c>
      <c r="CW117" s="1248">
        <v>28245.79</v>
      </c>
      <c r="CX117" s="1248">
        <v>4964.9399999999996</v>
      </c>
      <c r="CY117" s="1248">
        <v>-0.01</v>
      </c>
      <c r="CZ117" s="1249">
        <v>66421.45</v>
      </c>
      <c r="DA117" s="1247">
        <v>203278.95</v>
      </c>
      <c r="DB117" s="1248">
        <v>0</v>
      </c>
      <c r="DC117" s="1248">
        <v>0</v>
      </c>
      <c r="DD117" s="1248">
        <v>0</v>
      </c>
      <c r="DE117" s="1248">
        <v>0</v>
      </c>
      <c r="DF117" s="1249">
        <v>203278.95</v>
      </c>
      <c r="DG117" s="1247">
        <v>1143.71</v>
      </c>
      <c r="DH117" s="1248">
        <v>0</v>
      </c>
      <c r="DI117" s="1248">
        <v>789.16</v>
      </c>
      <c r="DJ117" s="1248">
        <v>354.55</v>
      </c>
      <c r="DK117" s="1248">
        <v>107.79</v>
      </c>
      <c r="DL117" s="1249">
        <v>2395.21</v>
      </c>
      <c r="DM117" s="1247">
        <v>8916.84</v>
      </c>
      <c r="DN117" s="1248">
        <v>0</v>
      </c>
      <c r="DO117" s="1248">
        <v>53.09</v>
      </c>
      <c r="DP117" s="1248">
        <v>1645.39</v>
      </c>
      <c r="DQ117" s="1248">
        <v>-0.02</v>
      </c>
      <c r="DR117" s="1249">
        <v>10615.3</v>
      </c>
      <c r="DS117" s="1244"/>
      <c r="DT117" s="1245"/>
      <c r="DU117" s="1245"/>
      <c r="DV117" s="1245"/>
      <c r="DW117" s="1245"/>
      <c r="DX117" s="1246"/>
    </row>
    <row r="118" spans="1:128" ht="15" customHeight="1">
      <c r="A118" s="1092" t="s">
        <v>181</v>
      </c>
      <c r="B118" s="1239" t="s">
        <v>182</v>
      </c>
      <c r="C118" s="1467" t="s">
        <v>271</v>
      </c>
      <c r="D118" s="1240">
        <f t="shared" si="10"/>
        <v>1581408.34</v>
      </c>
      <c r="E118" s="1241">
        <f t="shared" si="8"/>
        <v>529975.13</v>
      </c>
      <c r="F118" s="1242">
        <f t="shared" si="11"/>
        <v>165494.18</v>
      </c>
      <c r="G118" s="1243">
        <f t="shared" si="9"/>
        <v>164685.06</v>
      </c>
      <c r="H118" s="1242">
        <f t="shared" si="9"/>
        <v>809.12</v>
      </c>
      <c r="I118" s="1244"/>
      <c r="J118" s="1245"/>
      <c r="K118" s="1245"/>
      <c r="L118" s="1245"/>
      <c r="M118" s="1245"/>
      <c r="N118" s="1246"/>
      <c r="O118" s="1244"/>
      <c r="P118" s="1245"/>
      <c r="Q118" s="1245"/>
      <c r="R118" s="1245"/>
      <c r="S118" s="1245"/>
      <c r="T118" s="1246"/>
      <c r="U118" s="1247">
        <v>22633.759999999998</v>
      </c>
      <c r="V118" s="1248">
        <v>0</v>
      </c>
      <c r="W118" s="1248">
        <v>134.71</v>
      </c>
      <c r="X118" s="1248">
        <v>4176.4799999999996</v>
      </c>
      <c r="Y118" s="1248">
        <v>0.01</v>
      </c>
      <c r="Z118" s="1249">
        <v>26944.959999999999</v>
      </c>
      <c r="AA118" s="1247">
        <v>72548.33</v>
      </c>
      <c r="AB118" s="1248">
        <v>0</v>
      </c>
      <c r="AC118" s="1248">
        <v>0</v>
      </c>
      <c r="AD118" s="1248">
        <v>18137.080000000002</v>
      </c>
      <c r="AE118" s="1248">
        <v>0</v>
      </c>
      <c r="AF118" s="1249">
        <v>90685.41</v>
      </c>
      <c r="AG118" s="1247">
        <v>15807.24</v>
      </c>
      <c r="AH118" s="1248">
        <v>0</v>
      </c>
      <c r="AI118" s="1248">
        <v>9411.18</v>
      </c>
      <c r="AJ118" s="1248">
        <v>4625.88</v>
      </c>
      <c r="AK118" s="1248">
        <v>-0.02</v>
      </c>
      <c r="AL118" s="1249">
        <v>29844.28</v>
      </c>
      <c r="AM118" s="1247">
        <v>46471.360000000001</v>
      </c>
      <c r="AN118" s="1248">
        <v>0</v>
      </c>
      <c r="AO118" s="1248">
        <v>11617.84</v>
      </c>
      <c r="AP118" s="1248">
        <v>0</v>
      </c>
      <c r="AQ118" s="1248">
        <v>0</v>
      </c>
      <c r="AR118" s="1249">
        <v>58089.2</v>
      </c>
      <c r="AS118" s="1247">
        <v>29273.360000000001</v>
      </c>
      <c r="AT118" s="1248">
        <v>0</v>
      </c>
      <c r="AU118" s="1248">
        <v>7318.34</v>
      </c>
      <c r="AV118" s="1248">
        <v>0</v>
      </c>
      <c r="AW118" s="1248">
        <v>0</v>
      </c>
      <c r="AX118" s="1249">
        <v>36591.699999999997</v>
      </c>
      <c r="AY118" s="1244"/>
      <c r="AZ118" s="1245"/>
      <c r="BA118" s="1245"/>
      <c r="BB118" s="1245"/>
      <c r="BC118" s="1245"/>
      <c r="BD118" s="1246"/>
      <c r="BE118" s="1247">
        <v>1226.02</v>
      </c>
      <c r="BF118" s="1248">
        <v>0</v>
      </c>
      <c r="BG118" s="1248">
        <v>2213.98</v>
      </c>
      <c r="BH118" s="1248">
        <v>0</v>
      </c>
      <c r="BI118" s="1248">
        <v>0</v>
      </c>
      <c r="BJ118" s="1249">
        <v>3440</v>
      </c>
      <c r="BK118" s="1247">
        <v>79026.41</v>
      </c>
      <c r="BL118" s="1248">
        <v>0</v>
      </c>
      <c r="BM118" s="1248">
        <v>10010.02</v>
      </c>
      <c r="BN118" s="1248">
        <v>16332.14</v>
      </c>
      <c r="BO118" s="1248">
        <v>-0.03</v>
      </c>
      <c r="BP118" s="1249">
        <v>105368.54</v>
      </c>
      <c r="BQ118" s="1247">
        <v>520571.66</v>
      </c>
      <c r="BR118" s="1248">
        <v>0</v>
      </c>
      <c r="BS118" s="1248">
        <v>443381.22</v>
      </c>
      <c r="BT118" s="1248">
        <v>77190.42</v>
      </c>
      <c r="BU118" s="1248">
        <v>-0.08</v>
      </c>
      <c r="BV118" s="1249">
        <v>1041143.22</v>
      </c>
      <c r="BW118" s="1247">
        <v>89686.39</v>
      </c>
      <c r="BX118" s="1248">
        <v>0</v>
      </c>
      <c r="BY118" s="1248">
        <v>44388.93</v>
      </c>
      <c r="BZ118" s="1248">
        <v>24593.72</v>
      </c>
      <c r="CA118" s="1248">
        <v>-26.67</v>
      </c>
      <c r="CB118" s="1249">
        <v>158642.37</v>
      </c>
      <c r="CC118" s="1247">
        <v>9856.17</v>
      </c>
      <c r="CD118" s="1248">
        <v>0</v>
      </c>
      <c r="CE118" s="1248">
        <v>0</v>
      </c>
      <c r="CF118" s="1248">
        <v>17370.810000000001</v>
      </c>
      <c r="CG118" s="1248">
        <v>0</v>
      </c>
      <c r="CH118" s="1249">
        <v>27226.98</v>
      </c>
      <c r="CI118" s="1247">
        <v>145.96</v>
      </c>
      <c r="CJ118" s="1248">
        <v>0</v>
      </c>
      <c r="CK118" s="1248">
        <v>0</v>
      </c>
      <c r="CL118" s="1248">
        <v>457.16</v>
      </c>
      <c r="CM118" s="1248">
        <v>0</v>
      </c>
      <c r="CN118" s="1249">
        <v>603.12</v>
      </c>
      <c r="CO118" s="1247">
        <v>29194.15</v>
      </c>
      <c r="CP118" s="1248">
        <v>0</v>
      </c>
      <c r="CQ118" s="1248">
        <v>0</v>
      </c>
      <c r="CR118" s="1248">
        <v>0</v>
      </c>
      <c r="CS118" s="1248">
        <v>0</v>
      </c>
      <c r="CT118" s="1249">
        <v>29194.15</v>
      </c>
      <c r="CU118" s="1244"/>
      <c r="CV118" s="1245"/>
      <c r="CW118" s="1245"/>
      <c r="CX118" s="1245"/>
      <c r="CY118" s="1245"/>
      <c r="CZ118" s="1246"/>
      <c r="DA118" s="1247">
        <v>656646</v>
      </c>
      <c r="DB118" s="1248">
        <v>0</v>
      </c>
      <c r="DC118" s="1248">
        <v>0</v>
      </c>
      <c r="DD118" s="1248">
        <v>0</v>
      </c>
      <c r="DE118" s="1248">
        <v>835.91</v>
      </c>
      <c r="DF118" s="1249">
        <v>657481.91</v>
      </c>
      <c r="DG118" s="1247">
        <v>2118.8000000000002</v>
      </c>
      <c r="DH118" s="1248">
        <v>0</v>
      </c>
      <c r="DI118" s="1248">
        <v>1461.98</v>
      </c>
      <c r="DJ118" s="1248">
        <v>656.82</v>
      </c>
      <c r="DK118" s="1248">
        <v>0</v>
      </c>
      <c r="DL118" s="1249">
        <v>4237.6000000000004</v>
      </c>
      <c r="DM118" s="1247">
        <v>6202.73</v>
      </c>
      <c r="DN118" s="1248">
        <v>0</v>
      </c>
      <c r="DO118" s="1248">
        <v>36.93</v>
      </c>
      <c r="DP118" s="1248">
        <v>1144.55</v>
      </c>
      <c r="DQ118" s="1248">
        <v>0</v>
      </c>
      <c r="DR118" s="1249">
        <v>7384.21</v>
      </c>
      <c r="DS118" s="1244"/>
      <c r="DT118" s="1245"/>
      <c r="DU118" s="1245"/>
      <c r="DV118" s="1245"/>
      <c r="DW118" s="1245"/>
      <c r="DX118" s="1246"/>
    </row>
    <row r="119" spans="1:128" ht="15" customHeight="1">
      <c r="A119" s="1092" t="s">
        <v>193</v>
      </c>
      <c r="B119" s="1239" t="s">
        <v>194</v>
      </c>
      <c r="C119" s="1467" t="s">
        <v>275</v>
      </c>
      <c r="D119" s="1240">
        <f t="shared" si="10"/>
        <v>97418.63</v>
      </c>
      <c r="E119" s="1241">
        <f t="shared" si="8"/>
        <v>35940.639999999999</v>
      </c>
      <c r="F119" s="1242">
        <f t="shared" si="11"/>
        <v>21828.38</v>
      </c>
      <c r="G119" s="1243">
        <f t="shared" si="9"/>
        <v>15768.53</v>
      </c>
      <c r="H119" s="1242">
        <f t="shared" si="9"/>
        <v>6059.8499999999995</v>
      </c>
      <c r="I119" s="1244"/>
      <c r="J119" s="1245"/>
      <c r="K119" s="1245"/>
      <c r="L119" s="1245"/>
      <c r="M119" s="1245"/>
      <c r="N119" s="1246"/>
      <c r="O119" s="1247">
        <v>0</v>
      </c>
      <c r="P119" s="1248">
        <v>0</v>
      </c>
      <c r="Q119" s="1248">
        <v>0</v>
      </c>
      <c r="R119" s="1248">
        <v>0</v>
      </c>
      <c r="S119" s="1248">
        <v>6060</v>
      </c>
      <c r="T119" s="1249">
        <v>6060</v>
      </c>
      <c r="U119" s="1247">
        <v>916.65</v>
      </c>
      <c r="V119" s="1248">
        <v>0</v>
      </c>
      <c r="W119" s="1248">
        <v>5.46</v>
      </c>
      <c r="X119" s="1248">
        <v>169.15</v>
      </c>
      <c r="Y119" s="1248">
        <v>-0.01</v>
      </c>
      <c r="Z119" s="1249">
        <v>1091.25</v>
      </c>
      <c r="AA119" s="1247">
        <v>3017.85</v>
      </c>
      <c r="AB119" s="1248">
        <v>0</v>
      </c>
      <c r="AC119" s="1248">
        <v>0</v>
      </c>
      <c r="AD119" s="1248">
        <v>754.54</v>
      </c>
      <c r="AE119" s="1248">
        <v>0</v>
      </c>
      <c r="AF119" s="1249">
        <v>3772.39</v>
      </c>
      <c r="AG119" s="1244"/>
      <c r="AH119" s="1245"/>
      <c r="AI119" s="1245"/>
      <c r="AJ119" s="1245"/>
      <c r="AK119" s="1245"/>
      <c r="AL119" s="1246"/>
      <c r="AM119" s="1247">
        <v>929.8</v>
      </c>
      <c r="AN119" s="1248">
        <v>0</v>
      </c>
      <c r="AO119" s="1248">
        <v>232.45</v>
      </c>
      <c r="AP119" s="1248">
        <v>0</v>
      </c>
      <c r="AQ119" s="1248">
        <v>0</v>
      </c>
      <c r="AR119" s="1249">
        <v>1162.25</v>
      </c>
      <c r="AS119" s="1247">
        <v>428.15</v>
      </c>
      <c r="AT119" s="1248">
        <v>0</v>
      </c>
      <c r="AU119" s="1248">
        <v>107.04</v>
      </c>
      <c r="AV119" s="1248">
        <v>0</v>
      </c>
      <c r="AW119" s="1248">
        <v>0</v>
      </c>
      <c r="AX119" s="1249">
        <v>535.19000000000005</v>
      </c>
      <c r="AY119" s="1244"/>
      <c r="AZ119" s="1245"/>
      <c r="BA119" s="1245"/>
      <c r="BB119" s="1245"/>
      <c r="BC119" s="1245"/>
      <c r="BD119" s="1246"/>
      <c r="BE119" s="1244"/>
      <c r="BF119" s="1245"/>
      <c r="BG119" s="1245"/>
      <c r="BH119" s="1245"/>
      <c r="BI119" s="1245"/>
      <c r="BJ119" s="1246"/>
      <c r="BK119" s="1247">
        <v>10696.67</v>
      </c>
      <c r="BL119" s="1248">
        <v>0</v>
      </c>
      <c r="BM119" s="1248">
        <v>1354.92</v>
      </c>
      <c r="BN119" s="1248">
        <v>2210.65</v>
      </c>
      <c r="BO119" s="1248">
        <v>-0.05</v>
      </c>
      <c r="BP119" s="1249">
        <v>14262.19</v>
      </c>
      <c r="BQ119" s="1247">
        <v>20066.900000000001</v>
      </c>
      <c r="BR119" s="1248">
        <v>0</v>
      </c>
      <c r="BS119" s="1248">
        <v>16919.099999999999</v>
      </c>
      <c r="BT119" s="1248">
        <v>3147.8</v>
      </c>
      <c r="BU119" s="1248">
        <v>0</v>
      </c>
      <c r="BV119" s="1249">
        <v>40133.800000000003</v>
      </c>
      <c r="BW119" s="1247">
        <v>26337.95</v>
      </c>
      <c r="BX119" s="1248">
        <v>0</v>
      </c>
      <c r="BY119" s="1248">
        <v>14452</v>
      </c>
      <c r="BZ119" s="1248">
        <v>7482.19</v>
      </c>
      <c r="CA119" s="1248">
        <v>-0.08</v>
      </c>
      <c r="CB119" s="1249">
        <v>48272.06</v>
      </c>
      <c r="CC119" s="1244"/>
      <c r="CD119" s="1245"/>
      <c r="CE119" s="1245"/>
      <c r="CF119" s="1245"/>
      <c r="CG119" s="1245"/>
      <c r="CH119" s="1246"/>
      <c r="CI119" s="1244"/>
      <c r="CJ119" s="1245"/>
      <c r="CK119" s="1245"/>
      <c r="CL119" s="1245"/>
      <c r="CM119" s="1245"/>
      <c r="CN119" s="1246"/>
      <c r="CO119" s="1247">
        <v>6120</v>
      </c>
      <c r="CP119" s="1248">
        <v>0</v>
      </c>
      <c r="CQ119" s="1248">
        <v>0</v>
      </c>
      <c r="CR119" s="1248">
        <v>0</v>
      </c>
      <c r="CS119" s="1248">
        <v>0</v>
      </c>
      <c r="CT119" s="1249">
        <v>6120</v>
      </c>
      <c r="CU119" s="1244"/>
      <c r="CV119" s="1245"/>
      <c r="CW119" s="1245"/>
      <c r="CX119" s="1245"/>
      <c r="CY119" s="1245"/>
      <c r="CZ119" s="1246"/>
      <c r="DA119" s="1247">
        <v>20848.2</v>
      </c>
      <c r="DB119" s="1248">
        <v>0</v>
      </c>
      <c r="DC119" s="1248">
        <v>0</v>
      </c>
      <c r="DD119" s="1248">
        <v>0</v>
      </c>
      <c r="DE119" s="1248">
        <v>0</v>
      </c>
      <c r="DF119" s="1249">
        <v>20848.2</v>
      </c>
      <c r="DG119" s="1247">
        <v>4125</v>
      </c>
      <c r="DH119" s="1248">
        <v>0</v>
      </c>
      <c r="DI119" s="1248">
        <v>2846.25</v>
      </c>
      <c r="DJ119" s="1248">
        <v>1278.75</v>
      </c>
      <c r="DK119" s="1248">
        <v>0</v>
      </c>
      <c r="DL119" s="1249">
        <v>8250</v>
      </c>
      <c r="DM119" s="1247">
        <v>3931.46</v>
      </c>
      <c r="DN119" s="1248">
        <v>0</v>
      </c>
      <c r="DO119" s="1248">
        <v>23.42</v>
      </c>
      <c r="DP119" s="1248">
        <v>725.45</v>
      </c>
      <c r="DQ119" s="1248">
        <v>-0.01</v>
      </c>
      <c r="DR119" s="1249">
        <v>4680.32</v>
      </c>
      <c r="DS119" s="1244"/>
      <c r="DT119" s="1245"/>
      <c r="DU119" s="1245"/>
      <c r="DV119" s="1245"/>
      <c r="DW119" s="1245"/>
      <c r="DX119" s="1246"/>
    </row>
    <row r="120" spans="1:128" ht="15" customHeight="1">
      <c r="A120" s="1092" t="s">
        <v>197</v>
      </c>
      <c r="B120" s="1239" t="s">
        <v>334</v>
      </c>
      <c r="C120" s="1467" t="s">
        <v>273</v>
      </c>
      <c r="D120" s="1240">
        <f t="shared" si="10"/>
        <v>5450595.1899999995</v>
      </c>
      <c r="E120" s="1241">
        <f t="shared" si="8"/>
        <v>1828355.39</v>
      </c>
      <c r="F120" s="1242">
        <f t="shared" si="11"/>
        <v>315218.58000000007</v>
      </c>
      <c r="G120" s="1243">
        <f t="shared" si="9"/>
        <v>421105.56000000006</v>
      </c>
      <c r="H120" s="1242">
        <f t="shared" si="9"/>
        <v>-105886.98</v>
      </c>
      <c r="I120" s="1244"/>
      <c r="J120" s="1245"/>
      <c r="K120" s="1245"/>
      <c r="L120" s="1245"/>
      <c r="M120" s="1245"/>
      <c r="N120" s="1246"/>
      <c r="O120" s="1247">
        <v>0</v>
      </c>
      <c r="P120" s="1248">
        <v>0</v>
      </c>
      <c r="Q120" s="1248">
        <v>0</v>
      </c>
      <c r="R120" s="1248">
        <v>0</v>
      </c>
      <c r="S120" s="1248">
        <v>31027.61</v>
      </c>
      <c r="T120" s="1249">
        <v>31027.61</v>
      </c>
      <c r="U120" s="1247">
        <v>42575.77</v>
      </c>
      <c r="V120" s="1248">
        <v>0</v>
      </c>
      <c r="W120" s="1248">
        <v>253.43</v>
      </c>
      <c r="X120" s="1248">
        <v>7856.25</v>
      </c>
      <c r="Y120" s="1248">
        <v>-0.03</v>
      </c>
      <c r="Z120" s="1249">
        <v>50685.42</v>
      </c>
      <c r="AA120" s="1247">
        <v>261377.28</v>
      </c>
      <c r="AB120" s="1248">
        <v>0</v>
      </c>
      <c r="AC120" s="1248">
        <v>0</v>
      </c>
      <c r="AD120" s="1248">
        <v>65344.32</v>
      </c>
      <c r="AE120" s="1248">
        <v>67</v>
      </c>
      <c r="AF120" s="1249">
        <v>326788.59999999998</v>
      </c>
      <c r="AG120" s="1247">
        <v>5189.25</v>
      </c>
      <c r="AH120" s="1248">
        <v>0</v>
      </c>
      <c r="AI120" s="1248">
        <v>3580.61</v>
      </c>
      <c r="AJ120" s="1248">
        <v>1608.69</v>
      </c>
      <c r="AK120" s="1248">
        <v>-0.05</v>
      </c>
      <c r="AL120" s="1249">
        <v>10378.5</v>
      </c>
      <c r="AM120" s="1247">
        <v>42451.19</v>
      </c>
      <c r="AN120" s="1248">
        <v>0</v>
      </c>
      <c r="AO120" s="1248">
        <v>10612.82</v>
      </c>
      <c r="AP120" s="1248">
        <v>0</v>
      </c>
      <c r="AQ120" s="1248">
        <v>0</v>
      </c>
      <c r="AR120" s="1249">
        <v>53064.01</v>
      </c>
      <c r="AS120" s="1247">
        <v>54714.080000000002</v>
      </c>
      <c r="AT120" s="1248">
        <v>0</v>
      </c>
      <c r="AU120" s="1248">
        <v>13678.55</v>
      </c>
      <c r="AV120" s="1248">
        <v>0</v>
      </c>
      <c r="AW120" s="1248">
        <v>0</v>
      </c>
      <c r="AX120" s="1249">
        <v>68392.63</v>
      </c>
      <c r="AY120" s="1244"/>
      <c r="AZ120" s="1245"/>
      <c r="BA120" s="1245"/>
      <c r="BB120" s="1245"/>
      <c r="BC120" s="1245"/>
      <c r="BD120" s="1246"/>
      <c r="BE120" s="1247">
        <v>4134.2700000000004</v>
      </c>
      <c r="BF120" s="1248">
        <v>0</v>
      </c>
      <c r="BG120" s="1248">
        <v>7465.82</v>
      </c>
      <c r="BH120" s="1248">
        <v>0</v>
      </c>
      <c r="BI120" s="1248">
        <v>0</v>
      </c>
      <c r="BJ120" s="1249">
        <v>11600.09</v>
      </c>
      <c r="BK120" s="1247">
        <v>109649.34</v>
      </c>
      <c r="BL120" s="1248">
        <v>0</v>
      </c>
      <c r="BM120" s="1248">
        <v>13888.95</v>
      </c>
      <c r="BN120" s="1248">
        <v>22660.86</v>
      </c>
      <c r="BO120" s="1248">
        <v>-0.06</v>
      </c>
      <c r="BP120" s="1249">
        <v>146199.09</v>
      </c>
      <c r="BQ120" s="1247">
        <v>1915968.65</v>
      </c>
      <c r="BR120" s="1248">
        <v>0</v>
      </c>
      <c r="BS120" s="1248">
        <v>1660960.01</v>
      </c>
      <c r="BT120" s="1248">
        <v>255008.66</v>
      </c>
      <c r="BU120" s="1248">
        <v>-59731.040000000001</v>
      </c>
      <c r="BV120" s="1249">
        <v>3772206.28</v>
      </c>
      <c r="BW120" s="1247">
        <v>142180.10999999999</v>
      </c>
      <c r="BX120" s="1248">
        <v>0</v>
      </c>
      <c r="BY120" s="1248">
        <v>97645.75</v>
      </c>
      <c r="BZ120" s="1248">
        <v>43991.81</v>
      </c>
      <c r="CA120" s="1248">
        <v>-0.39</v>
      </c>
      <c r="CB120" s="1249">
        <v>283817.28000000003</v>
      </c>
      <c r="CC120" s="1247">
        <v>6706.17</v>
      </c>
      <c r="CD120" s="1248">
        <v>0</v>
      </c>
      <c r="CE120" s="1248">
        <v>0</v>
      </c>
      <c r="CF120" s="1248">
        <v>11819.14</v>
      </c>
      <c r="CG120" s="1248">
        <v>0</v>
      </c>
      <c r="CH120" s="1249">
        <v>18525.310000000001</v>
      </c>
      <c r="CI120" s="1244"/>
      <c r="CJ120" s="1245"/>
      <c r="CK120" s="1245"/>
      <c r="CL120" s="1245"/>
      <c r="CM120" s="1245"/>
      <c r="CN120" s="1246"/>
      <c r="CO120" s="1247">
        <v>44208.24</v>
      </c>
      <c r="CP120" s="1248">
        <v>0</v>
      </c>
      <c r="CQ120" s="1248">
        <v>0</v>
      </c>
      <c r="CR120" s="1248">
        <v>0</v>
      </c>
      <c r="CS120" s="1248">
        <v>0</v>
      </c>
      <c r="CT120" s="1249">
        <v>44208.24</v>
      </c>
      <c r="CU120" s="1244"/>
      <c r="CV120" s="1245"/>
      <c r="CW120" s="1245"/>
      <c r="CX120" s="1245"/>
      <c r="CY120" s="1245"/>
      <c r="CZ120" s="1246"/>
      <c r="DA120" s="1247">
        <v>2771843.34</v>
      </c>
      <c r="DB120" s="1248">
        <v>0</v>
      </c>
      <c r="DC120" s="1248">
        <v>0</v>
      </c>
      <c r="DD120" s="1248">
        <v>0</v>
      </c>
      <c r="DE120" s="1248">
        <v>-82000</v>
      </c>
      <c r="DF120" s="1249">
        <v>2689843.34</v>
      </c>
      <c r="DG120" s="1247">
        <v>29200.02</v>
      </c>
      <c r="DH120" s="1248">
        <v>0</v>
      </c>
      <c r="DI120" s="1248">
        <v>20148.02</v>
      </c>
      <c r="DJ120" s="1248">
        <v>9052</v>
      </c>
      <c r="DK120" s="1248">
        <v>0</v>
      </c>
      <c r="DL120" s="1249">
        <v>58400.04</v>
      </c>
      <c r="DM120" s="1247">
        <v>20397.48</v>
      </c>
      <c r="DN120" s="1248">
        <v>0</v>
      </c>
      <c r="DO120" s="1248">
        <v>121.43</v>
      </c>
      <c r="DP120" s="1248">
        <v>3763.83</v>
      </c>
      <c r="DQ120" s="1248">
        <v>4749.9799999999996</v>
      </c>
      <c r="DR120" s="1249">
        <v>29032.720000000001</v>
      </c>
      <c r="DS120" s="1244"/>
      <c r="DT120" s="1245"/>
      <c r="DU120" s="1245"/>
      <c r="DV120" s="1245"/>
      <c r="DW120" s="1245"/>
      <c r="DX120" s="1246"/>
    </row>
    <row r="121" spans="1:128" ht="15" customHeight="1">
      <c r="A121" s="1092" t="s">
        <v>201</v>
      </c>
      <c r="B121" s="1239" t="s">
        <v>335</v>
      </c>
      <c r="C121" s="1467" t="s">
        <v>272</v>
      </c>
      <c r="D121" s="1240">
        <f t="shared" si="10"/>
        <v>1986655.67</v>
      </c>
      <c r="E121" s="1241">
        <f t="shared" si="8"/>
        <v>682364.16999999981</v>
      </c>
      <c r="F121" s="1242">
        <f t="shared" si="11"/>
        <v>223426.33999999997</v>
      </c>
      <c r="G121" s="1243">
        <f t="shared" si="9"/>
        <v>223426.49999999997</v>
      </c>
      <c r="H121" s="1242">
        <f t="shared" si="9"/>
        <v>-0.16000000000000003</v>
      </c>
      <c r="I121" s="1244"/>
      <c r="J121" s="1245"/>
      <c r="K121" s="1245"/>
      <c r="L121" s="1245"/>
      <c r="M121" s="1245"/>
      <c r="N121" s="1246"/>
      <c r="O121" s="1244"/>
      <c r="P121" s="1245"/>
      <c r="Q121" s="1245"/>
      <c r="R121" s="1245"/>
      <c r="S121" s="1245"/>
      <c r="T121" s="1246"/>
      <c r="U121" s="1247">
        <v>21680.080000000002</v>
      </c>
      <c r="V121" s="1248">
        <v>0</v>
      </c>
      <c r="W121" s="1248">
        <v>129.05000000000001</v>
      </c>
      <c r="X121" s="1248">
        <v>4000.49</v>
      </c>
      <c r="Y121" s="1248">
        <v>0.01</v>
      </c>
      <c r="Z121" s="1249">
        <v>25809.63</v>
      </c>
      <c r="AA121" s="1247">
        <v>70697.98</v>
      </c>
      <c r="AB121" s="1248">
        <v>0</v>
      </c>
      <c r="AC121" s="1248">
        <v>0</v>
      </c>
      <c r="AD121" s="1248">
        <v>17674.5</v>
      </c>
      <c r="AE121" s="1248">
        <v>0</v>
      </c>
      <c r="AF121" s="1249">
        <v>88372.479999999996</v>
      </c>
      <c r="AG121" s="1247">
        <v>22790.35</v>
      </c>
      <c r="AH121" s="1248">
        <v>0</v>
      </c>
      <c r="AI121" s="1248">
        <v>2444.62</v>
      </c>
      <c r="AJ121" s="1248">
        <v>4628.93</v>
      </c>
      <c r="AK121" s="1248">
        <v>-0.04</v>
      </c>
      <c r="AL121" s="1249">
        <v>29863.86</v>
      </c>
      <c r="AM121" s="1247">
        <v>20889.57</v>
      </c>
      <c r="AN121" s="1248">
        <v>0</v>
      </c>
      <c r="AO121" s="1248">
        <v>5222.3900000000003</v>
      </c>
      <c r="AP121" s="1248">
        <v>0</v>
      </c>
      <c r="AQ121" s="1248">
        <v>0</v>
      </c>
      <c r="AR121" s="1249">
        <v>26111.96</v>
      </c>
      <c r="AS121" s="1247">
        <v>40312.199999999997</v>
      </c>
      <c r="AT121" s="1248">
        <v>0</v>
      </c>
      <c r="AU121" s="1248">
        <v>10078.06</v>
      </c>
      <c r="AV121" s="1248">
        <v>0</v>
      </c>
      <c r="AW121" s="1248">
        <v>0</v>
      </c>
      <c r="AX121" s="1249">
        <v>50390.26</v>
      </c>
      <c r="AY121" s="1244"/>
      <c r="AZ121" s="1245"/>
      <c r="BA121" s="1245"/>
      <c r="BB121" s="1245"/>
      <c r="BC121" s="1245"/>
      <c r="BD121" s="1246"/>
      <c r="BE121" s="1247">
        <v>3006.24</v>
      </c>
      <c r="BF121" s="1248">
        <v>0</v>
      </c>
      <c r="BG121" s="1248">
        <v>5428.76</v>
      </c>
      <c r="BH121" s="1248">
        <v>0</v>
      </c>
      <c r="BI121" s="1248">
        <v>0</v>
      </c>
      <c r="BJ121" s="1249">
        <v>8435</v>
      </c>
      <c r="BK121" s="1247">
        <v>49748.4</v>
      </c>
      <c r="BL121" s="1248">
        <v>0</v>
      </c>
      <c r="BM121" s="1248">
        <v>6301.46</v>
      </c>
      <c r="BN121" s="1248">
        <v>10281.33</v>
      </c>
      <c r="BO121" s="1248">
        <v>-0.01</v>
      </c>
      <c r="BP121" s="1249">
        <v>66331.179999999993</v>
      </c>
      <c r="BQ121" s="1247">
        <v>571015.13</v>
      </c>
      <c r="BR121" s="1248">
        <v>0</v>
      </c>
      <c r="BS121" s="1248">
        <v>475630.1</v>
      </c>
      <c r="BT121" s="1248">
        <v>95385.03</v>
      </c>
      <c r="BU121" s="1248">
        <v>0.01</v>
      </c>
      <c r="BV121" s="1249">
        <v>1142030.27</v>
      </c>
      <c r="BW121" s="1247">
        <v>238161.43</v>
      </c>
      <c r="BX121" s="1248">
        <v>0</v>
      </c>
      <c r="BY121" s="1248">
        <v>147615.25</v>
      </c>
      <c r="BZ121" s="1248">
        <v>70763.759999999995</v>
      </c>
      <c r="CA121" s="1248">
        <v>-0.11</v>
      </c>
      <c r="CB121" s="1249">
        <v>456540.33</v>
      </c>
      <c r="CC121" s="1247">
        <v>6041.01</v>
      </c>
      <c r="CD121" s="1248">
        <v>0</v>
      </c>
      <c r="CE121" s="1248">
        <v>0</v>
      </c>
      <c r="CF121" s="1248">
        <v>10646.88</v>
      </c>
      <c r="CG121" s="1248">
        <v>-0.01</v>
      </c>
      <c r="CH121" s="1249">
        <v>16687.88</v>
      </c>
      <c r="CI121" s="1244"/>
      <c r="CJ121" s="1245"/>
      <c r="CK121" s="1245"/>
      <c r="CL121" s="1245"/>
      <c r="CM121" s="1245"/>
      <c r="CN121" s="1246"/>
      <c r="CO121" s="1247">
        <v>36844.019999999997</v>
      </c>
      <c r="CP121" s="1248">
        <v>0</v>
      </c>
      <c r="CQ121" s="1248">
        <v>0</v>
      </c>
      <c r="CR121" s="1248">
        <v>0</v>
      </c>
      <c r="CS121" s="1248">
        <v>0</v>
      </c>
      <c r="CT121" s="1249">
        <v>36844.019999999997</v>
      </c>
      <c r="CU121" s="1247">
        <v>28537.9</v>
      </c>
      <c r="CV121" s="1248">
        <v>0</v>
      </c>
      <c r="CW121" s="1248">
        <v>22830.32</v>
      </c>
      <c r="CX121" s="1248">
        <v>5707.58</v>
      </c>
      <c r="CY121" s="1248">
        <v>0</v>
      </c>
      <c r="CZ121" s="1249">
        <v>57075.8</v>
      </c>
      <c r="DA121" s="1247">
        <v>859966.44</v>
      </c>
      <c r="DB121" s="1248">
        <v>0</v>
      </c>
      <c r="DC121" s="1248">
        <v>0</v>
      </c>
      <c r="DD121" s="1248">
        <v>0</v>
      </c>
      <c r="DE121" s="1248">
        <v>0</v>
      </c>
      <c r="DF121" s="1249">
        <v>859966.44</v>
      </c>
      <c r="DG121" s="1247">
        <v>9623.8700000000008</v>
      </c>
      <c r="DH121" s="1248">
        <v>0</v>
      </c>
      <c r="DI121" s="1248">
        <v>6640.47</v>
      </c>
      <c r="DJ121" s="1248">
        <v>2983.39</v>
      </c>
      <c r="DK121" s="1248">
        <v>-0.01</v>
      </c>
      <c r="DL121" s="1249">
        <v>19247.72</v>
      </c>
      <c r="DM121" s="1247">
        <v>7341.05</v>
      </c>
      <c r="DN121" s="1248">
        <v>0</v>
      </c>
      <c r="DO121" s="1248">
        <v>43.69</v>
      </c>
      <c r="DP121" s="1248">
        <v>1354.61</v>
      </c>
      <c r="DQ121" s="1248">
        <v>0</v>
      </c>
      <c r="DR121" s="1249">
        <v>8739.35</v>
      </c>
      <c r="DS121" s="1244"/>
      <c r="DT121" s="1245"/>
      <c r="DU121" s="1245"/>
      <c r="DV121" s="1245"/>
      <c r="DW121" s="1245"/>
      <c r="DX121" s="1246"/>
    </row>
    <row r="122" spans="1:128" ht="15" customHeight="1">
      <c r="A122" s="1092" t="s">
        <v>223</v>
      </c>
      <c r="B122" s="1239" t="s">
        <v>224</v>
      </c>
      <c r="C122" s="1467" t="s">
        <v>271</v>
      </c>
      <c r="D122" s="1240">
        <f t="shared" si="10"/>
        <v>552441.61</v>
      </c>
      <c r="E122" s="1241">
        <f t="shared" si="8"/>
        <v>141855.49</v>
      </c>
      <c r="F122" s="1242">
        <f t="shared" si="11"/>
        <v>119771.02</v>
      </c>
      <c r="G122" s="1243">
        <f t="shared" si="9"/>
        <v>76840.69</v>
      </c>
      <c r="H122" s="1242">
        <f t="shared" si="9"/>
        <v>42930.33</v>
      </c>
      <c r="I122" s="1244"/>
      <c r="J122" s="1245"/>
      <c r="K122" s="1245"/>
      <c r="L122" s="1245"/>
      <c r="M122" s="1245"/>
      <c r="N122" s="1246"/>
      <c r="O122" s="1247">
        <v>0</v>
      </c>
      <c r="P122" s="1248">
        <v>0</v>
      </c>
      <c r="Q122" s="1248">
        <v>0</v>
      </c>
      <c r="R122" s="1248">
        <v>0</v>
      </c>
      <c r="S122" s="1248">
        <v>42873.68</v>
      </c>
      <c r="T122" s="1249">
        <v>42873.68</v>
      </c>
      <c r="U122" s="1247">
        <v>15283.8</v>
      </c>
      <c r="V122" s="1248">
        <v>0</v>
      </c>
      <c r="W122" s="1248">
        <v>90.99</v>
      </c>
      <c r="X122" s="1248">
        <v>2820.23</v>
      </c>
      <c r="Y122" s="1248">
        <v>-0.02</v>
      </c>
      <c r="Z122" s="1249">
        <v>18195</v>
      </c>
      <c r="AA122" s="1247">
        <v>77227.17</v>
      </c>
      <c r="AB122" s="1248">
        <v>0</v>
      </c>
      <c r="AC122" s="1248">
        <v>0</v>
      </c>
      <c r="AD122" s="1248">
        <v>19306.830000000002</v>
      </c>
      <c r="AE122" s="1248">
        <v>56.88</v>
      </c>
      <c r="AF122" s="1249">
        <v>96590.88</v>
      </c>
      <c r="AG122" s="1244"/>
      <c r="AH122" s="1245"/>
      <c r="AI122" s="1245"/>
      <c r="AJ122" s="1245"/>
      <c r="AK122" s="1245"/>
      <c r="AL122" s="1246"/>
      <c r="AM122" s="1247">
        <v>4075.21</v>
      </c>
      <c r="AN122" s="1248">
        <v>0</v>
      </c>
      <c r="AO122" s="1248">
        <v>1018.79</v>
      </c>
      <c r="AP122" s="1248">
        <v>0</v>
      </c>
      <c r="AQ122" s="1248">
        <v>0</v>
      </c>
      <c r="AR122" s="1249">
        <v>5094</v>
      </c>
      <c r="AS122" s="1247">
        <v>10081.280000000001</v>
      </c>
      <c r="AT122" s="1248">
        <v>0</v>
      </c>
      <c r="AU122" s="1248">
        <v>2520.33</v>
      </c>
      <c r="AV122" s="1248">
        <v>0</v>
      </c>
      <c r="AW122" s="1248">
        <v>0</v>
      </c>
      <c r="AX122" s="1249">
        <v>12601.61</v>
      </c>
      <c r="AY122" s="1244"/>
      <c r="AZ122" s="1245"/>
      <c r="BA122" s="1245"/>
      <c r="BB122" s="1245"/>
      <c r="BC122" s="1245"/>
      <c r="BD122" s="1246"/>
      <c r="BE122" s="1244"/>
      <c r="BF122" s="1245"/>
      <c r="BG122" s="1245"/>
      <c r="BH122" s="1245"/>
      <c r="BI122" s="1245"/>
      <c r="BJ122" s="1246"/>
      <c r="BK122" s="1247">
        <v>40986.75</v>
      </c>
      <c r="BL122" s="1248">
        <v>0</v>
      </c>
      <c r="BM122" s="1248">
        <v>5191.6400000000003</v>
      </c>
      <c r="BN122" s="1248">
        <v>8470.61</v>
      </c>
      <c r="BO122" s="1248">
        <v>0</v>
      </c>
      <c r="BP122" s="1249">
        <v>54649</v>
      </c>
      <c r="BQ122" s="1247">
        <v>119777.3</v>
      </c>
      <c r="BR122" s="1248">
        <v>0</v>
      </c>
      <c r="BS122" s="1248">
        <v>102665.04</v>
      </c>
      <c r="BT122" s="1248">
        <v>17112.259999999998</v>
      </c>
      <c r="BU122" s="1248">
        <v>0</v>
      </c>
      <c r="BV122" s="1249">
        <v>239554.6</v>
      </c>
      <c r="BW122" s="1247">
        <v>36097.589999999997</v>
      </c>
      <c r="BX122" s="1248">
        <v>0</v>
      </c>
      <c r="BY122" s="1248">
        <v>24351.84</v>
      </c>
      <c r="BZ122" s="1248">
        <v>11088.32</v>
      </c>
      <c r="CA122" s="1248">
        <v>-0.2</v>
      </c>
      <c r="CB122" s="1249">
        <v>71537.55</v>
      </c>
      <c r="CC122" s="1247">
        <v>6335.02</v>
      </c>
      <c r="CD122" s="1248">
        <v>0</v>
      </c>
      <c r="CE122" s="1248">
        <v>0</v>
      </c>
      <c r="CF122" s="1248">
        <v>11164.98</v>
      </c>
      <c r="CG122" s="1248">
        <v>0</v>
      </c>
      <c r="CH122" s="1249">
        <v>17500</v>
      </c>
      <c r="CI122" s="1247">
        <v>484.01</v>
      </c>
      <c r="CJ122" s="1248">
        <v>0</v>
      </c>
      <c r="CK122" s="1248">
        <v>0</v>
      </c>
      <c r="CL122" s="1248">
        <v>1515.99</v>
      </c>
      <c r="CM122" s="1248">
        <v>0</v>
      </c>
      <c r="CN122" s="1249">
        <v>2000</v>
      </c>
      <c r="CO122" s="1247">
        <v>14297</v>
      </c>
      <c r="CP122" s="1248">
        <v>0</v>
      </c>
      <c r="CQ122" s="1248">
        <v>0</v>
      </c>
      <c r="CR122" s="1248">
        <v>0</v>
      </c>
      <c r="CS122" s="1248">
        <v>0</v>
      </c>
      <c r="CT122" s="1249">
        <v>14297</v>
      </c>
      <c r="CU122" s="1244"/>
      <c r="CV122" s="1245"/>
      <c r="CW122" s="1245"/>
      <c r="CX122" s="1245"/>
      <c r="CY122" s="1245"/>
      <c r="CZ122" s="1246"/>
      <c r="DA122" s="1247">
        <v>204584.8</v>
      </c>
      <c r="DB122" s="1248">
        <v>0</v>
      </c>
      <c r="DC122" s="1248">
        <v>0</v>
      </c>
      <c r="DD122" s="1248">
        <v>0</v>
      </c>
      <c r="DE122" s="1248">
        <v>0</v>
      </c>
      <c r="DF122" s="1249">
        <v>204584.8</v>
      </c>
      <c r="DG122" s="1247">
        <v>8594</v>
      </c>
      <c r="DH122" s="1248">
        <v>0</v>
      </c>
      <c r="DI122" s="1248">
        <v>5929.86</v>
      </c>
      <c r="DJ122" s="1248">
        <v>2664.15</v>
      </c>
      <c r="DK122" s="1248">
        <v>-0.01</v>
      </c>
      <c r="DL122" s="1249">
        <v>17188</v>
      </c>
      <c r="DM122" s="1247">
        <v>14617.68</v>
      </c>
      <c r="DN122" s="1248">
        <v>0</v>
      </c>
      <c r="DO122" s="1248">
        <v>87</v>
      </c>
      <c r="DP122" s="1248">
        <v>2697.32</v>
      </c>
      <c r="DQ122" s="1248">
        <v>0</v>
      </c>
      <c r="DR122" s="1249">
        <v>17402</v>
      </c>
      <c r="DS122" s="1244"/>
      <c r="DT122" s="1245"/>
      <c r="DU122" s="1245"/>
      <c r="DV122" s="1245"/>
      <c r="DW122" s="1245"/>
      <c r="DX122" s="1246"/>
    </row>
    <row r="123" spans="1:128" ht="15" customHeight="1">
      <c r="A123" s="1092" t="s">
        <v>231</v>
      </c>
      <c r="B123" s="1239" t="s">
        <v>232</v>
      </c>
      <c r="C123" s="1467" t="s">
        <v>271</v>
      </c>
      <c r="D123" s="1240">
        <f t="shared" si="10"/>
        <v>5057461.1000000006</v>
      </c>
      <c r="E123" s="1241">
        <f t="shared" si="8"/>
        <v>871879.71000000008</v>
      </c>
      <c r="F123" s="1242">
        <f t="shared" si="11"/>
        <v>441780.1</v>
      </c>
      <c r="G123" s="1243">
        <f t="shared" si="9"/>
        <v>325906.58</v>
      </c>
      <c r="H123" s="1242">
        <f t="shared" si="9"/>
        <v>115873.51999999999</v>
      </c>
      <c r="I123" s="1244"/>
      <c r="J123" s="1245"/>
      <c r="K123" s="1245"/>
      <c r="L123" s="1245"/>
      <c r="M123" s="1245"/>
      <c r="N123" s="1246"/>
      <c r="O123" s="1247">
        <v>0</v>
      </c>
      <c r="P123" s="1248">
        <v>0</v>
      </c>
      <c r="Q123" s="1248">
        <v>0</v>
      </c>
      <c r="R123" s="1248">
        <v>0</v>
      </c>
      <c r="S123" s="1248">
        <v>26012</v>
      </c>
      <c r="T123" s="1249">
        <v>26012</v>
      </c>
      <c r="U123" s="1244"/>
      <c r="V123" s="1245"/>
      <c r="W123" s="1245"/>
      <c r="X123" s="1245"/>
      <c r="Y123" s="1245"/>
      <c r="Z123" s="1246"/>
      <c r="AA123" s="1247">
        <v>260133.59</v>
      </c>
      <c r="AB123" s="1248">
        <v>0</v>
      </c>
      <c r="AC123" s="1248">
        <v>0</v>
      </c>
      <c r="AD123" s="1248">
        <v>65033.41</v>
      </c>
      <c r="AE123" s="1248">
        <v>44237.83</v>
      </c>
      <c r="AF123" s="1249">
        <v>369404.83</v>
      </c>
      <c r="AG123" s="1247">
        <v>42202.83</v>
      </c>
      <c r="AH123" s="1248">
        <v>0</v>
      </c>
      <c r="AI123" s="1248">
        <v>7528.47</v>
      </c>
      <c r="AJ123" s="1248">
        <v>9122.34</v>
      </c>
      <c r="AK123" s="1248">
        <v>-7.0000000000000007E-2</v>
      </c>
      <c r="AL123" s="1249">
        <v>58853.57</v>
      </c>
      <c r="AM123" s="1247">
        <v>15655.5</v>
      </c>
      <c r="AN123" s="1248">
        <v>0</v>
      </c>
      <c r="AO123" s="1248">
        <v>3913.88</v>
      </c>
      <c r="AP123" s="1248">
        <v>0</v>
      </c>
      <c r="AQ123" s="1248">
        <v>0</v>
      </c>
      <c r="AR123" s="1249">
        <v>19569.38</v>
      </c>
      <c r="AS123" s="1247">
        <v>35902.980000000003</v>
      </c>
      <c r="AT123" s="1248">
        <v>0</v>
      </c>
      <c r="AU123" s="1248">
        <v>8975.74</v>
      </c>
      <c r="AV123" s="1248">
        <v>0</v>
      </c>
      <c r="AW123" s="1248">
        <v>0</v>
      </c>
      <c r="AX123" s="1249">
        <v>44878.720000000001</v>
      </c>
      <c r="AY123" s="1244"/>
      <c r="AZ123" s="1245"/>
      <c r="BA123" s="1245"/>
      <c r="BB123" s="1245"/>
      <c r="BC123" s="1245"/>
      <c r="BD123" s="1246"/>
      <c r="BE123" s="1247">
        <v>4095.03</v>
      </c>
      <c r="BF123" s="1248">
        <v>0</v>
      </c>
      <c r="BG123" s="1248">
        <v>7394.97</v>
      </c>
      <c r="BH123" s="1248">
        <v>0</v>
      </c>
      <c r="BI123" s="1248">
        <v>0</v>
      </c>
      <c r="BJ123" s="1249">
        <v>11490</v>
      </c>
      <c r="BK123" s="1247">
        <v>192192.14</v>
      </c>
      <c r="BL123" s="1248">
        <v>0</v>
      </c>
      <c r="BM123" s="1248">
        <v>24344.34</v>
      </c>
      <c r="BN123" s="1248">
        <v>39719.69</v>
      </c>
      <c r="BO123" s="1248">
        <v>-0.09</v>
      </c>
      <c r="BP123" s="1249">
        <v>256256.08</v>
      </c>
      <c r="BQ123" s="1247">
        <v>901531.19</v>
      </c>
      <c r="BR123" s="1248">
        <v>0</v>
      </c>
      <c r="BS123" s="1248">
        <v>766967.25</v>
      </c>
      <c r="BT123" s="1248">
        <v>134563.94</v>
      </c>
      <c r="BU123" s="1248">
        <v>17734.060000000001</v>
      </c>
      <c r="BV123" s="1249">
        <v>1820796.44</v>
      </c>
      <c r="BW123" s="1247">
        <v>90747.72</v>
      </c>
      <c r="BX123" s="1248">
        <v>0</v>
      </c>
      <c r="BY123" s="1248">
        <v>59490.68</v>
      </c>
      <c r="BZ123" s="1248">
        <v>27558.66</v>
      </c>
      <c r="CA123" s="1248">
        <v>-8068.86</v>
      </c>
      <c r="CB123" s="1249">
        <v>169728.2</v>
      </c>
      <c r="CC123" s="1247">
        <v>22928.84</v>
      </c>
      <c r="CD123" s="1248">
        <v>0</v>
      </c>
      <c r="CE123" s="1248">
        <v>0</v>
      </c>
      <c r="CF123" s="1248">
        <v>40410.519999999997</v>
      </c>
      <c r="CG123" s="1248">
        <v>-0.06</v>
      </c>
      <c r="CH123" s="1249">
        <v>63339.3</v>
      </c>
      <c r="CI123" s="1247">
        <v>55.66</v>
      </c>
      <c r="CJ123" s="1248">
        <v>0</v>
      </c>
      <c r="CK123" s="1248">
        <v>0</v>
      </c>
      <c r="CL123" s="1248">
        <v>174.34</v>
      </c>
      <c r="CM123" s="1248">
        <v>0</v>
      </c>
      <c r="CN123" s="1249">
        <v>230</v>
      </c>
      <c r="CO123" s="1247">
        <v>8189.7</v>
      </c>
      <c r="CP123" s="1248">
        <v>0</v>
      </c>
      <c r="CQ123" s="1248">
        <v>0</v>
      </c>
      <c r="CR123" s="1248">
        <v>0</v>
      </c>
      <c r="CS123" s="1248">
        <v>0</v>
      </c>
      <c r="CT123" s="1249">
        <v>8189.7</v>
      </c>
      <c r="CU123" s="1247">
        <v>-8867</v>
      </c>
      <c r="CV123" s="1248">
        <v>0</v>
      </c>
      <c r="CW123" s="1248">
        <v>-7093.6</v>
      </c>
      <c r="CX123" s="1248">
        <v>-1773.4</v>
      </c>
      <c r="CY123" s="1248">
        <v>0</v>
      </c>
      <c r="CZ123" s="1249">
        <v>-17734</v>
      </c>
      <c r="DA123" s="1247">
        <v>3432553.98</v>
      </c>
      <c r="DB123" s="1248">
        <v>0</v>
      </c>
      <c r="DC123" s="1248">
        <v>0</v>
      </c>
      <c r="DD123" s="1248">
        <v>0</v>
      </c>
      <c r="DE123" s="1248">
        <v>0</v>
      </c>
      <c r="DF123" s="1249">
        <v>3432553.98</v>
      </c>
      <c r="DG123" s="1244"/>
      <c r="DH123" s="1245"/>
      <c r="DI123" s="1245"/>
      <c r="DJ123" s="1245"/>
      <c r="DK123" s="1245"/>
      <c r="DL123" s="1246"/>
      <c r="DM123" s="1247">
        <v>60138.94</v>
      </c>
      <c r="DN123" s="1248">
        <v>0</v>
      </c>
      <c r="DO123" s="1248">
        <v>357.98</v>
      </c>
      <c r="DP123" s="1248">
        <v>11097.08</v>
      </c>
      <c r="DQ123" s="1248">
        <v>35958.71</v>
      </c>
      <c r="DR123" s="1249">
        <v>107552.71</v>
      </c>
      <c r="DS123" s="1244"/>
      <c r="DT123" s="1245"/>
      <c r="DU123" s="1245"/>
      <c r="DV123" s="1245"/>
      <c r="DW123" s="1245"/>
      <c r="DX123" s="1246"/>
    </row>
    <row r="124" spans="1:128" ht="15" customHeight="1">
      <c r="A124" s="1092" t="s">
        <v>239</v>
      </c>
      <c r="B124" s="1239" t="s">
        <v>240</v>
      </c>
      <c r="C124" s="1467" t="s">
        <v>271</v>
      </c>
      <c r="D124" s="1240">
        <f t="shared" si="10"/>
        <v>126391.36</v>
      </c>
      <c r="E124" s="1241">
        <f t="shared" si="8"/>
        <v>40165.600000000006</v>
      </c>
      <c r="F124" s="1242">
        <f t="shared" si="11"/>
        <v>20244.830000000002</v>
      </c>
      <c r="G124" s="1243">
        <f t="shared" si="9"/>
        <v>14877.630000000001</v>
      </c>
      <c r="H124" s="1242">
        <f t="shared" si="9"/>
        <v>5367.2</v>
      </c>
      <c r="I124" s="1244"/>
      <c r="J124" s="1245"/>
      <c r="K124" s="1245"/>
      <c r="L124" s="1245"/>
      <c r="M124" s="1245"/>
      <c r="N124" s="1246"/>
      <c r="O124" s="1244"/>
      <c r="P124" s="1245"/>
      <c r="Q124" s="1245"/>
      <c r="R124" s="1245"/>
      <c r="S124" s="1245"/>
      <c r="T124" s="1246"/>
      <c r="U124" s="1247">
        <v>588.48</v>
      </c>
      <c r="V124" s="1248">
        <v>0</v>
      </c>
      <c r="W124" s="1248">
        <v>3.52</v>
      </c>
      <c r="X124" s="1248">
        <v>108.6</v>
      </c>
      <c r="Y124" s="1248">
        <v>-0.02</v>
      </c>
      <c r="Z124" s="1249">
        <v>700.58</v>
      </c>
      <c r="AA124" s="1247">
        <v>11955.66</v>
      </c>
      <c r="AB124" s="1248">
        <v>0</v>
      </c>
      <c r="AC124" s="1248">
        <v>0</v>
      </c>
      <c r="AD124" s="1248">
        <v>2988.89</v>
      </c>
      <c r="AE124" s="1248">
        <v>0</v>
      </c>
      <c r="AF124" s="1249">
        <v>14944.55</v>
      </c>
      <c r="AG124" s="1244"/>
      <c r="AH124" s="1245"/>
      <c r="AI124" s="1245"/>
      <c r="AJ124" s="1245"/>
      <c r="AK124" s="1245"/>
      <c r="AL124" s="1246"/>
      <c r="AM124" s="1244"/>
      <c r="AN124" s="1245"/>
      <c r="AO124" s="1245"/>
      <c r="AP124" s="1245"/>
      <c r="AQ124" s="1245"/>
      <c r="AR124" s="1246"/>
      <c r="AS124" s="1244"/>
      <c r="AT124" s="1245"/>
      <c r="AU124" s="1245"/>
      <c r="AV124" s="1245"/>
      <c r="AW124" s="1245"/>
      <c r="AX124" s="1246"/>
      <c r="AY124" s="1244"/>
      <c r="AZ124" s="1245"/>
      <c r="BA124" s="1245"/>
      <c r="BB124" s="1245"/>
      <c r="BC124" s="1245"/>
      <c r="BD124" s="1246"/>
      <c r="BE124" s="1244"/>
      <c r="BF124" s="1245"/>
      <c r="BG124" s="1245"/>
      <c r="BH124" s="1245"/>
      <c r="BI124" s="1245"/>
      <c r="BJ124" s="1246"/>
      <c r="BK124" s="1244"/>
      <c r="BL124" s="1245"/>
      <c r="BM124" s="1245"/>
      <c r="BN124" s="1245"/>
      <c r="BO124" s="1245"/>
      <c r="BP124" s="1246"/>
      <c r="BQ124" s="1247">
        <v>29223.5</v>
      </c>
      <c r="BR124" s="1248">
        <v>0</v>
      </c>
      <c r="BS124" s="1248">
        <v>25123.7</v>
      </c>
      <c r="BT124" s="1248">
        <v>4099.8</v>
      </c>
      <c r="BU124" s="1248">
        <v>0</v>
      </c>
      <c r="BV124" s="1249">
        <v>58447</v>
      </c>
      <c r="BW124" s="1247">
        <v>21273.58</v>
      </c>
      <c r="BX124" s="1248">
        <v>0</v>
      </c>
      <c r="BY124" s="1248">
        <v>14678.77</v>
      </c>
      <c r="BZ124" s="1248">
        <v>6594.82</v>
      </c>
      <c r="CA124" s="1248">
        <v>5367.27</v>
      </c>
      <c r="CB124" s="1249">
        <v>47914.44</v>
      </c>
      <c r="CC124" s="1244"/>
      <c r="CD124" s="1245"/>
      <c r="CE124" s="1245"/>
      <c r="CF124" s="1245"/>
      <c r="CG124" s="1245"/>
      <c r="CH124" s="1246"/>
      <c r="CI124" s="1244"/>
      <c r="CJ124" s="1245"/>
      <c r="CK124" s="1245"/>
      <c r="CL124" s="1245"/>
      <c r="CM124" s="1245"/>
      <c r="CN124" s="1246"/>
      <c r="CO124" s="1247">
        <v>51328</v>
      </c>
      <c r="CP124" s="1248">
        <v>0</v>
      </c>
      <c r="CQ124" s="1248">
        <v>0</v>
      </c>
      <c r="CR124" s="1248">
        <v>0</v>
      </c>
      <c r="CS124" s="1248">
        <v>0</v>
      </c>
      <c r="CT124" s="1249">
        <v>51328</v>
      </c>
      <c r="CU124" s="1244"/>
      <c r="CV124" s="1245"/>
      <c r="CW124" s="1245"/>
      <c r="CX124" s="1245"/>
      <c r="CY124" s="1245"/>
      <c r="CZ124" s="1246"/>
      <c r="DA124" s="1247">
        <v>6464</v>
      </c>
      <c r="DB124" s="1248">
        <v>0</v>
      </c>
      <c r="DC124" s="1248">
        <v>0</v>
      </c>
      <c r="DD124" s="1248">
        <v>0</v>
      </c>
      <c r="DE124" s="1248">
        <v>0</v>
      </c>
      <c r="DF124" s="1249">
        <v>6464</v>
      </c>
      <c r="DG124" s="1247">
        <v>477.33</v>
      </c>
      <c r="DH124" s="1248">
        <v>0</v>
      </c>
      <c r="DI124" s="1248">
        <v>329.36</v>
      </c>
      <c r="DJ124" s="1248">
        <v>147.97999999999999</v>
      </c>
      <c r="DK124" s="1248">
        <v>-0.03</v>
      </c>
      <c r="DL124" s="1249">
        <v>954.64</v>
      </c>
      <c r="DM124" s="1247">
        <v>5080.8100000000004</v>
      </c>
      <c r="DN124" s="1248">
        <v>0</v>
      </c>
      <c r="DO124" s="1248">
        <v>30.25</v>
      </c>
      <c r="DP124" s="1248">
        <v>937.54</v>
      </c>
      <c r="DQ124" s="1248">
        <v>-0.02</v>
      </c>
      <c r="DR124" s="1249">
        <v>6048.58</v>
      </c>
      <c r="DS124" s="1244"/>
      <c r="DT124" s="1245"/>
      <c r="DU124" s="1245"/>
      <c r="DV124" s="1245"/>
      <c r="DW124" s="1245"/>
      <c r="DX124" s="1246"/>
    </row>
    <row r="125" spans="1:128" ht="15" customHeight="1">
      <c r="A125" s="1092" t="s">
        <v>241</v>
      </c>
      <c r="B125" s="1239" t="s">
        <v>242</v>
      </c>
      <c r="C125" s="1467" t="s">
        <v>274</v>
      </c>
      <c r="D125" s="1240">
        <f t="shared" si="10"/>
        <v>353888.29000000004</v>
      </c>
      <c r="E125" s="1241">
        <f t="shared" si="8"/>
        <v>148321.16999999998</v>
      </c>
      <c r="F125" s="1242">
        <f t="shared" si="11"/>
        <v>63706.239999999998</v>
      </c>
      <c r="G125" s="1243">
        <f t="shared" si="9"/>
        <v>38418.929999999993</v>
      </c>
      <c r="H125" s="1242">
        <f t="shared" si="9"/>
        <v>25287.310000000005</v>
      </c>
      <c r="I125" s="1244"/>
      <c r="J125" s="1245"/>
      <c r="K125" s="1245"/>
      <c r="L125" s="1245"/>
      <c r="M125" s="1245"/>
      <c r="N125" s="1246"/>
      <c r="O125" s="1244"/>
      <c r="P125" s="1245"/>
      <c r="Q125" s="1245"/>
      <c r="R125" s="1245"/>
      <c r="S125" s="1245"/>
      <c r="T125" s="1246"/>
      <c r="U125" s="1247">
        <v>2842.55</v>
      </c>
      <c r="V125" s="1248">
        <v>0</v>
      </c>
      <c r="W125" s="1248">
        <v>16.93</v>
      </c>
      <c r="X125" s="1248">
        <v>524.51</v>
      </c>
      <c r="Y125" s="1248">
        <v>-0.01</v>
      </c>
      <c r="Z125" s="1249">
        <v>3383.98</v>
      </c>
      <c r="AA125" s="1247">
        <v>3465.58</v>
      </c>
      <c r="AB125" s="1248">
        <v>0</v>
      </c>
      <c r="AC125" s="1248">
        <v>0</v>
      </c>
      <c r="AD125" s="1248">
        <v>866.43</v>
      </c>
      <c r="AE125" s="1248">
        <v>0</v>
      </c>
      <c r="AF125" s="1249">
        <v>4332.01</v>
      </c>
      <c r="AG125" s="1244"/>
      <c r="AH125" s="1245"/>
      <c r="AI125" s="1245"/>
      <c r="AJ125" s="1245"/>
      <c r="AK125" s="1245"/>
      <c r="AL125" s="1246"/>
      <c r="AM125" s="1247">
        <v>4885.0600000000004</v>
      </c>
      <c r="AN125" s="1248">
        <v>0</v>
      </c>
      <c r="AO125" s="1248">
        <v>1221.27</v>
      </c>
      <c r="AP125" s="1248">
        <v>0</v>
      </c>
      <c r="AQ125" s="1248">
        <v>0</v>
      </c>
      <c r="AR125" s="1249">
        <v>6106.33</v>
      </c>
      <c r="AS125" s="1247">
        <v>7174.43</v>
      </c>
      <c r="AT125" s="1248">
        <v>0</v>
      </c>
      <c r="AU125" s="1248">
        <v>1793.6</v>
      </c>
      <c r="AV125" s="1248">
        <v>0</v>
      </c>
      <c r="AW125" s="1248">
        <v>0</v>
      </c>
      <c r="AX125" s="1249">
        <v>8968.0300000000007</v>
      </c>
      <c r="AY125" s="1244"/>
      <c r="AZ125" s="1245"/>
      <c r="BA125" s="1245"/>
      <c r="BB125" s="1245"/>
      <c r="BC125" s="1245"/>
      <c r="BD125" s="1246"/>
      <c r="BE125" s="1247">
        <v>743.09</v>
      </c>
      <c r="BF125" s="1248">
        <v>0</v>
      </c>
      <c r="BG125" s="1248">
        <v>1341.91</v>
      </c>
      <c r="BH125" s="1248">
        <v>0</v>
      </c>
      <c r="BI125" s="1248">
        <v>0</v>
      </c>
      <c r="BJ125" s="1249">
        <v>2085</v>
      </c>
      <c r="BK125" s="1247">
        <v>16188.21</v>
      </c>
      <c r="BL125" s="1248">
        <v>0</v>
      </c>
      <c r="BM125" s="1248">
        <v>2050.5100000000002</v>
      </c>
      <c r="BN125" s="1248">
        <v>3345.59</v>
      </c>
      <c r="BO125" s="1248">
        <v>-0.08</v>
      </c>
      <c r="BP125" s="1249">
        <v>21584.23</v>
      </c>
      <c r="BQ125" s="1247">
        <v>100983.42</v>
      </c>
      <c r="BR125" s="1248">
        <v>0</v>
      </c>
      <c r="BS125" s="1248">
        <v>86646.02</v>
      </c>
      <c r="BT125" s="1248">
        <v>14337.4</v>
      </c>
      <c r="BU125" s="1248">
        <v>-0.03</v>
      </c>
      <c r="BV125" s="1249">
        <v>201966.81</v>
      </c>
      <c r="BW125" s="1247">
        <v>51642.71</v>
      </c>
      <c r="BX125" s="1248">
        <v>0</v>
      </c>
      <c r="BY125" s="1248">
        <v>34957.51</v>
      </c>
      <c r="BZ125" s="1248">
        <v>15885.3</v>
      </c>
      <c r="CA125" s="1248">
        <v>-0.23</v>
      </c>
      <c r="CB125" s="1249">
        <v>102485.29</v>
      </c>
      <c r="CC125" s="1247">
        <v>0</v>
      </c>
      <c r="CD125" s="1248">
        <v>0</v>
      </c>
      <c r="CE125" s="1248">
        <v>0</v>
      </c>
      <c r="CF125" s="1248">
        <v>0</v>
      </c>
      <c r="CG125" s="1248">
        <v>25287.65</v>
      </c>
      <c r="CH125" s="1249">
        <v>25287.65</v>
      </c>
      <c r="CI125" s="1244"/>
      <c r="CJ125" s="1245"/>
      <c r="CK125" s="1245"/>
      <c r="CL125" s="1245"/>
      <c r="CM125" s="1245"/>
      <c r="CN125" s="1246"/>
      <c r="CO125" s="1247">
        <v>11761</v>
      </c>
      <c r="CP125" s="1248">
        <v>0</v>
      </c>
      <c r="CQ125" s="1248">
        <v>0</v>
      </c>
      <c r="CR125" s="1248">
        <v>0</v>
      </c>
      <c r="CS125" s="1248">
        <v>0</v>
      </c>
      <c r="CT125" s="1249">
        <v>11761</v>
      </c>
      <c r="CU125" s="1247">
        <v>19144.22</v>
      </c>
      <c r="CV125" s="1248">
        <v>0</v>
      </c>
      <c r="CW125" s="1248">
        <v>17610.09</v>
      </c>
      <c r="CX125" s="1248">
        <v>1534.13</v>
      </c>
      <c r="CY125" s="1248">
        <v>0</v>
      </c>
      <c r="CZ125" s="1249">
        <v>38288.44</v>
      </c>
      <c r="DA125" s="1247">
        <v>127243.88</v>
      </c>
      <c r="DB125" s="1248">
        <v>0</v>
      </c>
      <c r="DC125" s="1248">
        <v>0</v>
      </c>
      <c r="DD125" s="1248">
        <v>0</v>
      </c>
      <c r="DE125" s="1248">
        <v>0</v>
      </c>
      <c r="DF125" s="1249">
        <v>127243.88</v>
      </c>
      <c r="DG125" s="1247">
        <v>3854.76</v>
      </c>
      <c r="DH125" s="1248">
        <v>0</v>
      </c>
      <c r="DI125" s="1248">
        <v>2659.78</v>
      </c>
      <c r="DJ125" s="1248">
        <v>1194.97</v>
      </c>
      <c r="DK125" s="1248">
        <v>-0.01</v>
      </c>
      <c r="DL125" s="1249">
        <v>7709.5</v>
      </c>
      <c r="DM125" s="1247">
        <v>3959.38</v>
      </c>
      <c r="DN125" s="1248">
        <v>0</v>
      </c>
      <c r="DO125" s="1248">
        <v>23.55</v>
      </c>
      <c r="DP125" s="1248">
        <v>730.6</v>
      </c>
      <c r="DQ125" s="1248">
        <v>0.02</v>
      </c>
      <c r="DR125" s="1249">
        <v>4713.55</v>
      </c>
      <c r="DS125" s="1244"/>
      <c r="DT125" s="1245"/>
      <c r="DU125" s="1245"/>
      <c r="DV125" s="1245"/>
      <c r="DW125" s="1245"/>
      <c r="DX125" s="1246"/>
    </row>
    <row r="127" spans="1:128" s="511" customFormat="1">
      <c r="A127" s="511" t="s">
        <v>1146</v>
      </c>
      <c r="B127" s="1082"/>
      <c r="C127" s="1082"/>
      <c r="D127" s="1016"/>
    </row>
    <row r="128" spans="1:128" s="511" customFormat="1"/>
    <row r="129" spans="1:3" s="542" customFormat="1">
      <c r="A129" s="542" t="s">
        <v>249</v>
      </c>
    </row>
    <row r="130" spans="1:3">
      <c r="A130" s="543" t="s">
        <v>250</v>
      </c>
      <c r="B130" s="544" t="s">
        <v>251</v>
      </c>
      <c r="C130" s="544"/>
    </row>
  </sheetData>
  <autoFilter ref="A4:B4"/>
  <hyperlinks>
    <hyperlink ref="B130" r:id="rId1"/>
  </hyperlinks>
  <pageMargins left="0.7" right="0.7" top="0.75" bottom="0.75" header="0.3" footer="0.3"/>
  <pageSetup orientation="portrait" r:id="rId2"/>
</worksheet>
</file>

<file path=xl/worksheets/sheet31.xml><?xml version="1.0" encoding="utf-8"?>
<worksheet xmlns="http://schemas.openxmlformats.org/spreadsheetml/2006/main" xmlns:r="http://schemas.openxmlformats.org/officeDocument/2006/relationships">
  <dimension ref="A1:L129"/>
  <sheetViews>
    <sheetView workbookViewId="0">
      <pane ySplit="4" topLeftCell="A97" activePane="bottomLeft" state="frozen"/>
      <selection pane="bottomLeft" activeCell="C5" sqref="C5:C124"/>
    </sheetView>
  </sheetViews>
  <sheetFormatPr defaultRowHeight="15.75"/>
  <cols>
    <col min="1" max="1" width="8" style="280" customWidth="1"/>
    <col min="2" max="2" width="33" style="280" customWidth="1"/>
    <col min="3" max="3" width="17.125" style="280" customWidth="1"/>
    <col min="4" max="4" width="22.75" style="280" customWidth="1"/>
    <col min="5" max="6" width="13.5" style="280" bestFit="1" customWidth="1"/>
    <col min="7" max="8" width="14.5" style="280" bestFit="1" customWidth="1"/>
    <col min="9" max="9" width="13.5" style="280" bestFit="1" customWidth="1"/>
    <col min="10" max="12" width="16" style="280" bestFit="1" customWidth="1"/>
    <col min="13" max="16384" width="9" style="280"/>
  </cols>
  <sheetData>
    <row r="1" spans="1:12">
      <c r="A1" s="267" t="s">
        <v>1034</v>
      </c>
      <c r="B1" s="1262"/>
      <c r="C1" s="1263"/>
      <c r="D1" s="1263"/>
    </row>
    <row r="2" spans="1:12">
      <c r="A2" s="1263"/>
      <c r="B2" s="1263"/>
      <c r="C2" s="1263"/>
      <c r="D2" s="1263"/>
      <c r="E2" s="1264"/>
      <c r="F2" s="1264"/>
      <c r="G2" s="1264"/>
      <c r="H2" s="1264"/>
      <c r="I2" s="1264"/>
      <c r="J2" s="1264"/>
      <c r="K2" s="1264"/>
      <c r="L2" s="1264"/>
    </row>
    <row r="3" spans="1:12" ht="24.75" customHeight="1">
      <c r="A3" s="1132" t="s">
        <v>4</v>
      </c>
      <c r="B3" s="1271" t="s">
        <v>5</v>
      </c>
      <c r="C3" s="1465" t="s">
        <v>252</v>
      </c>
      <c r="D3" s="1272" t="s">
        <v>880</v>
      </c>
      <c r="E3" s="1271" t="s">
        <v>336</v>
      </c>
      <c r="F3" s="1271" t="s">
        <v>337</v>
      </c>
      <c r="G3" s="1273" t="s">
        <v>780</v>
      </c>
      <c r="H3" s="1273" t="s">
        <v>781</v>
      </c>
      <c r="I3" s="1273" t="s">
        <v>782</v>
      </c>
      <c r="J3" s="1273" t="s">
        <v>783</v>
      </c>
      <c r="K3" s="1273" t="s">
        <v>500</v>
      </c>
      <c r="L3" s="1273" t="s">
        <v>779</v>
      </c>
    </row>
    <row r="4" spans="1:12">
      <c r="A4" s="1086">
        <v>999</v>
      </c>
      <c r="B4" s="1265" t="s">
        <v>9</v>
      </c>
      <c r="C4" s="1265"/>
      <c r="D4" s="1266">
        <f t="shared" ref="D4:L4" si="0">SUM(D5:D124)</f>
        <v>5729492293.6500025</v>
      </c>
      <c r="E4" s="1266">
        <f t="shared" si="0"/>
        <v>2896179104.829</v>
      </c>
      <c r="F4" s="1266">
        <f t="shared" si="0"/>
        <v>2833313188.8210001</v>
      </c>
      <c r="G4" s="1266">
        <f t="shared" si="0"/>
        <v>209553053.35999998</v>
      </c>
      <c r="H4" s="1266">
        <f t="shared" si="0"/>
        <v>136209484.68400002</v>
      </c>
      <c r="I4" s="1266">
        <f t="shared" si="0"/>
        <v>73343568.675999999</v>
      </c>
      <c r="J4" s="1266">
        <f t="shared" si="0"/>
        <v>5519939240.289999</v>
      </c>
      <c r="K4" s="1266">
        <f t="shared" si="0"/>
        <v>2759969620.1449995</v>
      </c>
      <c r="L4" s="1266">
        <f t="shared" si="0"/>
        <v>2759969620.1449995</v>
      </c>
    </row>
    <row r="5" spans="1:12">
      <c r="A5" s="1092" t="s">
        <v>10</v>
      </c>
      <c r="B5" s="1267" t="s">
        <v>11</v>
      </c>
      <c r="C5" s="1464" t="s">
        <v>271</v>
      </c>
      <c r="D5" s="1267">
        <f>+E5+F5</f>
        <v>39894529.339999996</v>
      </c>
      <c r="E5" s="1268">
        <f>+H5+K5</f>
        <v>20208538.827999998</v>
      </c>
      <c r="F5" s="1268">
        <f>+I5+L5</f>
        <v>19685990.511999998</v>
      </c>
      <c r="G5" s="1269">
        <v>1741827.72</v>
      </c>
      <c r="H5" s="1269">
        <v>1132188.0179999999</v>
      </c>
      <c r="I5" s="1269">
        <v>609639.70200000005</v>
      </c>
      <c r="J5" s="1269">
        <v>38152701.619999997</v>
      </c>
      <c r="K5" s="1269">
        <v>19076350.809999999</v>
      </c>
      <c r="L5" s="1269">
        <v>19076350.809999999</v>
      </c>
    </row>
    <row r="6" spans="1:12">
      <c r="A6" s="1092" t="s">
        <v>12</v>
      </c>
      <c r="B6" s="1267" t="s">
        <v>13</v>
      </c>
      <c r="C6" s="1464" t="s">
        <v>272</v>
      </c>
      <c r="D6" s="1267">
        <f t="shared" ref="D6:D69" si="1">+E6+F6</f>
        <v>43559960.539999999</v>
      </c>
      <c r="E6" s="1268">
        <f t="shared" ref="E6:E69" si="2">+H6+K6</f>
        <v>22079041.838500001</v>
      </c>
      <c r="F6" s="1268">
        <f t="shared" ref="F6:F69" si="3">+I6+L6</f>
        <v>21480918.701499999</v>
      </c>
      <c r="G6" s="1269">
        <v>1993743.79</v>
      </c>
      <c r="H6" s="1269">
        <v>1295933.4635000001</v>
      </c>
      <c r="I6" s="1269">
        <v>697810.32649999997</v>
      </c>
      <c r="J6" s="1269">
        <v>41566216.75</v>
      </c>
      <c r="K6" s="1269">
        <v>20783108.375</v>
      </c>
      <c r="L6" s="1269">
        <v>20783108.375</v>
      </c>
    </row>
    <row r="7" spans="1:12">
      <c r="A7" s="1092" t="s">
        <v>16</v>
      </c>
      <c r="B7" s="1267" t="s">
        <v>307</v>
      </c>
      <c r="C7" s="1464" t="s">
        <v>272</v>
      </c>
      <c r="D7" s="1267">
        <f t="shared" si="1"/>
        <v>25776447.710000001</v>
      </c>
      <c r="E7" s="1268">
        <f t="shared" si="2"/>
        <v>12997898.048500001</v>
      </c>
      <c r="F7" s="1268">
        <f t="shared" si="3"/>
        <v>12778549.661500001</v>
      </c>
      <c r="G7" s="1269">
        <v>731161.29</v>
      </c>
      <c r="H7" s="1269">
        <v>475254.83850000001</v>
      </c>
      <c r="I7" s="1269">
        <v>255906.4515</v>
      </c>
      <c r="J7" s="1269">
        <v>25045286.420000002</v>
      </c>
      <c r="K7" s="1269">
        <v>12522643.210000001</v>
      </c>
      <c r="L7" s="1269">
        <v>12522643.210000001</v>
      </c>
    </row>
    <row r="8" spans="1:12">
      <c r="A8" s="1092" t="s">
        <v>18</v>
      </c>
      <c r="B8" s="1267" t="s">
        <v>19</v>
      </c>
      <c r="C8" s="1464" t="s">
        <v>273</v>
      </c>
      <c r="D8" s="1267">
        <f t="shared" si="1"/>
        <v>12222270.26</v>
      </c>
      <c r="E8" s="1268">
        <f t="shared" si="2"/>
        <v>6163389.5154999997</v>
      </c>
      <c r="F8" s="1268">
        <f t="shared" si="3"/>
        <v>6058880.7445</v>
      </c>
      <c r="G8" s="1269">
        <v>348362.57</v>
      </c>
      <c r="H8" s="1269">
        <v>226435.67050000001</v>
      </c>
      <c r="I8" s="1269">
        <v>121926.8995</v>
      </c>
      <c r="J8" s="1269">
        <v>11873907.689999999</v>
      </c>
      <c r="K8" s="1269">
        <v>5936953.8449999997</v>
      </c>
      <c r="L8" s="1269">
        <v>5936953.8449999997</v>
      </c>
    </row>
    <row r="9" spans="1:12">
      <c r="A9" s="1092" t="s">
        <v>20</v>
      </c>
      <c r="B9" s="1267" t="s">
        <v>21</v>
      </c>
      <c r="C9" s="1464" t="s">
        <v>272</v>
      </c>
      <c r="D9" s="1267">
        <f t="shared" si="1"/>
        <v>31649289.550000001</v>
      </c>
      <c r="E9" s="1268">
        <f t="shared" si="2"/>
        <v>16010360.7905</v>
      </c>
      <c r="F9" s="1268">
        <f t="shared" si="3"/>
        <v>15638928.759500001</v>
      </c>
      <c r="G9" s="1269">
        <v>1238106.77</v>
      </c>
      <c r="H9" s="1269">
        <v>804769.40049999999</v>
      </c>
      <c r="I9" s="1269">
        <v>433337.36949999997</v>
      </c>
      <c r="J9" s="1269">
        <v>30411182.780000001</v>
      </c>
      <c r="K9" s="1269">
        <v>15205591.390000001</v>
      </c>
      <c r="L9" s="1269">
        <v>15205591.390000001</v>
      </c>
    </row>
    <row r="10" spans="1:12">
      <c r="A10" s="1092" t="s">
        <v>22</v>
      </c>
      <c r="B10" s="1267" t="s">
        <v>23</v>
      </c>
      <c r="C10" s="1464" t="s">
        <v>272</v>
      </c>
      <c r="D10" s="1267">
        <f t="shared" si="1"/>
        <v>15558292.73</v>
      </c>
      <c r="E10" s="1268">
        <f t="shared" si="2"/>
        <v>7875374.2870000005</v>
      </c>
      <c r="F10" s="1268">
        <f t="shared" si="3"/>
        <v>7682918.443</v>
      </c>
      <c r="G10" s="1269">
        <v>641519.48</v>
      </c>
      <c r="H10" s="1269">
        <v>416987.66200000001</v>
      </c>
      <c r="I10" s="1269">
        <v>224531.818</v>
      </c>
      <c r="J10" s="1269">
        <v>14916773.25</v>
      </c>
      <c r="K10" s="1269">
        <v>7458386.625</v>
      </c>
      <c r="L10" s="1269">
        <v>7458386.625</v>
      </c>
    </row>
    <row r="11" spans="1:12">
      <c r="A11" s="1092" t="s">
        <v>24</v>
      </c>
      <c r="B11" s="1267" t="s">
        <v>25</v>
      </c>
      <c r="C11" s="1464" t="s">
        <v>274</v>
      </c>
      <c r="D11" s="1267">
        <f t="shared" si="1"/>
        <v>74216398.469999999</v>
      </c>
      <c r="E11" s="1268">
        <f t="shared" si="2"/>
        <v>37605491.369999997</v>
      </c>
      <c r="F11" s="1268">
        <f t="shared" si="3"/>
        <v>36610907.099999994</v>
      </c>
      <c r="G11" s="1269">
        <v>3315280.9</v>
      </c>
      <c r="H11" s="1269">
        <v>2154932.585</v>
      </c>
      <c r="I11" s="1269">
        <v>1160348.3149999999</v>
      </c>
      <c r="J11" s="1269">
        <v>70901117.569999993</v>
      </c>
      <c r="K11" s="1269">
        <v>35450558.784999996</v>
      </c>
      <c r="L11" s="1269">
        <v>35450558.784999996</v>
      </c>
    </row>
    <row r="12" spans="1:12">
      <c r="A12" s="1092" t="s">
        <v>26</v>
      </c>
      <c r="B12" s="1267" t="s">
        <v>908</v>
      </c>
      <c r="C12" s="1464" t="s">
        <v>272</v>
      </c>
      <c r="D12" s="1267">
        <f t="shared" si="1"/>
        <v>90902333.789999992</v>
      </c>
      <c r="E12" s="1268">
        <f t="shared" si="2"/>
        <v>45964807.442999996</v>
      </c>
      <c r="F12" s="1268">
        <f t="shared" si="3"/>
        <v>44937526.347000003</v>
      </c>
      <c r="G12" s="1269">
        <v>3424270.32</v>
      </c>
      <c r="H12" s="1269">
        <v>2225775.7080000001</v>
      </c>
      <c r="I12" s="1269">
        <v>1198494.612</v>
      </c>
      <c r="J12" s="1269">
        <v>87478063.469999999</v>
      </c>
      <c r="K12" s="1269">
        <v>43739031.734999999</v>
      </c>
      <c r="L12" s="1269">
        <v>43739031.734999999</v>
      </c>
    </row>
    <row r="13" spans="1:12">
      <c r="A13" s="1092" t="s">
        <v>27</v>
      </c>
      <c r="B13" s="1267" t="s">
        <v>28</v>
      </c>
      <c r="C13" s="1464" t="s">
        <v>272</v>
      </c>
      <c r="D13" s="1267">
        <f t="shared" si="1"/>
        <v>3508199.67</v>
      </c>
      <c r="E13" s="1268">
        <f t="shared" si="2"/>
        <v>1789852.635</v>
      </c>
      <c r="F13" s="1268">
        <f t="shared" si="3"/>
        <v>1718347.0349999999</v>
      </c>
      <c r="G13" s="1269">
        <v>238352</v>
      </c>
      <c r="H13" s="1269">
        <v>154928.79999999999</v>
      </c>
      <c r="I13" s="1269">
        <v>83423.199999999997</v>
      </c>
      <c r="J13" s="1269">
        <v>3269847.67</v>
      </c>
      <c r="K13" s="1269">
        <v>1634923.835</v>
      </c>
      <c r="L13" s="1269">
        <v>1634923.835</v>
      </c>
    </row>
    <row r="14" spans="1:12">
      <c r="A14" s="1092" t="s">
        <v>29</v>
      </c>
      <c r="B14" s="1267" t="s">
        <v>329</v>
      </c>
      <c r="C14" s="1464" t="s">
        <v>272</v>
      </c>
      <c r="D14" s="1267">
        <f t="shared" si="1"/>
        <v>48868853.899999999</v>
      </c>
      <c r="E14" s="1268">
        <f t="shared" si="2"/>
        <v>24702539.9395</v>
      </c>
      <c r="F14" s="1268">
        <f t="shared" si="3"/>
        <v>24166313.960499998</v>
      </c>
      <c r="G14" s="1269">
        <v>1787419.93</v>
      </c>
      <c r="H14" s="1269">
        <v>1161822.9545</v>
      </c>
      <c r="I14" s="1269">
        <v>625596.97549999994</v>
      </c>
      <c r="J14" s="1269">
        <v>47081433.969999999</v>
      </c>
      <c r="K14" s="1269">
        <v>23540716.984999999</v>
      </c>
      <c r="L14" s="1269">
        <v>23540716.984999999</v>
      </c>
    </row>
    <row r="15" spans="1:12">
      <c r="A15" s="1092" t="s">
        <v>31</v>
      </c>
      <c r="B15" s="1267" t="s">
        <v>32</v>
      </c>
      <c r="C15" s="1464" t="s">
        <v>275</v>
      </c>
      <c r="D15" s="1267">
        <f t="shared" si="1"/>
        <v>4768416.58</v>
      </c>
      <c r="E15" s="1268">
        <f t="shared" si="2"/>
        <v>2406813.395</v>
      </c>
      <c r="F15" s="1268">
        <f t="shared" si="3"/>
        <v>2361603.1850000001</v>
      </c>
      <c r="G15" s="1269">
        <v>150700.70000000001</v>
      </c>
      <c r="H15" s="1269">
        <v>97955.455000000002</v>
      </c>
      <c r="I15" s="1269">
        <v>52745.245000000003</v>
      </c>
      <c r="J15" s="1269">
        <v>4617715.88</v>
      </c>
      <c r="K15" s="1269">
        <v>2308857.94</v>
      </c>
      <c r="L15" s="1269">
        <v>2308857.94</v>
      </c>
    </row>
    <row r="16" spans="1:12">
      <c r="A16" s="1092" t="s">
        <v>33</v>
      </c>
      <c r="B16" s="1267" t="s">
        <v>34</v>
      </c>
      <c r="C16" s="1464" t="s">
        <v>272</v>
      </c>
      <c r="D16" s="1267">
        <f t="shared" si="1"/>
        <v>16100690.120000001</v>
      </c>
      <c r="E16" s="1268">
        <f t="shared" si="2"/>
        <v>8130424.8325000005</v>
      </c>
      <c r="F16" s="1268">
        <f t="shared" si="3"/>
        <v>7970265.2875000006</v>
      </c>
      <c r="G16" s="1269">
        <v>533865.15</v>
      </c>
      <c r="H16" s="1269">
        <v>347012.34749999997</v>
      </c>
      <c r="I16" s="1269">
        <v>186852.80249999999</v>
      </c>
      <c r="J16" s="1269">
        <v>15566824.970000001</v>
      </c>
      <c r="K16" s="1269">
        <v>7783412.4850000003</v>
      </c>
      <c r="L16" s="1269">
        <v>7783412.4850000003</v>
      </c>
    </row>
    <row r="17" spans="1:12">
      <c r="A17" s="1092" t="s">
        <v>37</v>
      </c>
      <c r="B17" s="1267" t="s">
        <v>38</v>
      </c>
      <c r="C17" s="1464" t="s">
        <v>271</v>
      </c>
      <c r="D17" s="1267">
        <f t="shared" si="1"/>
        <v>21928460.490000002</v>
      </c>
      <c r="E17" s="1268">
        <f t="shared" si="2"/>
        <v>11026241.194499999</v>
      </c>
      <c r="F17" s="1268">
        <f t="shared" si="3"/>
        <v>10902219.295500001</v>
      </c>
      <c r="G17" s="1269">
        <v>413406.33</v>
      </c>
      <c r="H17" s="1269">
        <v>268714.11450000003</v>
      </c>
      <c r="I17" s="1269">
        <v>144692.21549999999</v>
      </c>
      <c r="J17" s="1269">
        <v>21515054.16</v>
      </c>
      <c r="K17" s="1269">
        <v>10757527.08</v>
      </c>
      <c r="L17" s="1269">
        <v>10757527.08</v>
      </c>
    </row>
    <row r="18" spans="1:12">
      <c r="A18" s="1092" t="s">
        <v>39</v>
      </c>
      <c r="B18" s="1267" t="s">
        <v>40</v>
      </c>
      <c r="C18" s="1464" t="s">
        <v>275</v>
      </c>
      <c r="D18" s="1267">
        <f t="shared" si="1"/>
        <v>26011724.880000003</v>
      </c>
      <c r="E18" s="1268">
        <f t="shared" si="2"/>
        <v>13188752.8905</v>
      </c>
      <c r="F18" s="1268">
        <f t="shared" si="3"/>
        <v>12822971.989500001</v>
      </c>
      <c r="G18" s="1269">
        <v>1219269.67</v>
      </c>
      <c r="H18" s="1269">
        <v>792525.2855</v>
      </c>
      <c r="I18" s="1269">
        <v>426744.38449999999</v>
      </c>
      <c r="J18" s="1269">
        <v>24792455.210000001</v>
      </c>
      <c r="K18" s="1269">
        <v>12396227.605</v>
      </c>
      <c r="L18" s="1269">
        <v>12396227.605</v>
      </c>
    </row>
    <row r="19" spans="1:12">
      <c r="A19" s="1092" t="s">
        <v>41</v>
      </c>
      <c r="B19" s="1267" t="s">
        <v>42</v>
      </c>
      <c r="C19" s="1464" t="s">
        <v>273</v>
      </c>
      <c r="D19" s="1267">
        <f t="shared" si="1"/>
        <v>16485092.59</v>
      </c>
      <c r="E19" s="1268">
        <f t="shared" si="2"/>
        <v>8303619.9440000001</v>
      </c>
      <c r="F19" s="1268">
        <f t="shared" si="3"/>
        <v>8181472.6459999997</v>
      </c>
      <c r="G19" s="1269">
        <v>407157.66</v>
      </c>
      <c r="H19" s="1269">
        <v>264652.47899999999</v>
      </c>
      <c r="I19" s="1269">
        <v>142505.18100000001</v>
      </c>
      <c r="J19" s="1269">
        <v>16077934.93</v>
      </c>
      <c r="K19" s="1269">
        <v>8038967.4649999999</v>
      </c>
      <c r="L19" s="1269">
        <v>8038967.4649999999</v>
      </c>
    </row>
    <row r="20" spans="1:12">
      <c r="A20" s="1092" t="s">
        <v>43</v>
      </c>
      <c r="B20" s="1267" t="s">
        <v>44</v>
      </c>
      <c r="C20" s="1464" t="s">
        <v>272</v>
      </c>
      <c r="D20" s="1267">
        <f t="shared" si="1"/>
        <v>52484078.329999998</v>
      </c>
      <c r="E20" s="1268">
        <f t="shared" si="2"/>
        <v>26549475.388</v>
      </c>
      <c r="F20" s="1268">
        <f t="shared" si="3"/>
        <v>25934602.941999998</v>
      </c>
      <c r="G20" s="1269">
        <v>2049574.82</v>
      </c>
      <c r="H20" s="1269">
        <v>1332223.6329999999</v>
      </c>
      <c r="I20" s="1269">
        <v>717351.18700000003</v>
      </c>
      <c r="J20" s="1269">
        <v>50434503.509999998</v>
      </c>
      <c r="K20" s="1269">
        <v>25217251.754999999</v>
      </c>
      <c r="L20" s="1269">
        <v>25217251.754999999</v>
      </c>
    </row>
    <row r="21" spans="1:12">
      <c r="A21" s="1092" t="s">
        <v>45</v>
      </c>
      <c r="B21" s="1267" t="s">
        <v>46</v>
      </c>
      <c r="C21" s="1464" t="s">
        <v>273</v>
      </c>
      <c r="D21" s="1267">
        <f t="shared" si="1"/>
        <v>24007100.310000002</v>
      </c>
      <c r="E21" s="1268">
        <f t="shared" si="2"/>
        <v>12158463.328500001</v>
      </c>
      <c r="F21" s="1268">
        <f t="shared" si="3"/>
        <v>11848636.9815</v>
      </c>
      <c r="G21" s="1269">
        <v>1032754.49</v>
      </c>
      <c r="H21" s="1269">
        <v>671290.41850000003</v>
      </c>
      <c r="I21" s="1269">
        <v>361464.07150000002</v>
      </c>
      <c r="J21" s="1269">
        <v>22974345.82</v>
      </c>
      <c r="K21" s="1269">
        <v>11487172.91</v>
      </c>
      <c r="L21" s="1269">
        <v>11487172.91</v>
      </c>
    </row>
    <row r="22" spans="1:12">
      <c r="A22" s="1092" t="s">
        <v>47</v>
      </c>
      <c r="B22" s="1267" t="s">
        <v>48</v>
      </c>
      <c r="C22" s="1464" t="s">
        <v>275</v>
      </c>
      <c r="D22" s="1267">
        <f t="shared" si="1"/>
        <v>33208258.479999997</v>
      </c>
      <c r="E22" s="1268">
        <f t="shared" si="2"/>
        <v>16825221.966499999</v>
      </c>
      <c r="F22" s="1268">
        <f t="shared" si="3"/>
        <v>16383036.513499999</v>
      </c>
      <c r="G22" s="1269">
        <v>1473951.51</v>
      </c>
      <c r="H22" s="1269">
        <v>958068.48149999999</v>
      </c>
      <c r="I22" s="1269">
        <v>515883.02850000001</v>
      </c>
      <c r="J22" s="1269">
        <v>31734306.969999999</v>
      </c>
      <c r="K22" s="1269">
        <v>15867153.484999999</v>
      </c>
      <c r="L22" s="1269">
        <v>15867153.484999999</v>
      </c>
    </row>
    <row r="23" spans="1:12">
      <c r="A23" s="1092" t="s">
        <v>49</v>
      </c>
      <c r="B23" s="1267" t="s">
        <v>276</v>
      </c>
      <c r="C23" s="1464" t="s">
        <v>273</v>
      </c>
      <c r="D23" s="1267">
        <f t="shared" si="1"/>
        <v>5265662.75</v>
      </c>
      <c r="E23" s="1268">
        <f t="shared" si="2"/>
        <v>2671710.9354999997</v>
      </c>
      <c r="F23" s="1268">
        <f t="shared" si="3"/>
        <v>2593951.8144999999</v>
      </c>
      <c r="G23" s="1269">
        <v>259197.07</v>
      </c>
      <c r="H23" s="1269">
        <v>168478.0955</v>
      </c>
      <c r="I23" s="1269">
        <v>90718.974499999997</v>
      </c>
      <c r="J23" s="1269">
        <v>5006465.68</v>
      </c>
      <c r="K23" s="1269">
        <v>2503232.84</v>
      </c>
      <c r="L23" s="1269">
        <v>2503232.84</v>
      </c>
    </row>
    <row r="24" spans="1:12">
      <c r="A24" s="1092" t="s">
        <v>51</v>
      </c>
      <c r="B24" s="1267" t="s">
        <v>52</v>
      </c>
      <c r="C24" s="1464" t="s">
        <v>272</v>
      </c>
      <c r="D24" s="1267">
        <f t="shared" si="1"/>
        <v>15000276.68</v>
      </c>
      <c r="E24" s="1268">
        <f t="shared" si="2"/>
        <v>7565286.5649999995</v>
      </c>
      <c r="F24" s="1268">
        <f t="shared" si="3"/>
        <v>7434990.1150000002</v>
      </c>
      <c r="G24" s="1269">
        <v>434321.5</v>
      </c>
      <c r="H24" s="1269">
        <v>282308.97499999998</v>
      </c>
      <c r="I24" s="1269">
        <v>152012.52499999999</v>
      </c>
      <c r="J24" s="1269">
        <v>14565955.18</v>
      </c>
      <c r="K24" s="1269">
        <v>7282977.5899999999</v>
      </c>
      <c r="L24" s="1269">
        <v>7282977.5899999999</v>
      </c>
    </row>
    <row r="25" spans="1:12">
      <c r="A25" s="1092" t="s">
        <v>57</v>
      </c>
      <c r="B25" s="1267" t="s">
        <v>305</v>
      </c>
      <c r="C25" s="1464" t="s">
        <v>273</v>
      </c>
      <c r="D25" s="1267">
        <f t="shared" si="1"/>
        <v>202879835.44999999</v>
      </c>
      <c r="E25" s="1268">
        <f t="shared" si="2"/>
        <v>102616063.927</v>
      </c>
      <c r="F25" s="1268">
        <f t="shared" si="3"/>
        <v>100263771.523</v>
      </c>
      <c r="G25" s="1269">
        <v>7840974.6799999997</v>
      </c>
      <c r="H25" s="1269">
        <v>5096633.5420000004</v>
      </c>
      <c r="I25" s="1269">
        <v>2744341.1379999998</v>
      </c>
      <c r="J25" s="1269">
        <v>195038860.77000001</v>
      </c>
      <c r="K25" s="1269">
        <v>97519430.385000005</v>
      </c>
      <c r="L25" s="1269">
        <v>97519430.385000005</v>
      </c>
    </row>
    <row r="26" spans="1:12">
      <c r="A26" s="1092" t="s">
        <v>59</v>
      </c>
      <c r="B26" s="1267" t="s">
        <v>60</v>
      </c>
      <c r="C26" s="1464" t="s">
        <v>274</v>
      </c>
      <c r="D26" s="1267">
        <f t="shared" si="1"/>
        <v>7057250.6299999999</v>
      </c>
      <c r="E26" s="1268">
        <f t="shared" si="2"/>
        <v>3551948.14</v>
      </c>
      <c r="F26" s="1268">
        <f t="shared" si="3"/>
        <v>3505302.4899999998</v>
      </c>
      <c r="G26" s="1269">
        <v>155485.5</v>
      </c>
      <c r="H26" s="1269">
        <v>101065.575</v>
      </c>
      <c r="I26" s="1269">
        <v>54419.925000000003</v>
      </c>
      <c r="J26" s="1269">
        <v>6901765.1299999999</v>
      </c>
      <c r="K26" s="1269">
        <v>3450882.5649999999</v>
      </c>
      <c r="L26" s="1269">
        <v>3450882.5649999999</v>
      </c>
    </row>
    <row r="27" spans="1:12">
      <c r="A27" s="1092" t="s">
        <v>61</v>
      </c>
      <c r="B27" s="1267" t="s">
        <v>62</v>
      </c>
      <c r="C27" s="1464" t="s">
        <v>272</v>
      </c>
      <c r="D27" s="1267">
        <f t="shared" si="1"/>
        <v>3309678.36</v>
      </c>
      <c r="E27" s="1268">
        <f t="shared" si="2"/>
        <v>1681097.7959999999</v>
      </c>
      <c r="F27" s="1268">
        <f t="shared" si="3"/>
        <v>1628580.564</v>
      </c>
      <c r="G27" s="1269">
        <v>175057.44</v>
      </c>
      <c r="H27" s="1269">
        <v>113787.336</v>
      </c>
      <c r="I27" s="1269">
        <v>61270.103999999999</v>
      </c>
      <c r="J27" s="1269">
        <v>3134620.92</v>
      </c>
      <c r="K27" s="1269">
        <v>1567310.46</v>
      </c>
      <c r="L27" s="1269">
        <v>1567310.46</v>
      </c>
    </row>
    <row r="28" spans="1:12">
      <c r="A28" s="1092" t="s">
        <v>63</v>
      </c>
      <c r="B28" s="1267" t="s">
        <v>64</v>
      </c>
      <c r="C28" s="1464" t="s">
        <v>274</v>
      </c>
      <c r="D28" s="1267">
        <f t="shared" si="1"/>
        <v>36469071.539999999</v>
      </c>
      <c r="E28" s="1268">
        <f t="shared" si="2"/>
        <v>18489975.506999999</v>
      </c>
      <c r="F28" s="1268">
        <f t="shared" si="3"/>
        <v>17979096.033</v>
      </c>
      <c r="G28" s="1269">
        <v>1702931.58</v>
      </c>
      <c r="H28" s="1269">
        <v>1106905.527</v>
      </c>
      <c r="I28" s="1269">
        <v>596026.05299999996</v>
      </c>
      <c r="J28" s="1269">
        <v>34766139.960000001</v>
      </c>
      <c r="K28" s="1269">
        <v>17383069.98</v>
      </c>
      <c r="L28" s="1269">
        <v>17383069.98</v>
      </c>
    </row>
    <row r="29" spans="1:12">
      <c r="A29" s="1092" t="s">
        <v>65</v>
      </c>
      <c r="B29" s="1267" t="s">
        <v>66</v>
      </c>
      <c r="C29" s="1464" t="s">
        <v>273</v>
      </c>
      <c r="D29" s="1267">
        <f t="shared" si="1"/>
        <v>12881590.059999999</v>
      </c>
      <c r="E29" s="1268">
        <f t="shared" si="2"/>
        <v>6484775.2579999994</v>
      </c>
      <c r="F29" s="1268">
        <f t="shared" si="3"/>
        <v>6396814.8019999992</v>
      </c>
      <c r="G29" s="1269">
        <v>293201.52</v>
      </c>
      <c r="H29" s="1269">
        <v>190580.98800000001</v>
      </c>
      <c r="I29" s="1269">
        <v>102620.53200000001</v>
      </c>
      <c r="J29" s="1269">
        <v>12588388.539999999</v>
      </c>
      <c r="K29" s="1269">
        <v>6294194.2699999996</v>
      </c>
      <c r="L29" s="1269">
        <v>6294194.2699999996</v>
      </c>
    </row>
    <row r="30" spans="1:12">
      <c r="A30" s="1092" t="s">
        <v>69</v>
      </c>
      <c r="B30" s="1267" t="s">
        <v>70</v>
      </c>
      <c r="C30" s="1464" t="s">
        <v>275</v>
      </c>
      <c r="D30" s="1267">
        <f t="shared" si="1"/>
        <v>19879383.5</v>
      </c>
      <c r="E30" s="1268">
        <f t="shared" si="2"/>
        <v>10030991.423500001</v>
      </c>
      <c r="F30" s="1268">
        <f t="shared" si="3"/>
        <v>9848392.0765000004</v>
      </c>
      <c r="G30" s="1269">
        <v>608664.49</v>
      </c>
      <c r="H30" s="1269">
        <v>395631.91850000003</v>
      </c>
      <c r="I30" s="1269">
        <v>213032.57149999999</v>
      </c>
      <c r="J30" s="1269">
        <v>19270719.010000002</v>
      </c>
      <c r="K30" s="1269">
        <v>9635359.5050000008</v>
      </c>
      <c r="L30" s="1269">
        <v>9635359.5050000008</v>
      </c>
    </row>
    <row r="31" spans="1:12">
      <c r="A31" s="1092" t="s">
        <v>71</v>
      </c>
      <c r="B31" s="1267" t="s">
        <v>72</v>
      </c>
      <c r="C31" s="1464" t="s">
        <v>271</v>
      </c>
      <c r="D31" s="1267">
        <f t="shared" si="1"/>
        <v>27571436.149999999</v>
      </c>
      <c r="E31" s="1268">
        <f t="shared" si="2"/>
        <v>13884329.215</v>
      </c>
      <c r="F31" s="1268">
        <f t="shared" si="3"/>
        <v>13687106.935000001</v>
      </c>
      <c r="G31" s="1269">
        <v>657407.6</v>
      </c>
      <c r="H31" s="1269">
        <v>427314.94</v>
      </c>
      <c r="I31" s="1269">
        <v>230092.66</v>
      </c>
      <c r="J31" s="1269">
        <v>26914028.550000001</v>
      </c>
      <c r="K31" s="1269">
        <v>13457014.275</v>
      </c>
      <c r="L31" s="1269">
        <v>13457014.275</v>
      </c>
    </row>
    <row r="32" spans="1:12">
      <c r="A32" s="1092" t="s">
        <v>73</v>
      </c>
      <c r="B32" s="1267" t="s">
        <v>74</v>
      </c>
      <c r="C32" s="1464" t="s">
        <v>273</v>
      </c>
      <c r="D32" s="1267">
        <f t="shared" si="1"/>
        <v>12802268.52</v>
      </c>
      <c r="E32" s="1268">
        <f t="shared" si="2"/>
        <v>6457737.0944999997</v>
      </c>
      <c r="F32" s="1268">
        <f t="shared" si="3"/>
        <v>6344531.4254999999</v>
      </c>
      <c r="G32" s="1269">
        <v>377352.23</v>
      </c>
      <c r="H32" s="1269">
        <v>245278.94949999999</v>
      </c>
      <c r="I32" s="1269">
        <v>132073.28049999999</v>
      </c>
      <c r="J32" s="1269">
        <v>12424916.289999999</v>
      </c>
      <c r="K32" s="1269">
        <v>6212458.1449999996</v>
      </c>
      <c r="L32" s="1269">
        <v>6212458.1449999996</v>
      </c>
    </row>
    <row r="33" spans="1:12">
      <c r="A33" s="1092" t="s">
        <v>75</v>
      </c>
      <c r="B33" s="1267" t="s">
        <v>312</v>
      </c>
      <c r="C33" s="1464" t="s">
        <v>274</v>
      </c>
      <c r="D33" s="1267">
        <f t="shared" si="1"/>
        <v>398738845.86000001</v>
      </c>
      <c r="E33" s="1268">
        <f t="shared" si="2"/>
        <v>202622400.51900002</v>
      </c>
      <c r="F33" s="1268">
        <f t="shared" si="3"/>
        <v>196116445.34100002</v>
      </c>
      <c r="G33" s="1269">
        <v>21686517.260000002</v>
      </c>
      <c r="H33" s="1269">
        <v>14096236.219000001</v>
      </c>
      <c r="I33" s="1269">
        <v>7590281.0410000002</v>
      </c>
      <c r="J33" s="1269">
        <v>377052328.60000002</v>
      </c>
      <c r="K33" s="1269">
        <v>188526164.30000001</v>
      </c>
      <c r="L33" s="1269">
        <v>188526164.30000001</v>
      </c>
    </row>
    <row r="34" spans="1:12">
      <c r="A34" s="1092" t="s">
        <v>77</v>
      </c>
      <c r="B34" s="1267" t="s">
        <v>78</v>
      </c>
      <c r="C34" s="1464" t="s">
        <v>274</v>
      </c>
      <c r="D34" s="1267">
        <f t="shared" si="1"/>
        <v>33399265.789999999</v>
      </c>
      <c r="E34" s="1268">
        <f t="shared" si="2"/>
        <v>16892180.2075</v>
      </c>
      <c r="F34" s="1268">
        <f t="shared" si="3"/>
        <v>16507085.5825</v>
      </c>
      <c r="G34" s="1269">
        <v>1283648.75</v>
      </c>
      <c r="H34" s="1269">
        <v>834371.6875</v>
      </c>
      <c r="I34" s="1269">
        <v>449277.0625</v>
      </c>
      <c r="J34" s="1269">
        <v>32115617.039999999</v>
      </c>
      <c r="K34" s="1269">
        <v>16057808.52</v>
      </c>
      <c r="L34" s="1269">
        <v>16057808.52</v>
      </c>
    </row>
    <row r="35" spans="1:12">
      <c r="A35" s="1092" t="s">
        <v>79</v>
      </c>
      <c r="B35" s="1267" t="s">
        <v>80</v>
      </c>
      <c r="C35" s="1464" t="s">
        <v>275</v>
      </c>
      <c r="D35" s="1267">
        <f t="shared" si="1"/>
        <v>15271240.050000001</v>
      </c>
      <c r="E35" s="1268">
        <f t="shared" si="2"/>
        <v>7760876.1135000009</v>
      </c>
      <c r="F35" s="1268">
        <f t="shared" si="3"/>
        <v>7510363.9365000008</v>
      </c>
      <c r="G35" s="1269">
        <v>835040.59</v>
      </c>
      <c r="H35" s="1269">
        <v>542776.3835</v>
      </c>
      <c r="I35" s="1269">
        <v>292264.20649999997</v>
      </c>
      <c r="J35" s="1269">
        <v>14436199.460000001</v>
      </c>
      <c r="K35" s="1269">
        <v>7218099.7300000004</v>
      </c>
      <c r="L35" s="1269">
        <v>7218099.7300000004</v>
      </c>
    </row>
    <row r="36" spans="1:12">
      <c r="A36" s="1092" t="s">
        <v>81</v>
      </c>
      <c r="B36" s="1267" t="s">
        <v>82</v>
      </c>
      <c r="C36" s="1464" t="s">
        <v>273</v>
      </c>
      <c r="D36" s="1267">
        <f t="shared" si="1"/>
        <v>11613315.59</v>
      </c>
      <c r="E36" s="1268">
        <f t="shared" si="2"/>
        <v>5893718.5180000002</v>
      </c>
      <c r="F36" s="1268">
        <f t="shared" si="3"/>
        <v>5719597.0719999997</v>
      </c>
      <c r="G36" s="1269">
        <v>580404.81999999995</v>
      </c>
      <c r="H36" s="1269">
        <v>377263.13299999997</v>
      </c>
      <c r="I36" s="1269">
        <v>203141.68700000001</v>
      </c>
      <c r="J36" s="1269">
        <v>11032910.77</v>
      </c>
      <c r="K36" s="1269">
        <v>5516455.3849999998</v>
      </c>
      <c r="L36" s="1269">
        <v>5516455.3849999998</v>
      </c>
    </row>
    <row r="37" spans="1:12">
      <c r="A37" s="1092" t="s">
        <v>85</v>
      </c>
      <c r="B37" s="1267" t="s">
        <v>330</v>
      </c>
      <c r="C37" s="1464" t="s">
        <v>272</v>
      </c>
      <c r="D37" s="1267">
        <f t="shared" si="1"/>
        <v>49202471.449999996</v>
      </c>
      <c r="E37" s="1268">
        <f t="shared" si="2"/>
        <v>24915330.182499997</v>
      </c>
      <c r="F37" s="1268">
        <f t="shared" si="3"/>
        <v>24287141.267499998</v>
      </c>
      <c r="G37" s="1269">
        <v>2093963.05</v>
      </c>
      <c r="H37" s="1269">
        <v>1361075.9824999999</v>
      </c>
      <c r="I37" s="1269">
        <v>732887.0675</v>
      </c>
      <c r="J37" s="1269">
        <v>47108508.399999999</v>
      </c>
      <c r="K37" s="1269">
        <v>23554254.199999999</v>
      </c>
      <c r="L37" s="1269">
        <v>23554254.199999999</v>
      </c>
    </row>
    <row r="38" spans="1:12">
      <c r="A38" s="1092" t="s">
        <v>87</v>
      </c>
      <c r="B38" s="1267" t="s">
        <v>88</v>
      </c>
      <c r="C38" s="1464" t="s">
        <v>274</v>
      </c>
      <c r="D38" s="1267">
        <f t="shared" si="1"/>
        <v>41078154.75</v>
      </c>
      <c r="E38" s="1268">
        <f t="shared" si="2"/>
        <v>20826961.015499998</v>
      </c>
      <c r="F38" s="1268">
        <f t="shared" si="3"/>
        <v>20251193.734499998</v>
      </c>
      <c r="G38" s="1269">
        <v>1919224.27</v>
      </c>
      <c r="H38" s="1269">
        <v>1247495.7755</v>
      </c>
      <c r="I38" s="1269">
        <v>671728.49450000003</v>
      </c>
      <c r="J38" s="1269">
        <v>39158930.479999997</v>
      </c>
      <c r="K38" s="1269">
        <v>19579465.239999998</v>
      </c>
      <c r="L38" s="1269">
        <v>19579465.239999998</v>
      </c>
    </row>
    <row r="39" spans="1:12">
      <c r="A39" s="1092" t="s">
        <v>93</v>
      </c>
      <c r="B39" s="1267" t="s">
        <v>94</v>
      </c>
      <c r="C39" s="1464" t="s">
        <v>275</v>
      </c>
      <c r="D39" s="1267">
        <f t="shared" si="1"/>
        <v>17987016.149999999</v>
      </c>
      <c r="E39" s="1268">
        <f t="shared" si="2"/>
        <v>9086904.3854999989</v>
      </c>
      <c r="F39" s="1268">
        <f t="shared" si="3"/>
        <v>8900111.7644999996</v>
      </c>
      <c r="G39" s="1269">
        <v>622642.06999999995</v>
      </c>
      <c r="H39" s="1269">
        <v>404717.3455</v>
      </c>
      <c r="I39" s="1269">
        <v>217924.72450000001</v>
      </c>
      <c r="J39" s="1269">
        <v>17364374.079999998</v>
      </c>
      <c r="K39" s="1269">
        <v>8682187.0399999991</v>
      </c>
      <c r="L39" s="1269">
        <v>8682187.0399999991</v>
      </c>
    </row>
    <row r="40" spans="1:12">
      <c r="A40" s="1092" t="s">
        <v>95</v>
      </c>
      <c r="B40" s="1267" t="s">
        <v>96</v>
      </c>
      <c r="C40" s="1464" t="s">
        <v>271</v>
      </c>
      <c r="D40" s="1267">
        <f t="shared" si="1"/>
        <v>24934716.890000001</v>
      </c>
      <c r="E40" s="1268">
        <f t="shared" si="2"/>
        <v>12605160.908500001</v>
      </c>
      <c r="F40" s="1268">
        <f t="shared" si="3"/>
        <v>12329555.9815</v>
      </c>
      <c r="G40" s="1269">
        <v>918683.09</v>
      </c>
      <c r="H40" s="1269">
        <v>597144.0085</v>
      </c>
      <c r="I40" s="1269">
        <v>321539.08149999997</v>
      </c>
      <c r="J40" s="1269">
        <v>24016033.800000001</v>
      </c>
      <c r="K40" s="1269">
        <v>12008016.9</v>
      </c>
      <c r="L40" s="1269">
        <v>12008016.9</v>
      </c>
    </row>
    <row r="41" spans="1:12">
      <c r="A41" s="1092" t="s">
        <v>97</v>
      </c>
      <c r="B41" s="1267" t="s">
        <v>98</v>
      </c>
      <c r="C41" s="1464" t="s">
        <v>273</v>
      </c>
      <c r="D41" s="1267">
        <f t="shared" si="1"/>
        <v>8837486.8899999987</v>
      </c>
      <c r="E41" s="1268">
        <f t="shared" si="2"/>
        <v>4452327.5869999994</v>
      </c>
      <c r="F41" s="1268">
        <f t="shared" si="3"/>
        <v>4385159.3029999994</v>
      </c>
      <c r="G41" s="1269">
        <v>223894.28</v>
      </c>
      <c r="H41" s="1269">
        <v>145531.28200000001</v>
      </c>
      <c r="I41" s="1269">
        <v>78362.998000000007</v>
      </c>
      <c r="J41" s="1269">
        <v>8613592.6099999994</v>
      </c>
      <c r="K41" s="1269">
        <v>4306796.3049999997</v>
      </c>
      <c r="L41" s="1269">
        <v>4306796.3049999997</v>
      </c>
    </row>
    <row r="42" spans="1:12">
      <c r="A42" s="1092" t="s">
        <v>99</v>
      </c>
      <c r="B42" s="1267" t="s">
        <v>100</v>
      </c>
      <c r="C42" s="1464" t="s">
        <v>275</v>
      </c>
      <c r="D42" s="1267">
        <f t="shared" si="1"/>
        <v>18229161.649999999</v>
      </c>
      <c r="E42" s="1268">
        <f t="shared" si="2"/>
        <v>9246861.2634999994</v>
      </c>
      <c r="F42" s="1268">
        <f t="shared" si="3"/>
        <v>8982300.3864999991</v>
      </c>
      <c r="G42" s="1269">
        <v>881869.59</v>
      </c>
      <c r="H42" s="1269">
        <v>573215.23349999997</v>
      </c>
      <c r="I42" s="1269">
        <v>308654.35649999999</v>
      </c>
      <c r="J42" s="1269">
        <v>17347292.059999999</v>
      </c>
      <c r="K42" s="1269">
        <v>8673646.0299999993</v>
      </c>
      <c r="L42" s="1269">
        <v>8673646.0299999993</v>
      </c>
    </row>
    <row r="43" spans="1:12">
      <c r="A43" s="1092" t="s">
        <v>101</v>
      </c>
      <c r="B43" s="1267" t="s">
        <v>102</v>
      </c>
      <c r="C43" s="1464" t="s">
        <v>274</v>
      </c>
      <c r="D43" s="1267">
        <f t="shared" si="1"/>
        <v>11675710.970000003</v>
      </c>
      <c r="E43" s="1268">
        <f t="shared" si="2"/>
        <v>5946752.3230000008</v>
      </c>
      <c r="F43" s="1268">
        <f t="shared" si="3"/>
        <v>5728958.6470000008</v>
      </c>
      <c r="G43" s="1269">
        <v>725978.92</v>
      </c>
      <c r="H43" s="1269">
        <v>471886.29800000001</v>
      </c>
      <c r="I43" s="1269">
        <v>254092.622</v>
      </c>
      <c r="J43" s="1269">
        <v>10949732.050000001</v>
      </c>
      <c r="K43" s="1269">
        <v>5474866.0250000004</v>
      </c>
      <c r="L43" s="1269">
        <v>5474866.0250000004</v>
      </c>
    </row>
    <row r="44" spans="1:12">
      <c r="A44" s="1092" t="s">
        <v>103</v>
      </c>
      <c r="B44" s="1267" t="s">
        <v>104</v>
      </c>
      <c r="C44" s="1464" t="s">
        <v>271</v>
      </c>
      <c r="D44" s="1267">
        <f t="shared" si="1"/>
        <v>26650527.649999999</v>
      </c>
      <c r="E44" s="1268">
        <f t="shared" si="2"/>
        <v>13446187.693</v>
      </c>
      <c r="F44" s="1268">
        <f t="shared" si="3"/>
        <v>13204339.957</v>
      </c>
      <c r="G44" s="1269">
        <v>806159.12</v>
      </c>
      <c r="H44" s="1269">
        <v>524003.42800000001</v>
      </c>
      <c r="I44" s="1269">
        <v>282155.69199999998</v>
      </c>
      <c r="J44" s="1269">
        <v>25844368.530000001</v>
      </c>
      <c r="K44" s="1269">
        <v>12922184.265000001</v>
      </c>
      <c r="L44" s="1269">
        <v>12922184.265000001</v>
      </c>
    </row>
    <row r="45" spans="1:12">
      <c r="A45" s="1092" t="s">
        <v>105</v>
      </c>
      <c r="B45" s="1267" t="s">
        <v>331</v>
      </c>
      <c r="C45" s="1464" t="s">
        <v>272</v>
      </c>
      <c r="D45" s="1267">
        <f t="shared" si="1"/>
        <v>44506223.049999997</v>
      </c>
      <c r="E45" s="1268">
        <f t="shared" si="2"/>
        <v>22425421.524499997</v>
      </c>
      <c r="F45" s="1268">
        <f t="shared" si="3"/>
        <v>22080801.5255</v>
      </c>
      <c r="G45" s="1269">
        <v>1148733.33</v>
      </c>
      <c r="H45" s="1269">
        <v>746676.66449999996</v>
      </c>
      <c r="I45" s="1269">
        <v>402056.6655</v>
      </c>
      <c r="J45" s="1269">
        <v>43357489.719999999</v>
      </c>
      <c r="K45" s="1269">
        <v>21678744.859999999</v>
      </c>
      <c r="L45" s="1269">
        <v>21678744.859999999</v>
      </c>
    </row>
    <row r="46" spans="1:12">
      <c r="A46" s="1092" t="s">
        <v>109</v>
      </c>
      <c r="B46" s="1267" t="s">
        <v>110</v>
      </c>
      <c r="C46" s="1464" t="s">
        <v>273</v>
      </c>
      <c r="D46" s="1267">
        <f t="shared" si="1"/>
        <v>41415932.390000001</v>
      </c>
      <c r="E46" s="1268">
        <f t="shared" si="2"/>
        <v>20956827.037</v>
      </c>
      <c r="F46" s="1268">
        <f t="shared" si="3"/>
        <v>20459105.353</v>
      </c>
      <c r="G46" s="1269">
        <v>1659072.28</v>
      </c>
      <c r="H46" s="1269">
        <v>1078396.9820000001</v>
      </c>
      <c r="I46" s="1269">
        <v>580675.29799999995</v>
      </c>
      <c r="J46" s="1269">
        <v>39756860.109999999</v>
      </c>
      <c r="K46" s="1269">
        <v>19878430.055</v>
      </c>
      <c r="L46" s="1269">
        <v>19878430.055</v>
      </c>
    </row>
    <row r="47" spans="1:12">
      <c r="A47" s="1092" t="s">
        <v>111</v>
      </c>
      <c r="B47" s="1267" t="s">
        <v>112</v>
      </c>
      <c r="C47" s="1464" t="s">
        <v>273</v>
      </c>
      <c r="D47" s="1267">
        <f t="shared" si="1"/>
        <v>197471673.13</v>
      </c>
      <c r="E47" s="1268">
        <f t="shared" si="2"/>
        <v>99972209.261000007</v>
      </c>
      <c r="F47" s="1268">
        <f t="shared" si="3"/>
        <v>97499463.869000003</v>
      </c>
      <c r="G47" s="1269">
        <v>8242484.6399999997</v>
      </c>
      <c r="H47" s="1269">
        <v>5357615.0159999998</v>
      </c>
      <c r="I47" s="1269">
        <v>2884869.6239999998</v>
      </c>
      <c r="J47" s="1269">
        <v>189229188.49000001</v>
      </c>
      <c r="K47" s="1269">
        <v>94614594.245000005</v>
      </c>
      <c r="L47" s="1269">
        <v>94614594.245000005</v>
      </c>
    </row>
    <row r="48" spans="1:12">
      <c r="A48" s="1092" t="s">
        <v>113</v>
      </c>
      <c r="B48" s="1267" t="s">
        <v>310</v>
      </c>
      <c r="C48" s="1464" t="s">
        <v>272</v>
      </c>
      <c r="D48" s="1267">
        <f t="shared" si="1"/>
        <v>84800055.980000004</v>
      </c>
      <c r="E48" s="1268">
        <f t="shared" si="2"/>
        <v>42749949.706</v>
      </c>
      <c r="F48" s="1268">
        <f t="shared" si="3"/>
        <v>42050106.274000004</v>
      </c>
      <c r="G48" s="1269">
        <v>2332811.44</v>
      </c>
      <c r="H48" s="1269">
        <v>1516327.436</v>
      </c>
      <c r="I48" s="1269">
        <v>816484.00399999996</v>
      </c>
      <c r="J48" s="1269">
        <v>82467244.540000007</v>
      </c>
      <c r="K48" s="1269">
        <v>41233622.270000003</v>
      </c>
      <c r="L48" s="1269">
        <v>41233622.270000003</v>
      </c>
    </row>
    <row r="49" spans="1:12">
      <c r="A49" s="1092" t="s">
        <v>115</v>
      </c>
      <c r="B49" s="1267" t="s">
        <v>116</v>
      </c>
      <c r="C49" s="1464" t="s">
        <v>272</v>
      </c>
      <c r="D49" s="1267">
        <f t="shared" si="1"/>
        <v>1519015.9500000002</v>
      </c>
      <c r="E49" s="1268">
        <f t="shared" si="2"/>
        <v>768093.54600000009</v>
      </c>
      <c r="F49" s="1268">
        <f t="shared" si="3"/>
        <v>750922.40399999998</v>
      </c>
      <c r="G49" s="1269">
        <v>57237.14</v>
      </c>
      <c r="H49" s="1269">
        <v>37204.141000000003</v>
      </c>
      <c r="I49" s="1269">
        <v>20032.999</v>
      </c>
      <c r="J49" s="1269">
        <v>1461778.81</v>
      </c>
      <c r="K49" s="1269">
        <v>730889.40500000003</v>
      </c>
      <c r="L49" s="1269">
        <v>730889.40500000003</v>
      </c>
    </row>
    <row r="50" spans="1:12">
      <c r="A50" s="1092" t="s">
        <v>119</v>
      </c>
      <c r="B50" s="1267" t="s">
        <v>120</v>
      </c>
      <c r="C50" s="1464" t="s">
        <v>271</v>
      </c>
      <c r="D50" s="1267">
        <f t="shared" si="1"/>
        <v>25813229.640000001</v>
      </c>
      <c r="E50" s="1268">
        <f t="shared" si="2"/>
        <v>13004112.0945</v>
      </c>
      <c r="F50" s="1268">
        <f t="shared" si="3"/>
        <v>12809117.545499999</v>
      </c>
      <c r="G50" s="1269">
        <v>649981.82999999996</v>
      </c>
      <c r="H50" s="1269">
        <v>422488.18949999998</v>
      </c>
      <c r="I50" s="1269">
        <v>227493.64050000001</v>
      </c>
      <c r="J50" s="1269">
        <v>25163247.809999999</v>
      </c>
      <c r="K50" s="1269">
        <v>12581623.904999999</v>
      </c>
      <c r="L50" s="1269">
        <v>12581623.904999999</v>
      </c>
    </row>
    <row r="51" spans="1:12">
      <c r="A51" s="1092" t="s">
        <v>121</v>
      </c>
      <c r="B51" s="1267" t="s">
        <v>122</v>
      </c>
      <c r="C51" s="1464" t="s">
        <v>271</v>
      </c>
      <c r="D51" s="1267">
        <f t="shared" si="1"/>
        <v>22297736.730000004</v>
      </c>
      <c r="E51" s="1268">
        <f t="shared" si="2"/>
        <v>11327453.434500001</v>
      </c>
      <c r="F51" s="1268">
        <f t="shared" si="3"/>
        <v>10970283.295500001</v>
      </c>
      <c r="G51" s="1269">
        <v>1190567.1299999999</v>
      </c>
      <c r="H51" s="1269">
        <v>773868.63450000004</v>
      </c>
      <c r="I51" s="1269">
        <v>416698.49550000002</v>
      </c>
      <c r="J51" s="1269">
        <v>21107169.600000001</v>
      </c>
      <c r="K51" s="1269">
        <v>10553584.800000001</v>
      </c>
      <c r="L51" s="1269">
        <v>10553584.800000001</v>
      </c>
    </row>
    <row r="52" spans="1:12">
      <c r="A52" s="1092" t="s">
        <v>123</v>
      </c>
      <c r="B52" s="1267" t="s">
        <v>278</v>
      </c>
      <c r="C52" s="1464" t="s">
        <v>273</v>
      </c>
      <c r="D52" s="1267">
        <f t="shared" si="1"/>
        <v>6595494.0199999996</v>
      </c>
      <c r="E52" s="1268">
        <f t="shared" si="2"/>
        <v>3334625.6604999998</v>
      </c>
      <c r="F52" s="1268">
        <f t="shared" si="3"/>
        <v>3260868.3594999998</v>
      </c>
      <c r="G52" s="1269">
        <v>245857.67</v>
      </c>
      <c r="H52" s="1269">
        <v>159807.48550000001</v>
      </c>
      <c r="I52" s="1269">
        <v>86050.184500000003</v>
      </c>
      <c r="J52" s="1269">
        <v>6349636.3499999996</v>
      </c>
      <c r="K52" s="1269">
        <v>3174818.1749999998</v>
      </c>
      <c r="L52" s="1269">
        <v>3174818.1749999998</v>
      </c>
    </row>
    <row r="53" spans="1:12">
      <c r="A53" s="1092" t="s">
        <v>125</v>
      </c>
      <c r="B53" s="1267" t="s">
        <v>126</v>
      </c>
      <c r="C53" s="1464" t="s">
        <v>274</v>
      </c>
      <c r="D53" s="1267">
        <f t="shared" si="1"/>
        <v>12822666.080000002</v>
      </c>
      <c r="E53" s="1268">
        <f t="shared" si="2"/>
        <v>6471821.6440000003</v>
      </c>
      <c r="F53" s="1268">
        <f t="shared" si="3"/>
        <v>6350844.4360000007</v>
      </c>
      <c r="G53" s="1269">
        <v>403257.36</v>
      </c>
      <c r="H53" s="1269">
        <v>262117.28400000001</v>
      </c>
      <c r="I53" s="1269">
        <v>141140.076</v>
      </c>
      <c r="J53" s="1269">
        <v>12419408.720000001</v>
      </c>
      <c r="K53" s="1269">
        <v>6209704.3600000003</v>
      </c>
      <c r="L53" s="1269">
        <v>6209704.3600000003</v>
      </c>
    </row>
    <row r="54" spans="1:12">
      <c r="A54" s="1092" t="s">
        <v>127</v>
      </c>
      <c r="B54" s="1267" t="s">
        <v>128</v>
      </c>
      <c r="C54" s="1464" t="s">
        <v>273</v>
      </c>
      <c r="D54" s="1267">
        <f t="shared" si="1"/>
        <v>10800137.43</v>
      </c>
      <c r="E54" s="1268">
        <f t="shared" si="2"/>
        <v>5463938.8695</v>
      </c>
      <c r="F54" s="1268">
        <f t="shared" si="3"/>
        <v>5336198.5605000006</v>
      </c>
      <c r="G54" s="1269">
        <v>425801.03</v>
      </c>
      <c r="H54" s="1269">
        <v>276770.66950000002</v>
      </c>
      <c r="I54" s="1269">
        <v>149030.36050000001</v>
      </c>
      <c r="J54" s="1269">
        <v>10374336.4</v>
      </c>
      <c r="K54" s="1269">
        <v>5187168.2</v>
      </c>
      <c r="L54" s="1269">
        <v>5187168.2</v>
      </c>
    </row>
    <row r="55" spans="1:12">
      <c r="A55" s="1092" t="s">
        <v>129</v>
      </c>
      <c r="B55" s="1267" t="s">
        <v>130</v>
      </c>
      <c r="C55" s="1464" t="s">
        <v>273</v>
      </c>
      <c r="D55" s="1267">
        <f t="shared" si="1"/>
        <v>11736913.380000001</v>
      </c>
      <c r="E55" s="1268">
        <f t="shared" si="2"/>
        <v>5905166.8485000003</v>
      </c>
      <c r="F55" s="1268">
        <f t="shared" si="3"/>
        <v>5831746.5315000005</v>
      </c>
      <c r="G55" s="1269">
        <v>244734.39</v>
      </c>
      <c r="H55" s="1269">
        <v>159077.3535</v>
      </c>
      <c r="I55" s="1269">
        <v>85657.036500000002</v>
      </c>
      <c r="J55" s="1269">
        <v>11492178.99</v>
      </c>
      <c r="K55" s="1269">
        <v>5746089.4950000001</v>
      </c>
      <c r="L55" s="1269">
        <v>5746089.4950000001</v>
      </c>
    </row>
    <row r="56" spans="1:12">
      <c r="A56" s="1092" t="s">
        <v>131</v>
      </c>
      <c r="B56" s="1267" t="s">
        <v>132</v>
      </c>
      <c r="C56" s="1464" t="s">
        <v>275</v>
      </c>
      <c r="D56" s="1267">
        <f t="shared" si="1"/>
        <v>36003181.200000003</v>
      </c>
      <c r="E56" s="1268">
        <f t="shared" si="2"/>
        <v>18185317.330499999</v>
      </c>
      <c r="F56" s="1268">
        <f t="shared" si="3"/>
        <v>17817863.8695</v>
      </c>
      <c r="G56" s="1269">
        <v>1224844.8700000001</v>
      </c>
      <c r="H56" s="1269">
        <v>796149.1655</v>
      </c>
      <c r="I56" s="1269">
        <v>428695.70449999999</v>
      </c>
      <c r="J56" s="1269">
        <v>34778336.329999998</v>
      </c>
      <c r="K56" s="1269">
        <v>17389168.164999999</v>
      </c>
      <c r="L56" s="1269">
        <v>17389168.164999999</v>
      </c>
    </row>
    <row r="57" spans="1:12">
      <c r="A57" s="1092" t="s">
        <v>133</v>
      </c>
      <c r="B57" s="1267" t="s">
        <v>134</v>
      </c>
      <c r="C57" s="1464" t="s">
        <v>274</v>
      </c>
      <c r="D57" s="1267">
        <f t="shared" si="1"/>
        <v>79125397.039999992</v>
      </c>
      <c r="E57" s="1268">
        <f t="shared" si="2"/>
        <v>40159612.350999996</v>
      </c>
      <c r="F57" s="1268">
        <f t="shared" si="3"/>
        <v>38965784.689000003</v>
      </c>
      <c r="G57" s="1269">
        <v>3979425.54</v>
      </c>
      <c r="H57" s="1269">
        <v>2586626.6009999998</v>
      </c>
      <c r="I57" s="1269">
        <v>1392798.939</v>
      </c>
      <c r="J57" s="1269">
        <v>75145971.5</v>
      </c>
      <c r="K57" s="1269">
        <v>37572985.75</v>
      </c>
      <c r="L57" s="1269">
        <v>37572985.75</v>
      </c>
    </row>
    <row r="58" spans="1:12">
      <c r="A58" s="1092" t="s">
        <v>135</v>
      </c>
      <c r="B58" s="1267" t="s">
        <v>136</v>
      </c>
      <c r="C58" s="1464" t="s">
        <v>274</v>
      </c>
      <c r="D58" s="1267">
        <f t="shared" si="1"/>
        <v>26472083.670000002</v>
      </c>
      <c r="E58" s="1268">
        <f t="shared" si="2"/>
        <v>13395596.133000001</v>
      </c>
      <c r="F58" s="1268">
        <f t="shared" si="3"/>
        <v>13076487.537</v>
      </c>
      <c r="G58" s="1269">
        <v>1063695.32</v>
      </c>
      <c r="H58" s="1269">
        <v>691401.95799999998</v>
      </c>
      <c r="I58" s="1269">
        <v>372293.36200000002</v>
      </c>
      <c r="J58" s="1269">
        <v>25408388.350000001</v>
      </c>
      <c r="K58" s="1269">
        <v>12704194.175000001</v>
      </c>
      <c r="L58" s="1269">
        <v>12704194.175000001</v>
      </c>
    </row>
    <row r="59" spans="1:12">
      <c r="A59" s="1092" t="s">
        <v>137</v>
      </c>
      <c r="B59" s="1267" t="s">
        <v>138</v>
      </c>
      <c r="C59" s="1464" t="s">
        <v>273</v>
      </c>
      <c r="D59" s="1267">
        <f t="shared" si="1"/>
        <v>13582193.32</v>
      </c>
      <c r="E59" s="1268">
        <f t="shared" si="2"/>
        <v>6857909.5429999996</v>
      </c>
      <c r="F59" s="1268">
        <f t="shared" si="3"/>
        <v>6724283.7769999998</v>
      </c>
      <c r="G59" s="1269">
        <v>445419.22</v>
      </c>
      <c r="H59" s="1269">
        <v>289522.49300000002</v>
      </c>
      <c r="I59" s="1269">
        <v>155896.72700000001</v>
      </c>
      <c r="J59" s="1269">
        <v>13136774.1</v>
      </c>
      <c r="K59" s="1269">
        <v>6568387.0499999998</v>
      </c>
      <c r="L59" s="1269">
        <v>6568387.0499999998</v>
      </c>
    </row>
    <row r="60" spans="1:12">
      <c r="A60" s="1092" t="s">
        <v>141</v>
      </c>
      <c r="B60" s="1267" t="s">
        <v>142</v>
      </c>
      <c r="C60" s="1464" t="s">
        <v>274</v>
      </c>
      <c r="D60" s="1267">
        <f t="shared" si="1"/>
        <v>11156733.889999999</v>
      </c>
      <c r="E60" s="1268">
        <f t="shared" si="2"/>
        <v>5630594.7474999996</v>
      </c>
      <c r="F60" s="1268">
        <f t="shared" si="3"/>
        <v>5526139.1424999991</v>
      </c>
      <c r="G60" s="1269">
        <v>348185.35</v>
      </c>
      <c r="H60" s="1269">
        <v>226320.47750000001</v>
      </c>
      <c r="I60" s="1269">
        <v>121864.8725</v>
      </c>
      <c r="J60" s="1269">
        <v>10808548.539999999</v>
      </c>
      <c r="K60" s="1269">
        <v>5404274.2699999996</v>
      </c>
      <c r="L60" s="1269">
        <v>5404274.2699999996</v>
      </c>
    </row>
    <row r="61" spans="1:12">
      <c r="A61" s="1092" t="s">
        <v>147</v>
      </c>
      <c r="B61" s="1267" t="s">
        <v>148</v>
      </c>
      <c r="C61" s="1464" t="s">
        <v>271</v>
      </c>
      <c r="D61" s="1267">
        <f t="shared" si="1"/>
        <v>8263529.3900000006</v>
      </c>
      <c r="E61" s="1268">
        <f t="shared" si="2"/>
        <v>4159685.2120000003</v>
      </c>
      <c r="F61" s="1268">
        <f t="shared" si="3"/>
        <v>4103844.1780000003</v>
      </c>
      <c r="G61" s="1269">
        <v>186136.78</v>
      </c>
      <c r="H61" s="1269">
        <v>120988.90700000001</v>
      </c>
      <c r="I61" s="1269">
        <v>65147.873</v>
      </c>
      <c r="J61" s="1269">
        <v>8077392.6100000003</v>
      </c>
      <c r="K61" s="1269">
        <v>4038696.3050000002</v>
      </c>
      <c r="L61" s="1269">
        <v>4038696.3050000002</v>
      </c>
    </row>
    <row r="62" spans="1:12">
      <c r="A62" s="1092" t="s">
        <v>149</v>
      </c>
      <c r="B62" s="1267" t="s">
        <v>150</v>
      </c>
      <c r="C62" s="1464" t="s">
        <v>272</v>
      </c>
      <c r="D62" s="1267">
        <f t="shared" si="1"/>
        <v>37159968.879999995</v>
      </c>
      <c r="E62" s="1268">
        <f t="shared" si="2"/>
        <v>18774924.660499997</v>
      </c>
      <c r="F62" s="1268">
        <f t="shared" si="3"/>
        <v>18385044.219499998</v>
      </c>
      <c r="G62" s="1269">
        <v>1299601.47</v>
      </c>
      <c r="H62" s="1269">
        <v>844740.95550000004</v>
      </c>
      <c r="I62" s="1269">
        <v>454860.51449999999</v>
      </c>
      <c r="J62" s="1269">
        <v>35860367.409999996</v>
      </c>
      <c r="K62" s="1269">
        <v>17930183.704999998</v>
      </c>
      <c r="L62" s="1269">
        <v>17930183.704999998</v>
      </c>
    </row>
    <row r="63" spans="1:12">
      <c r="A63" s="1092" t="s">
        <v>151</v>
      </c>
      <c r="B63" s="1267" t="s">
        <v>152</v>
      </c>
      <c r="C63" s="1464" t="s">
        <v>273</v>
      </c>
      <c r="D63" s="1267">
        <f t="shared" si="1"/>
        <v>11530656.17</v>
      </c>
      <c r="E63" s="1268">
        <f t="shared" si="2"/>
        <v>5811192.4974999996</v>
      </c>
      <c r="F63" s="1268">
        <f t="shared" si="3"/>
        <v>5719463.6725000003</v>
      </c>
      <c r="G63" s="1269">
        <v>305762.75</v>
      </c>
      <c r="H63" s="1269">
        <v>198745.78750000001</v>
      </c>
      <c r="I63" s="1269">
        <v>107016.96249999999</v>
      </c>
      <c r="J63" s="1269">
        <v>11224893.42</v>
      </c>
      <c r="K63" s="1269">
        <v>5612446.71</v>
      </c>
      <c r="L63" s="1269">
        <v>5612446.71</v>
      </c>
    </row>
    <row r="64" spans="1:12">
      <c r="A64" s="1092" t="s">
        <v>153</v>
      </c>
      <c r="B64" s="1267" t="s">
        <v>154</v>
      </c>
      <c r="C64" s="1464" t="s">
        <v>275</v>
      </c>
      <c r="D64" s="1267">
        <f t="shared" si="1"/>
        <v>51418834.059999995</v>
      </c>
      <c r="E64" s="1268">
        <f t="shared" si="2"/>
        <v>25971944.910499997</v>
      </c>
      <c r="F64" s="1268">
        <f t="shared" si="3"/>
        <v>25446889.149499997</v>
      </c>
      <c r="G64" s="1269">
        <v>1750185.87</v>
      </c>
      <c r="H64" s="1269">
        <v>1137620.8155</v>
      </c>
      <c r="I64" s="1269">
        <v>612565.05449999997</v>
      </c>
      <c r="J64" s="1269">
        <v>49668648.189999998</v>
      </c>
      <c r="K64" s="1269">
        <v>24834324.094999999</v>
      </c>
      <c r="L64" s="1269">
        <v>24834324.094999999</v>
      </c>
    </row>
    <row r="65" spans="1:12">
      <c r="A65" s="1092" t="s">
        <v>155</v>
      </c>
      <c r="B65" s="1267" t="s">
        <v>156</v>
      </c>
      <c r="C65" s="1464" t="s">
        <v>272</v>
      </c>
      <c r="D65" s="1267">
        <f t="shared" si="1"/>
        <v>14374851.629999999</v>
      </c>
      <c r="E65" s="1268">
        <f t="shared" si="2"/>
        <v>7260786.7215</v>
      </c>
      <c r="F65" s="1268">
        <f t="shared" si="3"/>
        <v>7114064.9084999999</v>
      </c>
      <c r="G65" s="1269">
        <v>489072.71</v>
      </c>
      <c r="H65" s="1269">
        <v>317897.26150000002</v>
      </c>
      <c r="I65" s="1269">
        <v>171175.4485</v>
      </c>
      <c r="J65" s="1269">
        <v>13885778.92</v>
      </c>
      <c r="K65" s="1269">
        <v>6942889.46</v>
      </c>
      <c r="L65" s="1269">
        <v>6942889.46</v>
      </c>
    </row>
    <row r="66" spans="1:12">
      <c r="A66" s="1092" t="s">
        <v>157</v>
      </c>
      <c r="B66" s="1267" t="s">
        <v>158</v>
      </c>
      <c r="C66" s="1464" t="s">
        <v>273</v>
      </c>
      <c r="D66" s="1267">
        <f t="shared" si="1"/>
        <v>7429253.4299999997</v>
      </c>
      <c r="E66" s="1268">
        <f t="shared" si="2"/>
        <v>3788601.54</v>
      </c>
      <c r="F66" s="1268">
        <f t="shared" si="3"/>
        <v>3640651.8899999997</v>
      </c>
      <c r="G66" s="1269">
        <v>493165.5</v>
      </c>
      <c r="H66" s="1269">
        <v>320557.57500000001</v>
      </c>
      <c r="I66" s="1269">
        <v>172607.92499999999</v>
      </c>
      <c r="J66" s="1269">
        <v>6936087.9299999997</v>
      </c>
      <c r="K66" s="1269">
        <v>3468043.9649999999</v>
      </c>
      <c r="L66" s="1269">
        <v>3468043.9649999999</v>
      </c>
    </row>
    <row r="67" spans="1:12">
      <c r="A67" s="1092" t="s">
        <v>163</v>
      </c>
      <c r="B67" s="1267" t="s">
        <v>164</v>
      </c>
      <c r="C67" s="1464" t="s">
        <v>271</v>
      </c>
      <c r="D67" s="1267">
        <f t="shared" si="1"/>
        <v>19762328.699999999</v>
      </c>
      <c r="E67" s="1268">
        <f t="shared" si="2"/>
        <v>9960055.6349999998</v>
      </c>
      <c r="F67" s="1268">
        <f t="shared" si="3"/>
        <v>9802273.0649999995</v>
      </c>
      <c r="G67" s="1269">
        <v>525941.9</v>
      </c>
      <c r="H67" s="1269">
        <v>341862.23499999999</v>
      </c>
      <c r="I67" s="1269">
        <v>184079.66500000001</v>
      </c>
      <c r="J67" s="1269">
        <v>19236386.800000001</v>
      </c>
      <c r="K67" s="1269">
        <v>9618193.4000000004</v>
      </c>
      <c r="L67" s="1269">
        <v>9618193.4000000004</v>
      </c>
    </row>
    <row r="68" spans="1:12">
      <c r="A68" s="1092" t="s">
        <v>165</v>
      </c>
      <c r="B68" s="1267" t="s">
        <v>166</v>
      </c>
      <c r="C68" s="1464" t="s">
        <v>273</v>
      </c>
      <c r="D68" s="1267">
        <f t="shared" si="1"/>
        <v>9739110.4499999993</v>
      </c>
      <c r="E68" s="1268">
        <f t="shared" si="2"/>
        <v>4920643.3769999994</v>
      </c>
      <c r="F68" s="1268">
        <f t="shared" si="3"/>
        <v>4818467.0729999999</v>
      </c>
      <c r="G68" s="1269">
        <v>340587.68</v>
      </c>
      <c r="H68" s="1269">
        <v>221381.992</v>
      </c>
      <c r="I68" s="1269">
        <v>119205.68799999999</v>
      </c>
      <c r="J68" s="1269">
        <v>9398522.7699999996</v>
      </c>
      <c r="K68" s="1269">
        <v>4699261.3849999998</v>
      </c>
      <c r="L68" s="1269">
        <v>4699261.3849999998</v>
      </c>
    </row>
    <row r="69" spans="1:12">
      <c r="A69" s="1092" t="s">
        <v>169</v>
      </c>
      <c r="B69" s="1267" t="s">
        <v>170</v>
      </c>
      <c r="C69" s="1464" t="s">
        <v>273</v>
      </c>
      <c r="D69" s="1267">
        <f t="shared" si="1"/>
        <v>18494514.960000001</v>
      </c>
      <c r="E69" s="1268">
        <f t="shared" si="2"/>
        <v>9330601.8794999998</v>
      </c>
      <c r="F69" s="1268">
        <f t="shared" si="3"/>
        <v>9163913.0804999992</v>
      </c>
      <c r="G69" s="1269">
        <v>555629.32999999996</v>
      </c>
      <c r="H69" s="1269">
        <v>361159.06449999998</v>
      </c>
      <c r="I69" s="1269">
        <v>194470.26550000001</v>
      </c>
      <c r="J69" s="1269">
        <v>17938885.629999999</v>
      </c>
      <c r="K69" s="1269">
        <v>8969442.8149999995</v>
      </c>
      <c r="L69" s="1269">
        <v>8969442.8149999995</v>
      </c>
    </row>
    <row r="70" spans="1:12">
      <c r="A70" s="1092" t="s">
        <v>171</v>
      </c>
      <c r="B70" s="1267" t="s">
        <v>172</v>
      </c>
      <c r="C70" s="1464" t="s">
        <v>274</v>
      </c>
      <c r="D70" s="1267">
        <f t="shared" ref="D70:D124" si="4">+E70+F70</f>
        <v>24486788.719999999</v>
      </c>
      <c r="E70" s="1268">
        <f t="shared" ref="E70:E124" si="5">+H70+K70</f>
        <v>12453496.895499999</v>
      </c>
      <c r="F70" s="1268">
        <f t="shared" ref="F70:F124" si="6">+I70+L70</f>
        <v>12033291.8245</v>
      </c>
      <c r="G70" s="1269">
        <v>1400683.57</v>
      </c>
      <c r="H70" s="1269">
        <v>910444.32050000003</v>
      </c>
      <c r="I70" s="1269">
        <v>490239.24949999998</v>
      </c>
      <c r="J70" s="1269">
        <v>23086105.149999999</v>
      </c>
      <c r="K70" s="1269">
        <v>11543052.574999999</v>
      </c>
      <c r="L70" s="1269">
        <v>11543052.574999999</v>
      </c>
    </row>
    <row r="71" spans="1:12">
      <c r="A71" s="1092" t="s">
        <v>173</v>
      </c>
      <c r="B71" s="1267" t="s">
        <v>174</v>
      </c>
      <c r="C71" s="1464" t="s">
        <v>274</v>
      </c>
      <c r="D71" s="1267">
        <f t="shared" si="4"/>
        <v>19480329.270000003</v>
      </c>
      <c r="E71" s="1268">
        <f t="shared" si="5"/>
        <v>9859796.8605000004</v>
      </c>
      <c r="F71" s="1268">
        <f t="shared" si="6"/>
        <v>9620532.409500001</v>
      </c>
      <c r="G71" s="1269">
        <v>797548.17</v>
      </c>
      <c r="H71" s="1269">
        <v>518406.31050000002</v>
      </c>
      <c r="I71" s="1269">
        <v>279141.85950000002</v>
      </c>
      <c r="J71" s="1269">
        <v>18682781.100000001</v>
      </c>
      <c r="K71" s="1269">
        <v>9341390.5500000007</v>
      </c>
      <c r="L71" s="1269">
        <v>9341390.5500000007</v>
      </c>
    </row>
    <row r="72" spans="1:12">
      <c r="A72" s="1092" t="s">
        <v>175</v>
      </c>
      <c r="B72" s="1267" t="s">
        <v>176</v>
      </c>
      <c r="C72" s="1464" t="s">
        <v>275</v>
      </c>
      <c r="D72" s="1267">
        <f t="shared" si="4"/>
        <v>20868426.060000002</v>
      </c>
      <c r="E72" s="1268">
        <f t="shared" si="5"/>
        <v>10586964.7125</v>
      </c>
      <c r="F72" s="1268">
        <f t="shared" si="6"/>
        <v>10281461.3475</v>
      </c>
      <c r="G72" s="1269">
        <v>1018344.55</v>
      </c>
      <c r="H72" s="1269">
        <v>661923.95750000002</v>
      </c>
      <c r="I72" s="1269">
        <v>356420.59250000003</v>
      </c>
      <c r="J72" s="1269">
        <v>19850081.510000002</v>
      </c>
      <c r="K72" s="1269">
        <v>9925040.7550000008</v>
      </c>
      <c r="L72" s="1269">
        <v>9925040.7550000008</v>
      </c>
    </row>
    <row r="73" spans="1:12">
      <c r="A73" s="1092" t="s">
        <v>179</v>
      </c>
      <c r="B73" s="1267" t="s">
        <v>180</v>
      </c>
      <c r="C73" s="1464" t="s">
        <v>272</v>
      </c>
      <c r="D73" s="1267">
        <f t="shared" si="4"/>
        <v>60949594.069999993</v>
      </c>
      <c r="E73" s="1268">
        <f t="shared" si="5"/>
        <v>30776250.002499998</v>
      </c>
      <c r="F73" s="1268">
        <f t="shared" si="6"/>
        <v>30173344.067499999</v>
      </c>
      <c r="G73" s="1269">
        <v>2009686.45</v>
      </c>
      <c r="H73" s="1269">
        <v>1306296.1924999999</v>
      </c>
      <c r="I73" s="1269">
        <v>703390.25749999995</v>
      </c>
      <c r="J73" s="1269">
        <v>58939907.619999997</v>
      </c>
      <c r="K73" s="1269">
        <v>29469953.809999999</v>
      </c>
      <c r="L73" s="1269">
        <v>29469953.809999999</v>
      </c>
    </row>
    <row r="74" spans="1:12">
      <c r="A74" s="1092" t="s">
        <v>183</v>
      </c>
      <c r="B74" s="1267" t="s">
        <v>184</v>
      </c>
      <c r="C74" s="1464" t="s">
        <v>273</v>
      </c>
      <c r="D74" s="1267">
        <f t="shared" si="4"/>
        <v>9821886.8399999999</v>
      </c>
      <c r="E74" s="1268">
        <f t="shared" si="5"/>
        <v>4981596.1770000001</v>
      </c>
      <c r="F74" s="1268">
        <f t="shared" si="6"/>
        <v>4840290.6630000006</v>
      </c>
      <c r="G74" s="1269">
        <v>471018.38</v>
      </c>
      <c r="H74" s="1269">
        <v>306161.94699999999</v>
      </c>
      <c r="I74" s="1269">
        <v>164856.43299999999</v>
      </c>
      <c r="J74" s="1269">
        <v>9350868.4600000009</v>
      </c>
      <c r="K74" s="1269">
        <v>4675434.2300000004</v>
      </c>
      <c r="L74" s="1269">
        <v>4675434.2300000004</v>
      </c>
    </row>
    <row r="75" spans="1:12">
      <c r="A75" s="1092" t="s">
        <v>185</v>
      </c>
      <c r="B75" s="1267" t="s">
        <v>186</v>
      </c>
      <c r="C75" s="1464" t="s">
        <v>273</v>
      </c>
      <c r="D75" s="1267">
        <f t="shared" si="4"/>
        <v>23911770.859999999</v>
      </c>
      <c r="E75" s="1268">
        <f t="shared" si="5"/>
        <v>12034681.808500001</v>
      </c>
      <c r="F75" s="1268">
        <f t="shared" si="6"/>
        <v>11877089.0515</v>
      </c>
      <c r="G75" s="1269">
        <v>525309.18999999994</v>
      </c>
      <c r="H75" s="1269">
        <v>341450.97350000002</v>
      </c>
      <c r="I75" s="1269">
        <v>183858.21650000001</v>
      </c>
      <c r="J75" s="1269">
        <v>23386461.670000002</v>
      </c>
      <c r="K75" s="1269">
        <v>11693230.835000001</v>
      </c>
      <c r="L75" s="1269">
        <v>11693230.835000001</v>
      </c>
    </row>
    <row r="76" spans="1:12">
      <c r="A76" s="1092" t="s">
        <v>187</v>
      </c>
      <c r="B76" s="1267" t="s">
        <v>188</v>
      </c>
      <c r="C76" s="1464" t="s">
        <v>271</v>
      </c>
      <c r="D76" s="1267">
        <f t="shared" si="4"/>
        <v>14394970.52</v>
      </c>
      <c r="E76" s="1268">
        <f t="shared" si="5"/>
        <v>7282538.6829999993</v>
      </c>
      <c r="F76" s="1268">
        <f t="shared" si="6"/>
        <v>7112431.8369999994</v>
      </c>
      <c r="G76" s="1269">
        <v>567022.81999999995</v>
      </c>
      <c r="H76" s="1269">
        <v>368564.83299999998</v>
      </c>
      <c r="I76" s="1269">
        <v>198457.98699999999</v>
      </c>
      <c r="J76" s="1269">
        <v>13827947.699999999</v>
      </c>
      <c r="K76" s="1269">
        <v>6913973.8499999996</v>
      </c>
      <c r="L76" s="1269">
        <v>6913973.8499999996</v>
      </c>
    </row>
    <row r="77" spans="1:12">
      <c r="A77" s="1092" t="s">
        <v>189</v>
      </c>
      <c r="B77" s="1267" t="s">
        <v>190</v>
      </c>
      <c r="C77" s="1464" t="s">
        <v>274</v>
      </c>
      <c r="D77" s="1267">
        <f t="shared" si="4"/>
        <v>183996718.47000003</v>
      </c>
      <c r="E77" s="1268">
        <f t="shared" si="5"/>
        <v>94003993.243500009</v>
      </c>
      <c r="F77" s="1268">
        <f t="shared" si="6"/>
        <v>89992725.226500005</v>
      </c>
      <c r="G77" s="1269">
        <v>13370893.390000001</v>
      </c>
      <c r="H77" s="1269">
        <v>8691080.7035000008</v>
      </c>
      <c r="I77" s="1269">
        <v>4679812.6864999998</v>
      </c>
      <c r="J77" s="1269">
        <v>170625825.08000001</v>
      </c>
      <c r="K77" s="1269">
        <v>85312912.540000007</v>
      </c>
      <c r="L77" s="1269">
        <v>85312912.540000007</v>
      </c>
    </row>
    <row r="78" spans="1:12">
      <c r="A78" s="1092" t="s">
        <v>191</v>
      </c>
      <c r="B78" s="1267" t="s">
        <v>192</v>
      </c>
      <c r="C78" s="1464" t="s">
        <v>275</v>
      </c>
      <c r="D78" s="1267">
        <f t="shared" si="4"/>
        <v>34809876.960000001</v>
      </c>
      <c r="E78" s="1268">
        <f t="shared" si="5"/>
        <v>17596162.420499999</v>
      </c>
      <c r="F78" s="1268">
        <f t="shared" si="6"/>
        <v>17213714.539500002</v>
      </c>
      <c r="G78" s="1269">
        <v>1274826.27</v>
      </c>
      <c r="H78" s="1269">
        <v>828637.07550000004</v>
      </c>
      <c r="I78" s="1269">
        <v>446189.19449999998</v>
      </c>
      <c r="J78" s="1269">
        <v>33535050.690000001</v>
      </c>
      <c r="K78" s="1269">
        <v>16767525.345000001</v>
      </c>
      <c r="L78" s="1269">
        <v>16767525.345000001</v>
      </c>
    </row>
    <row r="79" spans="1:12">
      <c r="A79" s="1092" t="s">
        <v>195</v>
      </c>
      <c r="B79" s="1267" t="s">
        <v>196</v>
      </c>
      <c r="C79" s="1464" t="s">
        <v>274</v>
      </c>
      <c r="D79" s="1267">
        <f t="shared" si="4"/>
        <v>4110401.3499999996</v>
      </c>
      <c r="E79" s="1268">
        <f t="shared" si="5"/>
        <v>2077943.5549999999</v>
      </c>
      <c r="F79" s="1268">
        <f t="shared" si="6"/>
        <v>2032457.7949999999</v>
      </c>
      <c r="G79" s="1269">
        <v>151619.20000000001</v>
      </c>
      <c r="H79" s="1269">
        <v>98552.48</v>
      </c>
      <c r="I79" s="1269">
        <v>53066.720000000001</v>
      </c>
      <c r="J79" s="1269">
        <v>3958782.15</v>
      </c>
      <c r="K79" s="1269">
        <v>1979391.075</v>
      </c>
      <c r="L79" s="1269">
        <v>1979391.075</v>
      </c>
    </row>
    <row r="80" spans="1:12">
      <c r="A80" s="1092" t="s">
        <v>199</v>
      </c>
      <c r="B80" s="1267" t="s">
        <v>200</v>
      </c>
      <c r="C80" s="1464" t="s">
        <v>273</v>
      </c>
      <c r="D80" s="1267">
        <f t="shared" si="4"/>
        <v>8697059.5700000003</v>
      </c>
      <c r="E80" s="1268">
        <f t="shared" si="5"/>
        <v>4392599.4909999995</v>
      </c>
      <c r="F80" s="1268">
        <f t="shared" si="6"/>
        <v>4304460.0789999999</v>
      </c>
      <c r="G80" s="1269">
        <v>293798.03999999998</v>
      </c>
      <c r="H80" s="1269">
        <v>190968.726</v>
      </c>
      <c r="I80" s="1269">
        <v>102829.314</v>
      </c>
      <c r="J80" s="1269">
        <v>8403261.5299999993</v>
      </c>
      <c r="K80" s="1269">
        <v>4201630.7649999997</v>
      </c>
      <c r="L80" s="1269">
        <v>4201630.7649999997</v>
      </c>
    </row>
    <row r="81" spans="1:12">
      <c r="A81" s="1092" t="s">
        <v>203</v>
      </c>
      <c r="B81" s="1267" t="s">
        <v>204</v>
      </c>
      <c r="C81" s="1464" t="s">
        <v>272</v>
      </c>
      <c r="D81" s="1267">
        <f t="shared" si="4"/>
        <v>72305570.780000001</v>
      </c>
      <c r="E81" s="1268">
        <f t="shared" si="5"/>
        <v>36502880.077</v>
      </c>
      <c r="F81" s="1268">
        <f t="shared" si="6"/>
        <v>35802690.703000002</v>
      </c>
      <c r="G81" s="1269">
        <v>2333964.58</v>
      </c>
      <c r="H81" s="1269">
        <v>1517076.977</v>
      </c>
      <c r="I81" s="1269">
        <v>816887.603</v>
      </c>
      <c r="J81" s="1269">
        <v>69971606.200000003</v>
      </c>
      <c r="K81" s="1269">
        <v>34985803.100000001</v>
      </c>
      <c r="L81" s="1269">
        <v>34985803.100000001</v>
      </c>
    </row>
    <row r="82" spans="1:12">
      <c r="A82" s="1092" t="s">
        <v>205</v>
      </c>
      <c r="B82" s="1267" t="s">
        <v>206</v>
      </c>
      <c r="C82" s="1464" t="s">
        <v>272</v>
      </c>
      <c r="D82" s="1267">
        <f t="shared" si="4"/>
        <v>29564283.759999998</v>
      </c>
      <c r="E82" s="1268">
        <f t="shared" si="5"/>
        <v>14934434.670499999</v>
      </c>
      <c r="F82" s="1268">
        <f t="shared" si="6"/>
        <v>14629849.089499999</v>
      </c>
      <c r="G82" s="1269">
        <v>1015285.27</v>
      </c>
      <c r="H82" s="1269">
        <v>659935.42550000001</v>
      </c>
      <c r="I82" s="1269">
        <v>355349.84450000001</v>
      </c>
      <c r="J82" s="1269">
        <v>28548998.489999998</v>
      </c>
      <c r="K82" s="1269">
        <v>14274499.244999999</v>
      </c>
      <c r="L82" s="1269">
        <v>14274499.244999999</v>
      </c>
    </row>
    <row r="83" spans="1:12">
      <c r="A83" s="1092" t="s">
        <v>207</v>
      </c>
      <c r="B83" s="1267" t="s">
        <v>208</v>
      </c>
      <c r="C83" s="1464" t="s">
        <v>274</v>
      </c>
      <c r="D83" s="1267">
        <f t="shared" si="4"/>
        <v>75558567.669999987</v>
      </c>
      <c r="E83" s="1268">
        <f t="shared" si="5"/>
        <v>38369561.565499999</v>
      </c>
      <c r="F83" s="1268">
        <f t="shared" si="6"/>
        <v>37189006.104499996</v>
      </c>
      <c r="G83" s="1269">
        <v>3935184.87</v>
      </c>
      <c r="H83" s="1269">
        <v>2557870.1655000001</v>
      </c>
      <c r="I83" s="1269">
        <v>1377314.7045</v>
      </c>
      <c r="J83" s="1269">
        <v>71623382.799999997</v>
      </c>
      <c r="K83" s="1269">
        <v>35811691.399999999</v>
      </c>
      <c r="L83" s="1269">
        <v>35811691.399999999</v>
      </c>
    </row>
    <row r="84" spans="1:12">
      <c r="A84" s="1092" t="s">
        <v>209</v>
      </c>
      <c r="B84" s="1267" t="s">
        <v>210</v>
      </c>
      <c r="C84" s="1464" t="s">
        <v>275</v>
      </c>
      <c r="D84" s="1267">
        <f t="shared" si="4"/>
        <v>31945438.130000003</v>
      </c>
      <c r="E84" s="1268">
        <f t="shared" si="5"/>
        <v>16209580.606000001</v>
      </c>
      <c r="F84" s="1268">
        <f t="shared" si="6"/>
        <v>15735857.524</v>
      </c>
      <c r="G84" s="1269">
        <v>1579076.94</v>
      </c>
      <c r="H84" s="1269">
        <v>1026400.0110000001</v>
      </c>
      <c r="I84" s="1269">
        <v>552676.929</v>
      </c>
      <c r="J84" s="1269">
        <v>30366361.190000001</v>
      </c>
      <c r="K84" s="1269">
        <v>15183180.595000001</v>
      </c>
      <c r="L84" s="1269">
        <v>15183180.595000001</v>
      </c>
    </row>
    <row r="85" spans="1:12">
      <c r="A85" s="1092" t="s">
        <v>211</v>
      </c>
      <c r="B85" s="1267" t="s">
        <v>212</v>
      </c>
      <c r="C85" s="1464" t="s">
        <v>275</v>
      </c>
      <c r="D85" s="1267">
        <f t="shared" si="4"/>
        <v>27876058.710000001</v>
      </c>
      <c r="E85" s="1268">
        <f t="shared" si="5"/>
        <v>14044011.309</v>
      </c>
      <c r="F85" s="1268">
        <f t="shared" si="6"/>
        <v>13832047.401000001</v>
      </c>
      <c r="G85" s="1269">
        <v>706546.36</v>
      </c>
      <c r="H85" s="1269">
        <v>459255.13400000002</v>
      </c>
      <c r="I85" s="1269">
        <v>247291.226</v>
      </c>
      <c r="J85" s="1269">
        <v>27169512.350000001</v>
      </c>
      <c r="K85" s="1269">
        <v>13584756.175000001</v>
      </c>
      <c r="L85" s="1269">
        <v>13584756.175000001</v>
      </c>
    </row>
    <row r="86" spans="1:12">
      <c r="A86" s="1092" t="s">
        <v>213</v>
      </c>
      <c r="B86" s="1267" t="s">
        <v>214</v>
      </c>
      <c r="C86" s="1464" t="s">
        <v>274</v>
      </c>
      <c r="D86" s="1267">
        <f t="shared" si="4"/>
        <v>31073944.920000002</v>
      </c>
      <c r="E86" s="1268">
        <f t="shared" si="5"/>
        <v>15734081.031000001</v>
      </c>
      <c r="F86" s="1268">
        <f t="shared" si="6"/>
        <v>15339863.889</v>
      </c>
      <c r="G86" s="1269">
        <v>1314057.1399999999</v>
      </c>
      <c r="H86" s="1269">
        <v>854137.14099999995</v>
      </c>
      <c r="I86" s="1269">
        <v>459919.99900000001</v>
      </c>
      <c r="J86" s="1269">
        <v>29759887.780000001</v>
      </c>
      <c r="K86" s="1269">
        <v>14879943.890000001</v>
      </c>
      <c r="L86" s="1269">
        <v>14879943.890000001</v>
      </c>
    </row>
    <row r="87" spans="1:12">
      <c r="A87" s="1092" t="s">
        <v>215</v>
      </c>
      <c r="B87" s="1267" t="s">
        <v>216</v>
      </c>
      <c r="C87" s="1464" t="s">
        <v>275</v>
      </c>
      <c r="D87" s="1267">
        <f t="shared" si="4"/>
        <v>35696711.020000003</v>
      </c>
      <c r="E87" s="1268">
        <f t="shared" si="5"/>
        <v>18108714.065000001</v>
      </c>
      <c r="F87" s="1268">
        <f t="shared" si="6"/>
        <v>17587996.955000002</v>
      </c>
      <c r="G87" s="1269">
        <v>1735723.7</v>
      </c>
      <c r="H87" s="1269">
        <v>1128220.405</v>
      </c>
      <c r="I87" s="1269">
        <v>607503.29500000004</v>
      </c>
      <c r="J87" s="1269">
        <v>33960987.32</v>
      </c>
      <c r="K87" s="1269">
        <v>16980493.66</v>
      </c>
      <c r="L87" s="1269">
        <v>16980493.66</v>
      </c>
    </row>
    <row r="88" spans="1:12">
      <c r="A88" s="1092" t="s">
        <v>217</v>
      </c>
      <c r="B88" s="1267" t="s">
        <v>218</v>
      </c>
      <c r="C88" s="1464" t="s">
        <v>271</v>
      </c>
      <c r="D88" s="1267">
        <f t="shared" si="4"/>
        <v>18835480.399999999</v>
      </c>
      <c r="E88" s="1268">
        <f t="shared" si="5"/>
        <v>9514442.4295000006</v>
      </c>
      <c r="F88" s="1268">
        <f t="shared" si="6"/>
        <v>9321037.9704999998</v>
      </c>
      <c r="G88" s="1269">
        <v>644681.53</v>
      </c>
      <c r="H88" s="1269">
        <v>419042.99449999997</v>
      </c>
      <c r="I88" s="1269">
        <v>225638.5355</v>
      </c>
      <c r="J88" s="1269">
        <v>18190798.870000001</v>
      </c>
      <c r="K88" s="1269">
        <v>9095399.4350000005</v>
      </c>
      <c r="L88" s="1269">
        <v>9095399.4350000005</v>
      </c>
    </row>
    <row r="89" spans="1:12">
      <c r="A89" s="1092" t="s">
        <v>219</v>
      </c>
      <c r="B89" s="1267" t="s">
        <v>220</v>
      </c>
      <c r="C89" s="1464" t="s">
        <v>274</v>
      </c>
      <c r="D89" s="1267">
        <f t="shared" si="4"/>
        <v>68885047.140000001</v>
      </c>
      <c r="E89" s="1268">
        <f t="shared" si="5"/>
        <v>34843661.675999999</v>
      </c>
      <c r="F89" s="1268">
        <f t="shared" si="6"/>
        <v>34041385.464000002</v>
      </c>
      <c r="G89" s="1269">
        <v>2674254.04</v>
      </c>
      <c r="H89" s="1269">
        <v>1738265.1259999999</v>
      </c>
      <c r="I89" s="1269">
        <v>935988.91399999999</v>
      </c>
      <c r="J89" s="1269">
        <v>66210793.100000001</v>
      </c>
      <c r="K89" s="1269">
        <v>33105396.550000001</v>
      </c>
      <c r="L89" s="1269">
        <v>33105396.550000001</v>
      </c>
    </row>
    <row r="90" spans="1:12">
      <c r="A90" s="1092" t="s">
        <v>221</v>
      </c>
      <c r="B90" s="1267" t="s">
        <v>222</v>
      </c>
      <c r="C90" s="1464" t="s">
        <v>274</v>
      </c>
      <c r="D90" s="1267">
        <f t="shared" si="4"/>
        <v>52893567.489999995</v>
      </c>
      <c r="E90" s="1268">
        <f t="shared" si="5"/>
        <v>26801412.976999998</v>
      </c>
      <c r="F90" s="1268">
        <f t="shared" si="6"/>
        <v>26092154.513</v>
      </c>
      <c r="G90" s="1269">
        <v>2364194.88</v>
      </c>
      <c r="H90" s="1269">
        <v>1536726.672</v>
      </c>
      <c r="I90" s="1269">
        <v>827468.20799999998</v>
      </c>
      <c r="J90" s="1269">
        <v>50529372.609999999</v>
      </c>
      <c r="K90" s="1269">
        <v>25264686.305</v>
      </c>
      <c r="L90" s="1269">
        <v>25264686.305</v>
      </c>
    </row>
    <row r="91" spans="1:12">
      <c r="A91" s="1092" t="s">
        <v>225</v>
      </c>
      <c r="B91" s="1267" t="s">
        <v>226</v>
      </c>
      <c r="C91" s="1464" t="s">
        <v>271</v>
      </c>
      <c r="D91" s="1267">
        <f t="shared" si="4"/>
        <v>6548220.71</v>
      </c>
      <c r="E91" s="1268">
        <f t="shared" si="5"/>
        <v>3315848.7055000002</v>
      </c>
      <c r="F91" s="1268">
        <f t="shared" si="6"/>
        <v>3232372.0044999998</v>
      </c>
      <c r="G91" s="1269">
        <v>278255.67</v>
      </c>
      <c r="H91" s="1269">
        <v>180866.18549999999</v>
      </c>
      <c r="I91" s="1269">
        <v>97389.484500000006</v>
      </c>
      <c r="J91" s="1269">
        <v>6269965.04</v>
      </c>
      <c r="K91" s="1269">
        <v>3134982.52</v>
      </c>
      <c r="L91" s="1269">
        <v>3134982.52</v>
      </c>
    </row>
    <row r="92" spans="1:12">
      <c r="A92" s="1092" t="s">
        <v>227</v>
      </c>
      <c r="B92" s="1267" t="s">
        <v>228</v>
      </c>
      <c r="C92" s="1464" t="s">
        <v>271</v>
      </c>
      <c r="D92" s="1267">
        <f t="shared" si="4"/>
        <v>15523934.879999999</v>
      </c>
      <c r="E92" s="1268">
        <f t="shared" si="5"/>
        <v>7804394.0324999997</v>
      </c>
      <c r="F92" s="1268">
        <f t="shared" si="6"/>
        <v>7719540.8475000001</v>
      </c>
      <c r="G92" s="1269">
        <v>282843.95</v>
      </c>
      <c r="H92" s="1269">
        <v>183848.5675</v>
      </c>
      <c r="I92" s="1269">
        <v>98995.382500000007</v>
      </c>
      <c r="J92" s="1269">
        <v>15241090.93</v>
      </c>
      <c r="K92" s="1269">
        <v>7620545.4649999999</v>
      </c>
      <c r="L92" s="1269">
        <v>7620545.4649999999</v>
      </c>
    </row>
    <row r="93" spans="1:12">
      <c r="A93" s="1092" t="s">
        <v>229</v>
      </c>
      <c r="B93" s="1267" t="s">
        <v>230</v>
      </c>
      <c r="C93" s="1464" t="s">
        <v>275</v>
      </c>
      <c r="D93" s="1267">
        <f t="shared" si="4"/>
        <v>45953925.160000004</v>
      </c>
      <c r="E93" s="1268">
        <f t="shared" si="5"/>
        <v>23274403.628000002</v>
      </c>
      <c r="F93" s="1268">
        <f t="shared" si="6"/>
        <v>22679521.532000002</v>
      </c>
      <c r="G93" s="1269">
        <v>1982940.32</v>
      </c>
      <c r="H93" s="1269">
        <v>1288911.2080000001</v>
      </c>
      <c r="I93" s="1269">
        <v>694029.11199999996</v>
      </c>
      <c r="J93" s="1269">
        <v>43970984.840000004</v>
      </c>
      <c r="K93" s="1269">
        <v>21985492.420000002</v>
      </c>
      <c r="L93" s="1269">
        <v>21985492.420000002</v>
      </c>
    </row>
    <row r="94" spans="1:12">
      <c r="A94" s="1092" t="s">
        <v>233</v>
      </c>
      <c r="B94" s="1267" t="s">
        <v>234</v>
      </c>
      <c r="C94" s="1464" t="s">
        <v>274</v>
      </c>
      <c r="D94" s="1267">
        <f t="shared" si="4"/>
        <v>28025052.239999998</v>
      </c>
      <c r="E94" s="1268">
        <f t="shared" si="5"/>
        <v>14206888.647</v>
      </c>
      <c r="F94" s="1268">
        <f t="shared" si="6"/>
        <v>13818163.592999998</v>
      </c>
      <c r="G94" s="1269">
        <v>1295750.18</v>
      </c>
      <c r="H94" s="1269">
        <v>842237.61699999997</v>
      </c>
      <c r="I94" s="1269">
        <v>453512.56300000002</v>
      </c>
      <c r="J94" s="1269">
        <v>26729302.059999999</v>
      </c>
      <c r="K94" s="1269">
        <v>13364651.029999999</v>
      </c>
      <c r="L94" s="1269">
        <v>13364651.029999999</v>
      </c>
    </row>
    <row r="95" spans="1:12">
      <c r="A95" s="1092" t="s">
        <v>235</v>
      </c>
      <c r="B95" s="1267" t="s">
        <v>236</v>
      </c>
      <c r="C95" s="1464" t="s">
        <v>275</v>
      </c>
      <c r="D95" s="1267">
        <f t="shared" si="4"/>
        <v>42606603.340000004</v>
      </c>
      <c r="E95" s="1268">
        <f t="shared" si="5"/>
        <v>21594860.245999999</v>
      </c>
      <c r="F95" s="1268">
        <f t="shared" si="6"/>
        <v>21011743.094000001</v>
      </c>
      <c r="G95" s="1269">
        <v>1943723.84</v>
      </c>
      <c r="H95" s="1269">
        <v>1263420.496</v>
      </c>
      <c r="I95" s="1269">
        <v>680303.34400000004</v>
      </c>
      <c r="J95" s="1269">
        <v>40662879.5</v>
      </c>
      <c r="K95" s="1269">
        <v>20331439.75</v>
      </c>
      <c r="L95" s="1269">
        <v>20331439.75</v>
      </c>
    </row>
    <row r="96" spans="1:12">
      <c r="A96" s="1092" t="s">
        <v>237</v>
      </c>
      <c r="B96" s="1267" t="s">
        <v>238</v>
      </c>
      <c r="C96" s="1464" t="s">
        <v>273</v>
      </c>
      <c r="D96" s="1267">
        <f t="shared" si="4"/>
        <v>16004039.280000001</v>
      </c>
      <c r="E96" s="1268">
        <f t="shared" si="5"/>
        <v>8082822.0255000005</v>
      </c>
      <c r="F96" s="1268">
        <f t="shared" si="6"/>
        <v>7921217.2545000007</v>
      </c>
      <c r="G96" s="1269">
        <v>538682.56999999995</v>
      </c>
      <c r="H96" s="1269">
        <v>350143.67050000001</v>
      </c>
      <c r="I96" s="1269">
        <v>188538.8995</v>
      </c>
      <c r="J96" s="1269">
        <v>15465356.710000001</v>
      </c>
      <c r="K96" s="1269">
        <v>7732678.3550000004</v>
      </c>
      <c r="L96" s="1269">
        <v>7732678.3550000004</v>
      </c>
    </row>
    <row r="97" spans="1:12">
      <c r="A97" s="1092" t="s">
        <v>243</v>
      </c>
      <c r="B97" s="1267" t="s">
        <v>244</v>
      </c>
      <c r="C97" s="1464" t="s">
        <v>275</v>
      </c>
      <c r="D97" s="1267">
        <f t="shared" si="4"/>
        <v>56562274.49000001</v>
      </c>
      <c r="E97" s="1268">
        <f t="shared" si="5"/>
        <v>28475735.503000002</v>
      </c>
      <c r="F97" s="1268">
        <f t="shared" si="6"/>
        <v>28086538.987000003</v>
      </c>
      <c r="G97" s="1269">
        <v>1297321.72</v>
      </c>
      <c r="H97" s="1269">
        <v>843259.11800000002</v>
      </c>
      <c r="I97" s="1269">
        <v>454062.60200000001</v>
      </c>
      <c r="J97" s="1269">
        <v>55264952.770000003</v>
      </c>
      <c r="K97" s="1269">
        <v>27632476.385000002</v>
      </c>
      <c r="L97" s="1269">
        <v>27632476.385000002</v>
      </c>
    </row>
    <row r="98" spans="1:12">
      <c r="A98" s="1092" t="s">
        <v>245</v>
      </c>
      <c r="B98" s="1267" t="s">
        <v>246</v>
      </c>
      <c r="C98" s="1464" t="s">
        <v>275</v>
      </c>
      <c r="D98" s="1267">
        <f t="shared" si="4"/>
        <v>29503947.109999999</v>
      </c>
      <c r="E98" s="1268">
        <f t="shared" si="5"/>
        <v>14916944.893000001</v>
      </c>
      <c r="F98" s="1268">
        <f t="shared" si="6"/>
        <v>14587002.217</v>
      </c>
      <c r="G98" s="1269">
        <v>1099808.92</v>
      </c>
      <c r="H98" s="1269">
        <v>714875.79799999995</v>
      </c>
      <c r="I98" s="1269">
        <v>384933.12199999997</v>
      </c>
      <c r="J98" s="1269">
        <v>28404138.190000001</v>
      </c>
      <c r="K98" s="1269">
        <v>14202069.095000001</v>
      </c>
      <c r="L98" s="1269">
        <v>14202069.095000001</v>
      </c>
    </row>
    <row r="99" spans="1:12">
      <c r="A99" s="1092" t="s">
        <v>247</v>
      </c>
      <c r="B99" s="1267" t="s">
        <v>332</v>
      </c>
      <c r="C99" s="1464" t="s">
        <v>271</v>
      </c>
      <c r="D99" s="1267">
        <f t="shared" si="4"/>
        <v>23238538.530000001</v>
      </c>
      <c r="E99" s="1268">
        <f t="shared" si="5"/>
        <v>11733097.171500001</v>
      </c>
      <c r="F99" s="1268">
        <f t="shared" si="6"/>
        <v>11505441.3585</v>
      </c>
      <c r="G99" s="1269">
        <v>758852.71</v>
      </c>
      <c r="H99" s="1269">
        <v>493254.26150000002</v>
      </c>
      <c r="I99" s="1269">
        <v>265598.4485</v>
      </c>
      <c r="J99" s="1269">
        <v>22479685.82</v>
      </c>
      <c r="K99" s="1269">
        <v>11239842.91</v>
      </c>
      <c r="L99" s="1269">
        <v>11239842.91</v>
      </c>
    </row>
    <row r="100" spans="1:12">
      <c r="A100" s="1092" t="s">
        <v>14</v>
      </c>
      <c r="B100" s="1267" t="s">
        <v>15</v>
      </c>
      <c r="C100" s="1464" t="s">
        <v>274</v>
      </c>
      <c r="D100" s="1267">
        <f t="shared" si="4"/>
        <v>72080862.010000005</v>
      </c>
      <c r="E100" s="1268">
        <f t="shared" si="5"/>
        <v>36593276.5295</v>
      </c>
      <c r="F100" s="1268">
        <f t="shared" si="6"/>
        <v>35487585.480500005</v>
      </c>
      <c r="G100" s="1269">
        <v>3685636.83</v>
      </c>
      <c r="H100" s="1269">
        <v>2395663.9394999999</v>
      </c>
      <c r="I100" s="1269">
        <v>1289972.8905</v>
      </c>
      <c r="J100" s="1269">
        <v>68395225.180000007</v>
      </c>
      <c r="K100" s="1269">
        <v>34197612.590000004</v>
      </c>
      <c r="L100" s="1269">
        <v>34197612.590000004</v>
      </c>
    </row>
    <row r="101" spans="1:12">
      <c r="A101" s="1092" t="s">
        <v>35</v>
      </c>
      <c r="B101" s="1267" t="s">
        <v>36</v>
      </c>
      <c r="C101" s="1464" t="s">
        <v>275</v>
      </c>
      <c r="D101" s="1267">
        <f t="shared" si="4"/>
        <v>22303453.079999998</v>
      </c>
      <c r="E101" s="1268">
        <f t="shared" si="5"/>
        <v>11250759.791999999</v>
      </c>
      <c r="F101" s="1268">
        <f t="shared" si="6"/>
        <v>11052693.287999999</v>
      </c>
      <c r="G101" s="1269">
        <v>660221.68000000005</v>
      </c>
      <c r="H101" s="1269">
        <v>429144.092</v>
      </c>
      <c r="I101" s="1269">
        <v>231077.58799999999</v>
      </c>
      <c r="J101" s="1269">
        <v>21643231.399999999</v>
      </c>
      <c r="K101" s="1269">
        <v>10821615.699999999</v>
      </c>
      <c r="L101" s="1269">
        <v>10821615.699999999</v>
      </c>
    </row>
    <row r="102" spans="1:12">
      <c r="A102" s="1092" t="s">
        <v>53</v>
      </c>
      <c r="B102" s="1267" t="s">
        <v>54</v>
      </c>
      <c r="C102" s="1464" t="s">
        <v>272</v>
      </c>
      <c r="D102" s="1267">
        <f t="shared" si="4"/>
        <v>44552595.519999996</v>
      </c>
      <c r="E102" s="1268">
        <f t="shared" si="5"/>
        <v>22452808.280000001</v>
      </c>
      <c r="F102" s="1268">
        <f t="shared" si="6"/>
        <v>22099787.239999998</v>
      </c>
      <c r="G102" s="1269">
        <v>1176736.8</v>
      </c>
      <c r="H102" s="1269">
        <v>764878.92</v>
      </c>
      <c r="I102" s="1269">
        <v>411857.88</v>
      </c>
      <c r="J102" s="1269">
        <v>43375858.719999999</v>
      </c>
      <c r="K102" s="1269">
        <v>21687929.359999999</v>
      </c>
      <c r="L102" s="1269">
        <v>21687929.359999999</v>
      </c>
    </row>
    <row r="103" spans="1:12">
      <c r="A103" s="1092" t="s">
        <v>55</v>
      </c>
      <c r="B103" s="1267" t="s">
        <v>56</v>
      </c>
      <c r="C103" s="1464" t="s">
        <v>271</v>
      </c>
      <c r="D103" s="1267">
        <f t="shared" si="4"/>
        <v>133885617.06</v>
      </c>
      <c r="E103" s="1268">
        <f t="shared" si="5"/>
        <v>67614114.457499996</v>
      </c>
      <c r="F103" s="1268">
        <f t="shared" si="6"/>
        <v>66271502.602499999</v>
      </c>
      <c r="G103" s="1269">
        <v>4475372.8499999996</v>
      </c>
      <c r="H103" s="1269">
        <v>2908992.3525</v>
      </c>
      <c r="I103" s="1269">
        <v>1566380.4975000001</v>
      </c>
      <c r="J103" s="1269">
        <v>129410244.20999999</v>
      </c>
      <c r="K103" s="1269">
        <v>64705122.104999997</v>
      </c>
      <c r="L103" s="1269">
        <v>64705122.104999997</v>
      </c>
    </row>
    <row r="104" spans="1:12">
      <c r="A104" s="1092" t="s">
        <v>67</v>
      </c>
      <c r="B104" s="1267" t="s">
        <v>68</v>
      </c>
      <c r="C104" s="1464" t="s">
        <v>272</v>
      </c>
      <c r="D104" s="1267">
        <f t="shared" si="4"/>
        <v>79753163.129999995</v>
      </c>
      <c r="E104" s="1268">
        <f t="shared" si="5"/>
        <v>40048652.667000003</v>
      </c>
      <c r="F104" s="1268">
        <f t="shared" si="6"/>
        <v>39704510.463</v>
      </c>
      <c r="G104" s="1269">
        <v>1147140.68</v>
      </c>
      <c r="H104" s="1269">
        <v>745641.44200000004</v>
      </c>
      <c r="I104" s="1269">
        <v>401499.23800000001</v>
      </c>
      <c r="J104" s="1269">
        <v>78606022.450000003</v>
      </c>
      <c r="K104" s="1269">
        <v>39303011.225000001</v>
      </c>
      <c r="L104" s="1269">
        <v>39303011.225000001</v>
      </c>
    </row>
    <row r="105" spans="1:12">
      <c r="A105" s="1092" t="s">
        <v>83</v>
      </c>
      <c r="B105" s="1267" t="s">
        <v>333</v>
      </c>
      <c r="C105" s="1464" t="s">
        <v>271</v>
      </c>
      <c r="D105" s="1267">
        <f t="shared" si="4"/>
        <v>18079994.470000003</v>
      </c>
      <c r="E105" s="1268">
        <f t="shared" si="5"/>
        <v>9110743.3175000008</v>
      </c>
      <c r="F105" s="1268">
        <f t="shared" si="6"/>
        <v>8969251.1525000017</v>
      </c>
      <c r="G105" s="1269">
        <v>471640.55</v>
      </c>
      <c r="H105" s="1269">
        <v>306566.35749999998</v>
      </c>
      <c r="I105" s="1269">
        <v>165074.1925</v>
      </c>
      <c r="J105" s="1269">
        <v>17608353.920000002</v>
      </c>
      <c r="K105" s="1269">
        <v>8804176.9600000009</v>
      </c>
      <c r="L105" s="1269">
        <v>8804176.9600000009</v>
      </c>
    </row>
    <row r="106" spans="1:12">
      <c r="A106" s="1092" t="s">
        <v>89</v>
      </c>
      <c r="B106" s="1267" t="s">
        <v>90</v>
      </c>
      <c r="C106" s="1464" t="s">
        <v>274</v>
      </c>
      <c r="D106" s="1267">
        <f t="shared" si="4"/>
        <v>26023254.43</v>
      </c>
      <c r="E106" s="1268">
        <f t="shared" si="5"/>
        <v>13112525.999</v>
      </c>
      <c r="F106" s="1268">
        <f t="shared" si="6"/>
        <v>12910728.431</v>
      </c>
      <c r="G106" s="1269">
        <v>672658.56</v>
      </c>
      <c r="H106" s="1269">
        <v>437228.06400000001</v>
      </c>
      <c r="I106" s="1269">
        <v>235430.49600000001</v>
      </c>
      <c r="J106" s="1269">
        <v>25350595.870000001</v>
      </c>
      <c r="K106" s="1269">
        <v>12675297.935000001</v>
      </c>
      <c r="L106" s="1269">
        <v>12675297.935000001</v>
      </c>
    </row>
    <row r="107" spans="1:12">
      <c r="A107" s="1092" t="s">
        <v>91</v>
      </c>
      <c r="B107" s="1267" t="s">
        <v>92</v>
      </c>
      <c r="C107" s="1464" t="s">
        <v>275</v>
      </c>
      <c r="D107" s="1267">
        <f t="shared" si="4"/>
        <v>12102326.279999999</v>
      </c>
      <c r="E107" s="1268">
        <f t="shared" si="5"/>
        <v>6084764.0654999996</v>
      </c>
      <c r="F107" s="1268">
        <f t="shared" si="6"/>
        <v>6017562.2144999998</v>
      </c>
      <c r="G107" s="1269">
        <v>224006.17</v>
      </c>
      <c r="H107" s="1269">
        <v>145604.0105</v>
      </c>
      <c r="I107" s="1269">
        <v>78402.159499999994</v>
      </c>
      <c r="J107" s="1269">
        <v>11878320.109999999</v>
      </c>
      <c r="K107" s="1269">
        <v>5939160.0549999997</v>
      </c>
      <c r="L107" s="1269">
        <v>5939160.0549999997</v>
      </c>
    </row>
    <row r="108" spans="1:12">
      <c r="A108" s="1092" t="s">
        <v>107</v>
      </c>
      <c r="B108" s="1267" t="s">
        <v>108</v>
      </c>
      <c r="C108" s="1464" t="s">
        <v>271</v>
      </c>
      <c r="D108" s="1267">
        <f t="shared" si="4"/>
        <v>134293089.97999999</v>
      </c>
      <c r="E108" s="1268">
        <f t="shared" si="5"/>
        <v>67810844.667999998</v>
      </c>
      <c r="F108" s="1268">
        <f t="shared" si="6"/>
        <v>66482245.311999999</v>
      </c>
      <c r="G108" s="1269">
        <v>4428664.5199999996</v>
      </c>
      <c r="H108" s="1269">
        <v>2878631.9380000001</v>
      </c>
      <c r="I108" s="1269">
        <v>1550032.5819999999</v>
      </c>
      <c r="J108" s="1269">
        <v>129864425.45999999</v>
      </c>
      <c r="K108" s="1269">
        <v>64932212.729999997</v>
      </c>
      <c r="L108" s="1269">
        <v>64932212.729999997</v>
      </c>
    </row>
    <row r="109" spans="1:12">
      <c r="A109" s="1092" t="s">
        <v>117</v>
      </c>
      <c r="B109" s="1267" t="s">
        <v>118</v>
      </c>
      <c r="C109" s="1464" t="s">
        <v>273</v>
      </c>
      <c r="D109" s="1267">
        <f t="shared" si="4"/>
        <v>32934715.730000004</v>
      </c>
      <c r="E109" s="1268">
        <f t="shared" si="5"/>
        <v>16623402.520000001</v>
      </c>
      <c r="F109" s="1268">
        <f t="shared" si="6"/>
        <v>16311313.210000001</v>
      </c>
      <c r="G109" s="1269">
        <v>1040297.7</v>
      </c>
      <c r="H109" s="1269">
        <v>676193.505</v>
      </c>
      <c r="I109" s="1269">
        <v>364104.19500000001</v>
      </c>
      <c r="J109" s="1269">
        <v>31894418.030000001</v>
      </c>
      <c r="K109" s="1269">
        <v>15947209.015000001</v>
      </c>
      <c r="L109" s="1269">
        <v>15947209.015000001</v>
      </c>
    </row>
    <row r="110" spans="1:12">
      <c r="A110" s="1092" t="s">
        <v>139</v>
      </c>
      <c r="B110" s="1267" t="s">
        <v>140</v>
      </c>
      <c r="C110" s="1464" t="s">
        <v>272</v>
      </c>
      <c r="D110" s="1267">
        <f t="shared" si="4"/>
        <v>94427568.650000006</v>
      </c>
      <c r="E110" s="1268">
        <f t="shared" si="5"/>
        <v>47582428.558000006</v>
      </c>
      <c r="F110" s="1268">
        <f t="shared" si="6"/>
        <v>46845140.092</v>
      </c>
      <c r="G110" s="1269">
        <v>2457628.2200000002</v>
      </c>
      <c r="H110" s="1269">
        <v>1597458.3430000001</v>
      </c>
      <c r="I110" s="1269">
        <v>860169.87699999998</v>
      </c>
      <c r="J110" s="1269">
        <v>91969940.430000007</v>
      </c>
      <c r="K110" s="1269">
        <v>45984970.215000004</v>
      </c>
      <c r="L110" s="1269">
        <v>45984970.215000004</v>
      </c>
    </row>
    <row r="111" spans="1:12">
      <c r="A111" s="1092" t="s">
        <v>143</v>
      </c>
      <c r="B111" s="1267" t="s">
        <v>144</v>
      </c>
      <c r="C111" s="1464" t="s">
        <v>274</v>
      </c>
      <c r="D111" s="1267">
        <f t="shared" si="4"/>
        <v>22892283.559999999</v>
      </c>
      <c r="E111" s="1268">
        <f t="shared" si="5"/>
        <v>11715353.835999999</v>
      </c>
      <c r="F111" s="1268">
        <f t="shared" si="6"/>
        <v>11176929.723999999</v>
      </c>
      <c r="G111" s="1269">
        <v>1794747.04</v>
      </c>
      <c r="H111" s="1269">
        <v>1166585.5759999999</v>
      </c>
      <c r="I111" s="1269">
        <v>628161.46400000004</v>
      </c>
      <c r="J111" s="1269">
        <v>21097536.52</v>
      </c>
      <c r="K111" s="1269">
        <v>10548768.26</v>
      </c>
      <c r="L111" s="1269">
        <v>10548768.26</v>
      </c>
    </row>
    <row r="112" spans="1:12">
      <c r="A112" s="1092" t="s">
        <v>145</v>
      </c>
      <c r="B112" s="1267" t="s">
        <v>146</v>
      </c>
      <c r="C112" s="1464" t="s">
        <v>274</v>
      </c>
      <c r="D112" s="1267">
        <f t="shared" si="4"/>
        <v>8498216.3999999985</v>
      </c>
      <c r="E112" s="1268">
        <f t="shared" si="5"/>
        <v>4356063.1454999996</v>
      </c>
      <c r="F112" s="1268">
        <f t="shared" si="6"/>
        <v>4142153.2544999998</v>
      </c>
      <c r="G112" s="1269">
        <v>713032.97</v>
      </c>
      <c r="H112" s="1269">
        <v>463471.43050000002</v>
      </c>
      <c r="I112" s="1269">
        <v>249561.53950000001</v>
      </c>
      <c r="J112" s="1269">
        <v>7785183.4299999997</v>
      </c>
      <c r="K112" s="1269">
        <v>3892591.7149999999</v>
      </c>
      <c r="L112" s="1269">
        <v>3892591.7149999999</v>
      </c>
    </row>
    <row r="113" spans="1:12">
      <c r="A113" s="1092" t="s">
        <v>159</v>
      </c>
      <c r="B113" s="1267" t="s">
        <v>160</v>
      </c>
      <c r="C113" s="1464" t="s">
        <v>271</v>
      </c>
      <c r="D113" s="1267">
        <f t="shared" si="4"/>
        <v>178845551.09000003</v>
      </c>
      <c r="E113" s="1268">
        <f t="shared" si="5"/>
        <v>90296577.347500011</v>
      </c>
      <c r="F113" s="1268">
        <f t="shared" si="6"/>
        <v>88548973.742500007</v>
      </c>
      <c r="G113" s="1269">
        <v>5825345.3499999996</v>
      </c>
      <c r="H113" s="1269">
        <v>3786474.4775</v>
      </c>
      <c r="I113" s="1269">
        <v>2038870.8725000001</v>
      </c>
      <c r="J113" s="1269">
        <v>173020205.74000001</v>
      </c>
      <c r="K113" s="1269">
        <v>86510102.870000005</v>
      </c>
      <c r="L113" s="1269">
        <v>86510102.870000005</v>
      </c>
    </row>
    <row r="114" spans="1:12">
      <c r="A114" s="1092" t="s">
        <v>161</v>
      </c>
      <c r="B114" s="1267" t="s">
        <v>162</v>
      </c>
      <c r="C114" s="1464" t="s">
        <v>271</v>
      </c>
      <c r="D114" s="1267">
        <f t="shared" si="4"/>
        <v>263205003.85000002</v>
      </c>
      <c r="E114" s="1268">
        <f t="shared" si="5"/>
        <v>132504072.02450001</v>
      </c>
      <c r="F114" s="1268">
        <f t="shared" si="6"/>
        <v>130700931.82550001</v>
      </c>
      <c r="G114" s="1269">
        <v>6010467.3300000001</v>
      </c>
      <c r="H114" s="1269">
        <v>3906803.7645</v>
      </c>
      <c r="I114" s="1269">
        <v>2103663.5655</v>
      </c>
      <c r="J114" s="1269">
        <v>257194536.52000001</v>
      </c>
      <c r="K114" s="1269">
        <v>128597268.26000001</v>
      </c>
      <c r="L114" s="1269">
        <v>128597268.26000001</v>
      </c>
    </row>
    <row r="115" spans="1:12">
      <c r="A115" s="1092" t="s">
        <v>167</v>
      </c>
      <c r="B115" s="1267" t="s">
        <v>168</v>
      </c>
      <c r="C115" s="1464" t="s">
        <v>275</v>
      </c>
      <c r="D115" s="1267">
        <f t="shared" si="4"/>
        <v>5474715.9900000002</v>
      </c>
      <c r="E115" s="1268">
        <f t="shared" si="5"/>
        <v>2759711.0025000004</v>
      </c>
      <c r="F115" s="1268">
        <f t="shared" si="6"/>
        <v>2715004.9875000003</v>
      </c>
      <c r="G115" s="1269">
        <v>149020.04999999999</v>
      </c>
      <c r="H115" s="1269">
        <v>96863.032500000001</v>
      </c>
      <c r="I115" s="1269">
        <v>52157.017500000002</v>
      </c>
      <c r="J115" s="1269">
        <v>5325695.9400000004</v>
      </c>
      <c r="K115" s="1269">
        <v>2662847.9700000002</v>
      </c>
      <c r="L115" s="1269">
        <v>2662847.9700000002</v>
      </c>
    </row>
    <row r="116" spans="1:12">
      <c r="A116" s="1092" t="s">
        <v>177</v>
      </c>
      <c r="B116" s="1267" t="s">
        <v>178</v>
      </c>
      <c r="C116" s="1464" t="s">
        <v>273</v>
      </c>
      <c r="D116" s="1267">
        <f t="shared" si="4"/>
        <v>71546064.109999999</v>
      </c>
      <c r="E116" s="1268">
        <f t="shared" si="5"/>
        <v>35925394.899999999</v>
      </c>
      <c r="F116" s="1268">
        <f t="shared" si="6"/>
        <v>35620669.210000001</v>
      </c>
      <c r="G116" s="1269">
        <v>1015752.3</v>
      </c>
      <c r="H116" s="1269">
        <v>660238.995</v>
      </c>
      <c r="I116" s="1269">
        <v>355513.30499999999</v>
      </c>
      <c r="J116" s="1269">
        <v>70530311.810000002</v>
      </c>
      <c r="K116" s="1269">
        <v>35265155.905000001</v>
      </c>
      <c r="L116" s="1269">
        <v>35265155.905000001</v>
      </c>
    </row>
    <row r="117" spans="1:12">
      <c r="A117" s="1092" t="s">
        <v>181</v>
      </c>
      <c r="B117" s="1267" t="s">
        <v>182</v>
      </c>
      <c r="C117" s="1464" t="s">
        <v>271</v>
      </c>
      <c r="D117" s="1267">
        <f t="shared" si="4"/>
        <v>138070496.19999999</v>
      </c>
      <c r="E117" s="1268">
        <f t="shared" si="5"/>
        <v>69524468.173999995</v>
      </c>
      <c r="F117" s="1268">
        <f t="shared" si="6"/>
        <v>68546028.025999993</v>
      </c>
      <c r="G117" s="1269">
        <v>3261467.16</v>
      </c>
      <c r="H117" s="1269">
        <v>2119953.6540000001</v>
      </c>
      <c r="I117" s="1269">
        <v>1141513.5060000001</v>
      </c>
      <c r="J117" s="1269">
        <v>134809029.03999999</v>
      </c>
      <c r="K117" s="1269">
        <v>67404514.519999996</v>
      </c>
      <c r="L117" s="1269">
        <v>67404514.519999996</v>
      </c>
    </row>
    <row r="118" spans="1:12">
      <c r="A118" s="1092" t="s">
        <v>193</v>
      </c>
      <c r="B118" s="1267" t="s">
        <v>194</v>
      </c>
      <c r="C118" s="1464" t="s">
        <v>275</v>
      </c>
      <c r="D118" s="1267">
        <f t="shared" si="4"/>
        <v>10908987.530000001</v>
      </c>
      <c r="E118" s="1268">
        <f t="shared" si="5"/>
        <v>5515095.6745000007</v>
      </c>
      <c r="F118" s="1268">
        <f t="shared" si="6"/>
        <v>5393891.8555000005</v>
      </c>
      <c r="G118" s="1269">
        <v>404012.73</v>
      </c>
      <c r="H118" s="1269">
        <v>262608.2745</v>
      </c>
      <c r="I118" s="1269">
        <v>141404.45550000001</v>
      </c>
      <c r="J118" s="1269">
        <v>10504974.800000001</v>
      </c>
      <c r="K118" s="1269">
        <v>5252487.4000000004</v>
      </c>
      <c r="L118" s="1269">
        <v>5252487.4000000004</v>
      </c>
    </row>
    <row r="119" spans="1:12">
      <c r="A119" s="1092" t="s">
        <v>197</v>
      </c>
      <c r="B119" s="1267" t="s">
        <v>334</v>
      </c>
      <c r="C119" s="1464" t="s">
        <v>273</v>
      </c>
      <c r="D119" s="1267">
        <f t="shared" si="4"/>
        <v>356315866.85000002</v>
      </c>
      <c r="E119" s="1268">
        <f t="shared" si="5"/>
        <v>179180297.359</v>
      </c>
      <c r="F119" s="1268">
        <f t="shared" si="6"/>
        <v>177135569.491</v>
      </c>
      <c r="G119" s="1269">
        <v>6815759.5599999996</v>
      </c>
      <c r="H119" s="1269">
        <v>4430243.7139999997</v>
      </c>
      <c r="I119" s="1269">
        <v>2385515.8459999999</v>
      </c>
      <c r="J119" s="1269">
        <v>349500107.29000002</v>
      </c>
      <c r="K119" s="1269">
        <v>174750053.64500001</v>
      </c>
      <c r="L119" s="1269">
        <v>174750053.64500001</v>
      </c>
    </row>
    <row r="120" spans="1:12">
      <c r="A120" s="1092" t="s">
        <v>201</v>
      </c>
      <c r="B120" s="1267" t="s">
        <v>335</v>
      </c>
      <c r="C120" s="1464" t="s">
        <v>272</v>
      </c>
      <c r="D120" s="1267">
        <f t="shared" si="4"/>
        <v>155082366.74000001</v>
      </c>
      <c r="E120" s="1268">
        <f t="shared" si="5"/>
        <v>78150226.032999992</v>
      </c>
      <c r="F120" s="1268">
        <f t="shared" si="6"/>
        <v>76932140.707000002</v>
      </c>
      <c r="G120" s="1269">
        <v>4060284.42</v>
      </c>
      <c r="H120" s="1269">
        <v>2639184.8730000001</v>
      </c>
      <c r="I120" s="1269">
        <v>1421099.547</v>
      </c>
      <c r="J120" s="1269">
        <v>151022082.31999999</v>
      </c>
      <c r="K120" s="1269">
        <v>75511041.159999996</v>
      </c>
      <c r="L120" s="1269">
        <v>75511041.159999996</v>
      </c>
    </row>
    <row r="121" spans="1:12">
      <c r="A121" s="1092" t="s">
        <v>223</v>
      </c>
      <c r="B121" s="1267" t="s">
        <v>224</v>
      </c>
      <c r="C121" s="1464" t="s">
        <v>271</v>
      </c>
      <c r="D121" s="1267">
        <f t="shared" si="4"/>
        <v>85119107.019999996</v>
      </c>
      <c r="E121" s="1268">
        <f t="shared" si="5"/>
        <v>42831234.180500001</v>
      </c>
      <c r="F121" s="1268">
        <f t="shared" si="6"/>
        <v>42287872.839499995</v>
      </c>
      <c r="G121" s="1269">
        <v>1811204.47</v>
      </c>
      <c r="H121" s="1269">
        <v>1177282.9055000001</v>
      </c>
      <c r="I121" s="1269">
        <v>633921.56449999998</v>
      </c>
      <c r="J121" s="1269">
        <v>83307902.549999997</v>
      </c>
      <c r="K121" s="1269">
        <v>41653951.274999999</v>
      </c>
      <c r="L121" s="1269">
        <v>41653951.274999999</v>
      </c>
    </row>
    <row r="122" spans="1:12">
      <c r="A122" s="1092" t="s">
        <v>231</v>
      </c>
      <c r="B122" s="1267" t="s">
        <v>232</v>
      </c>
      <c r="C122" s="1464" t="s">
        <v>271</v>
      </c>
      <c r="D122" s="1267">
        <f t="shared" si="4"/>
        <v>232217238.02000001</v>
      </c>
      <c r="E122" s="1268">
        <f t="shared" si="5"/>
        <v>117440274.20650001</v>
      </c>
      <c r="F122" s="1268">
        <f t="shared" si="6"/>
        <v>114776963.8135</v>
      </c>
      <c r="G122" s="1269">
        <v>8877701.3100000005</v>
      </c>
      <c r="H122" s="1269">
        <v>5770505.8514999999</v>
      </c>
      <c r="I122" s="1269">
        <v>3107195.4585000002</v>
      </c>
      <c r="J122" s="1269">
        <v>223339536.71000001</v>
      </c>
      <c r="K122" s="1269">
        <v>111669768.355</v>
      </c>
      <c r="L122" s="1269">
        <v>111669768.355</v>
      </c>
    </row>
    <row r="123" spans="1:12">
      <c r="A123" s="1092" t="s">
        <v>239</v>
      </c>
      <c r="B123" s="1267" t="s">
        <v>240</v>
      </c>
      <c r="C123" s="1464" t="s">
        <v>271</v>
      </c>
      <c r="D123" s="1267">
        <f t="shared" si="4"/>
        <v>5987972.6200000001</v>
      </c>
      <c r="E123" s="1268">
        <f t="shared" si="5"/>
        <v>3016019.1935000001</v>
      </c>
      <c r="F123" s="1268">
        <f t="shared" si="6"/>
        <v>2971953.4265000001</v>
      </c>
      <c r="G123" s="1269">
        <v>146885.89000000001</v>
      </c>
      <c r="H123" s="1269">
        <v>95475.828500000003</v>
      </c>
      <c r="I123" s="1269">
        <v>51410.061500000003</v>
      </c>
      <c r="J123" s="1269">
        <v>5841086.7300000004</v>
      </c>
      <c r="K123" s="1269">
        <v>2920543.3650000002</v>
      </c>
      <c r="L123" s="1269">
        <v>2920543.3650000002</v>
      </c>
    </row>
    <row r="124" spans="1:12">
      <c r="A124" s="1092" t="s">
        <v>241</v>
      </c>
      <c r="B124" s="1267" t="s">
        <v>242</v>
      </c>
      <c r="C124" s="1464" t="s">
        <v>274</v>
      </c>
      <c r="D124" s="1267">
        <f t="shared" si="4"/>
        <v>24586275.239999998</v>
      </c>
      <c r="E124" s="1268">
        <f t="shared" si="5"/>
        <v>12463227.4125</v>
      </c>
      <c r="F124" s="1268">
        <f t="shared" si="6"/>
        <v>12123047.827499999</v>
      </c>
      <c r="G124" s="1269">
        <v>1133931.95</v>
      </c>
      <c r="H124" s="1269">
        <v>737055.76749999996</v>
      </c>
      <c r="I124" s="1269">
        <v>396876.1825</v>
      </c>
      <c r="J124" s="1269">
        <v>23452343.289999999</v>
      </c>
      <c r="K124" s="1269">
        <v>11726171.645</v>
      </c>
      <c r="L124" s="1269">
        <v>11726171.645</v>
      </c>
    </row>
    <row r="125" spans="1:12">
      <c r="G125" s="1270"/>
      <c r="H125" s="1270"/>
      <c r="I125" s="1270"/>
      <c r="J125" s="1270"/>
      <c r="K125" s="1270"/>
      <c r="L125" s="1270"/>
    </row>
    <row r="126" spans="1:12" s="511" customFormat="1">
      <c r="A126" s="511" t="s">
        <v>1134</v>
      </c>
      <c r="B126" s="1082"/>
      <c r="C126" s="1082"/>
      <c r="D126" s="1016"/>
    </row>
    <row r="127" spans="1:12" s="511" customFormat="1"/>
    <row r="128" spans="1:12" s="542" customFormat="1">
      <c r="A128" s="542" t="s">
        <v>249</v>
      </c>
    </row>
    <row r="129" spans="1:3">
      <c r="A129" s="543" t="s">
        <v>250</v>
      </c>
      <c r="B129" s="544" t="s">
        <v>251</v>
      </c>
      <c r="C129" s="544"/>
    </row>
  </sheetData>
  <autoFilter ref="A3:C3"/>
  <hyperlinks>
    <hyperlink ref="B129" r:id="rId1"/>
  </hyperlinks>
  <pageMargins left="0.7" right="0.7" top="0.75" bottom="0.75" header="0.3" footer="0.3"/>
  <pageSetup orientation="portrait" r:id="rId2"/>
</worksheet>
</file>

<file path=xl/worksheets/sheet32.xml><?xml version="1.0" encoding="utf-8"?>
<worksheet xmlns="http://schemas.openxmlformats.org/spreadsheetml/2006/main" xmlns:r="http://schemas.openxmlformats.org/officeDocument/2006/relationships">
  <dimension ref="A1:G129"/>
  <sheetViews>
    <sheetView workbookViewId="0">
      <pane ySplit="4" topLeftCell="A97" activePane="bottomLeft" state="frozen"/>
      <selection pane="bottomLeft" activeCell="C5" sqref="C5:C124"/>
    </sheetView>
  </sheetViews>
  <sheetFormatPr defaultRowHeight="15.75"/>
  <cols>
    <col min="1" max="1" width="9.125" style="280" customWidth="1"/>
    <col min="2" max="2" width="34.125" style="280" customWidth="1"/>
    <col min="3" max="3" width="16.5" style="280" customWidth="1"/>
    <col min="4" max="4" width="13.5" style="280" bestFit="1" customWidth="1"/>
    <col min="5" max="5" width="14.125" style="280" customWidth="1"/>
    <col min="6" max="6" width="12.25" style="280" bestFit="1" customWidth="1"/>
    <col min="7" max="7" width="13" style="280" bestFit="1" customWidth="1"/>
    <col min="8" max="16384" width="9" style="280"/>
  </cols>
  <sheetData>
    <row r="1" spans="1:7">
      <c r="A1" s="64" t="s">
        <v>1035</v>
      </c>
    </row>
    <row r="3" spans="1:7">
      <c r="A3" s="1277" t="s">
        <v>4</v>
      </c>
      <c r="B3" s="1278" t="s">
        <v>5</v>
      </c>
      <c r="C3" s="1278" t="s">
        <v>252</v>
      </c>
      <c r="D3" s="1280" t="s">
        <v>501</v>
      </c>
      <c r="E3" s="1280" t="s">
        <v>502</v>
      </c>
      <c r="F3" s="1280" t="s">
        <v>503</v>
      </c>
      <c r="G3" s="1280" t="s">
        <v>504</v>
      </c>
    </row>
    <row r="4" spans="1:7">
      <c r="A4" s="1274">
        <v>999</v>
      </c>
      <c r="B4" s="1275" t="s">
        <v>9</v>
      </c>
      <c r="C4" s="1275"/>
      <c r="D4" s="1281">
        <f>SUM(D5:D124)</f>
        <v>1401296163</v>
      </c>
      <c r="E4" s="1281">
        <f>SUM(E5:E124)</f>
        <v>1401296163</v>
      </c>
      <c r="F4" s="1281">
        <f>SUM(F5:F124)</f>
        <v>0</v>
      </c>
      <c r="G4" s="1281">
        <f>SUM(G5:G124)</f>
        <v>0</v>
      </c>
    </row>
    <row r="5" spans="1:7">
      <c r="A5" s="1276" t="s">
        <v>10</v>
      </c>
      <c r="B5" s="1279" t="s">
        <v>11</v>
      </c>
      <c r="C5" s="1148" t="s">
        <v>271</v>
      </c>
      <c r="D5" s="1282">
        <v>9910265</v>
      </c>
      <c r="E5" s="1282">
        <v>9910265</v>
      </c>
      <c r="F5" s="1283">
        <v>0</v>
      </c>
      <c r="G5" s="1283">
        <v>0</v>
      </c>
    </row>
    <row r="6" spans="1:7">
      <c r="A6" s="1276" t="s">
        <v>12</v>
      </c>
      <c r="B6" s="1279" t="s">
        <v>13</v>
      </c>
      <c r="C6" s="1148" t="s">
        <v>272</v>
      </c>
      <c r="D6" s="1282">
        <v>10239331</v>
      </c>
      <c r="E6" s="1282">
        <v>10239331</v>
      </c>
      <c r="F6" s="1283">
        <v>0</v>
      </c>
      <c r="G6" s="1283">
        <v>0</v>
      </c>
    </row>
    <row r="7" spans="1:7">
      <c r="A7" s="1276" t="s">
        <v>16</v>
      </c>
      <c r="B7" s="1279" t="s">
        <v>307</v>
      </c>
      <c r="C7" s="1148" t="s">
        <v>272</v>
      </c>
      <c r="D7" s="1282">
        <v>4895049</v>
      </c>
      <c r="E7" s="1282">
        <v>4895049</v>
      </c>
      <c r="F7" s="1283">
        <v>0</v>
      </c>
      <c r="G7" s="1283">
        <v>0</v>
      </c>
    </row>
    <row r="8" spans="1:7">
      <c r="A8" s="1276" t="s">
        <v>18</v>
      </c>
      <c r="B8" s="1279" t="s">
        <v>19</v>
      </c>
      <c r="C8" s="1148" t="s">
        <v>273</v>
      </c>
      <c r="D8" s="1282">
        <v>3286647</v>
      </c>
      <c r="E8" s="1282">
        <v>3286647</v>
      </c>
      <c r="F8" s="1283">
        <v>0</v>
      </c>
      <c r="G8" s="1283">
        <v>0</v>
      </c>
    </row>
    <row r="9" spans="1:7">
      <c r="A9" s="1276" t="s">
        <v>20</v>
      </c>
      <c r="B9" s="1279" t="s">
        <v>21</v>
      </c>
      <c r="C9" s="1148" t="s">
        <v>272</v>
      </c>
      <c r="D9" s="1282">
        <v>5735626</v>
      </c>
      <c r="E9" s="1282">
        <v>5735626</v>
      </c>
      <c r="F9" s="1283">
        <v>0</v>
      </c>
      <c r="G9" s="1283">
        <v>0</v>
      </c>
    </row>
    <row r="10" spans="1:7">
      <c r="A10" s="1276" t="s">
        <v>22</v>
      </c>
      <c r="B10" s="1279" t="s">
        <v>23</v>
      </c>
      <c r="C10" s="1148" t="s">
        <v>272</v>
      </c>
      <c r="D10" s="1282">
        <v>3691192</v>
      </c>
      <c r="E10" s="1282">
        <v>3691192</v>
      </c>
      <c r="F10" s="1283">
        <v>0</v>
      </c>
      <c r="G10" s="1283">
        <v>0</v>
      </c>
    </row>
    <row r="11" spans="1:7">
      <c r="A11" s="1276" t="s">
        <v>24</v>
      </c>
      <c r="B11" s="1279" t="s">
        <v>25</v>
      </c>
      <c r="C11" s="1148" t="s">
        <v>274</v>
      </c>
      <c r="D11" s="1282">
        <v>10771442</v>
      </c>
      <c r="E11" s="1282">
        <v>10771442</v>
      </c>
      <c r="F11" s="1283">
        <v>0</v>
      </c>
      <c r="G11" s="1283">
        <v>0</v>
      </c>
    </row>
    <row r="12" spans="1:7">
      <c r="A12" s="1276" t="s">
        <v>26</v>
      </c>
      <c r="B12" s="1279" t="s">
        <v>908</v>
      </c>
      <c r="C12" s="1148" t="s">
        <v>272</v>
      </c>
      <c r="D12" s="1282">
        <v>21919164</v>
      </c>
      <c r="E12" s="1282">
        <v>21919164</v>
      </c>
      <c r="F12" s="1283">
        <v>0</v>
      </c>
      <c r="G12" s="1283">
        <v>0</v>
      </c>
    </row>
    <row r="13" spans="1:7">
      <c r="A13" s="1276" t="s">
        <v>27</v>
      </c>
      <c r="B13" s="1279" t="s">
        <v>28</v>
      </c>
      <c r="C13" s="1148" t="s">
        <v>272</v>
      </c>
      <c r="D13" s="1282">
        <v>524281</v>
      </c>
      <c r="E13" s="1282">
        <v>524281</v>
      </c>
      <c r="F13" s="1283">
        <v>0</v>
      </c>
      <c r="G13" s="1283">
        <v>0</v>
      </c>
    </row>
    <row r="14" spans="1:7">
      <c r="A14" s="1276" t="s">
        <v>29</v>
      </c>
      <c r="B14" s="1279" t="s">
        <v>329</v>
      </c>
      <c r="C14" s="1148" t="s">
        <v>272</v>
      </c>
      <c r="D14" s="1282">
        <v>10112725</v>
      </c>
      <c r="E14" s="1282">
        <v>10112725</v>
      </c>
      <c r="F14" s="1283">
        <v>0</v>
      </c>
      <c r="G14" s="1283">
        <v>0</v>
      </c>
    </row>
    <row r="15" spans="1:7">
      <c r="A15" s="1276" t="s">
        <v>31</v>
      </c>
      <c r="B15" s="1279" t="s">
        <v>32</v>
      </c>
      <c r="C15" s="1148" t="s">
        <v>275</v>
      </c>
      <c r="D15" s="1282">
        <v>771675</v>
      </c>
      <c r="E15" s="1282">
        <v>771675</v>
      </c>
      <c r="F15" s="1283">
        <v>0</v>
      </c>
      <c r="G15" s="1283">
        <v>0</v>
      </c>
    </row>
    <row r="16" spans="1:7">
      <c r="A16" s="1276" t="s">
        <v>33</v>
      </c>
      <c r="B16" s="1279" t="s">
        <v>34</v>
      </c>
      <c r="C16" s="1148" t="s">
        <v>272</v>
      </c>
      <c r="D16" s="1282">
        <v>2302933</v>
      </c>
      <c r="E16" s="1282">
        <v>2302933</v>
      </c>
      <c r="F16" s="1283">
        <v>0</v>
      </c>
      <c r="G16" s="1283">
        <v>0</v>
      </c>
    </row>
    <row r="17" spans="1:7">
      <c r="A17" s="1276" t="s">
        <v>37</v>
      </c>
      <c r="B17" s="1279" t="s">
        <v>38</v>
      </c>
      <c r="C17" s="1148" t="s">
        <v>271</v>
      </c>
      <c r="D17" s="1282">
        <v>5701516</v>
      </c>
      <c r="E17" s="1282">
        <v>5701516</v>
      </c>
      <c r="F17" s="1283">
        <v>0</v>
      </c>
      <c r="G17" s="1283">
        <v>0</v>
      </c>
    </row>
    <row r="18" spans="1:7">
      <c r="A18" s="1276" t="s">
        <v>39</v>
      </c>
      <c r="B18" s="1279" t="s">
        <v>40</v>
      </c>
      <c r="C18" s="1148" t="s">
        <v>275</v>
      </c>
      <c r="D18" s="1282">
        <v>6252764</v>
      </c>
      <c r="E18" s="1282">
        <v>6252764</v>
      </c>
      <c r="F18" s="1283">
        <v>0</v>
      </c>
      <c r="G18" s="1283">
        <v>0</v>
      </c>
    </row>
    <row r="19" spans="1:7">
      <c r="A19" s="1276" t="s">
        <v>41</v>
      </c>
      <c r="B19" s="1279" t="s">
        <v>42</v>
      </c>
      <c r="C19" s="1148" t="s">
        <v>273</v>
      </c>
      <c r="D19" s="1282">
        <v>5377959</v>
      </c>
      <c r="E19" s="1282">
        <v>5377959</v>
      </c>
      <c r="F19" s="1283">
        <v>0</v>
      </c>
      <c r="G19" s="1283">
        <v>0</v>
      </c>
    </row>
    <row r="20" spans="1:7">
      <c r="A20" s="1276" t="s">
        <v>43</v>
      </c>
      <c r="B20" s="1279" t="s">
        <v>44</v>
      </c>
      <c r="C20" s="1148" t="s">
        <v>272</v>
      </c>
      <c r="D20" s="1282">
        <v>11144041</v>
      </c>
      <c r="E20" s="1282">
        <v>11144041</v>
      </c>
      <c r="F20" s="1283">
        <v>0</v>
      </c>
      <c r="G20" s="1283">
        <v>0</v>
      </c>
    </row>
    <row r="21" spans="1:7">
      <c r="A21" s="1276" t="s">
        <v>45</v>
      </c>
      <c r="B21" s="1279" t="s">
        <v>46</v>
      </c>
      <c r="C21" s="1148" t="s">
        <v>273</v>
      </c>
      <c r="D21" s="1282">
        <v>8035368</v>
      </c>
      <c r="E21" s="1282">
        <v>8035368</v>
      </c>
      <c r="F21" s="1283">
        <v>0</v>
      </c>
      <c r="G21" s="1283">
        <v>0</v>
      </c>
    </row>
    <row r="22" spans="1:7">
      <c r="A22" s="1276" t="s">
        <v>47</v>
      </c>
      <c r="B22" s="1279" t="s">
        <v>48</v>
      </c>
      <c r="C22" s="1148" t="s">
        <v>275</v>
      </c>
      <c r="D22" s="1282">
        <v>7774145</v>
      </c>
      <c r="E22" s="1282">
        <v>7774145</v>
      </c>
      <c r="F22" s="1283">
        <v>0</v>
      </c>
      <c r="G22" s="1283">
        <v>0</v>
      </c>
    </row>
    <row r="23" spans="1:7">
      <c r="A23" s="1276" t="s">
        <v>49</v>
      </c>
      <c r="B23" s="1279" t="s">
        <v>276</v>
      </c>
      <c r="C23" s="1148" t="s">
        <v>273</v>
      </c>
      <c r="D23" s="1282">
        <v>1734574</v>
      </c>
      <c r="E23" s="1282">
        <v>1734574</v>
      </c>
      <c r="F23" s="1283">
        <v>0</v>
      </c>
      <c r="G23" s="1283">
        <v>0</v>
      </c>
    </row>
    <row r="24" spans="1:7">
      <c r="A24" s="1276" t="s">
        <v>51</v>
      </c>
      <c r="B24" s="1279" t="s">
        <v>52</v>
      </c>
      <c r="C24" s="1148" t="s">
        <v>272</v>
      </c>
      <c r="D24" s="1282">
        <v>3426213</v>
      </c>
      <c r="E24" s="1282">
        <v>3426213</v>
      </c>
      <c r="F24" s="1283">
        <v>0</v>
      </c>
      <c r="G24" s="1283">
        <v>0</v>
      </c>
    </row>
    <row r="25" spans="1:7">
      <c r="A25" s="1276" t="s">
        <v>57</v>
      </c>
      <c r="B25" s="1279" t="s">
        <v>305</v>
      </c>
      <c r="C25" s="1148" t="s">
        <v>273</v>
      </c>
      <c r="D25" s="1282">
        <v>51414765</v>
      </c>
      <c r="E25" s="1282">
        <v>51414765</v>
      </c>
      <c r="F25" s="1283">
        <v>0</v>
      </c>
      <c r="G25" s="1283">
        <v>0</v>
      </c>
    </row>
    <row r="26" spans="1:7">
      <c r="A26" s="1276" t="s">
        <v>59</v>
      </c>
      <c r="B26" s="1279" t="s">
        <v>60</v>
      </c>
      <c r="C26" s="1148" t="s">
        <v>274</v>
      </c>
      <c r="D26" s="1282">
        <v>1213839</v>
      </c>
      <c r="E26" s="1282">
        <v>1213839</v>
      </c>
      <c r="F26" s="1283">
        <v>0</v>
      </c>
      <c r="G26" s="1283">
        <v>0</v>
      </c>
    </row>
    <row r="27" spans="1:7">
      <c r="A27" s="1276" t="s">
        <v>61</v>
      </c>
      <c r="B27" s="1279" t="s">
        <v>62</v>
      </c>
      <c r="C27" s="1148" t="s">
        <v>272</v>
      </c>
      <c r="D27" s="1282">
        <v>796798</v>
      </c>
      <c r="E27" s="1282">
        <v>796798</v>
      </c>
      <c r="F27" s="1283">
        <v>0</v>
      </c>
      <c r="G27" s="1283">
        <v>0</v>
      </c>
    </row>
    <row r="28" spans="1:7">
      <c r="A28" s="1276" t="s">
        <v>63</v>
      </c>
      <c r="B28" s="1279" t="s">
        <v>64</v>
      </c>
      <c r="C28" s="1148" t="s">
        <v>274</v>
      </c>
      <c r="D28" s="1282">
        <v>9028440</v>
      </c>
      <c r="E28" s="1282">
        <v>9028440</v>
      </c>
      <c r="F28" s="1283">
        <v>0</v>
      </c>
      <c r="G28" s="1283">
        <v>0</v>
      </c>
    </row>
    <row r="29" spans="1:7">
      <c r="A29" s="1276" t="s">
        <v>65</v>
      </c>
      <c r="B29" s="1279" t="s">
        <v>66</v>
      </c>
      <c r="C29" s="1148" t="s">
        <v>273</v>
      </c>
      <c r="D29" s="1282">
        <v>3200267</v>
      </c>
      <c r="E29" s="1282">
        <v>3200267</v>
      </c>
      <c r="F29" s="1283">
        <v>0</v>
      </c>
      <c r="G29" s="1283">
        <v>0</v>
      </c>
    </row>
    <row r="30" spans="1:7">
      <c r="A30" s="1276" t="s">
        <v>69</v>
      </c>
      <c r="B30" s="1279" t="s">
        <v>70</v>
      </c>
      <c r="C30" s="1148" t="s">
        <v>275</v>
      </c>
      <c r="D30" s="1282">
        <v>4340564</v>
      </c>
      <c r="E30" s="1282">
        <v>4340564</v>
      </c>
      <c r="F30" s="1283">
        <v>0</v>
      </c>
      <c r="G30" s="1283">
        <v>0</v>
      </c>
    </row>
    <row r="31" spans="1:7">
      <c r="A31" s="1276" t="s">
        <v>71</v>
      </c>
      <c r="B31" s="1279" t="s">
        <v>72</v>
      </c>
      <c r="C31" s="1148" t="s">
        <v>271</v>
      </c>
      <c r="D31" s="1282">
        <v>7503490</v>
      </c>
      <c r="E31" s="1282">
        <v>7503490</v>
      </c>
      <c r="F31" s="1283">
        <v>0</v>
      </c>
      <c r="G31" s="1283">
        <v>0</v>
      </c>
    </row>
    <row r="32" spans="1:7">
      <c r="A32" s="1276" t="s">
        <v>73</v>
      </c>
      <c r="B32" s="1279" t="s">
        <v>74</v>
      </c>
      <c r="C32" s="1148" t="s">
        <v>273</v>
      </c>
      <c r="D32" s="1282">
        <v>4178823</v>
      </c>
      <c r="E32" s="1282">
        <v>4178823</v>
      </c>
      <c r="F32" s="1283">
        <v>0</v>
      </c>
      <c r="G32" s="1283">
        <v>0</v>
      </c>
    </row>
    <row r="33" spans="1:7">
      <c r="A33" s="1276" t="s">
        <v>75</v>
      </c>
      <c r="B33" s="1279" t="s">
        <v>312</v>
      </c>
      <c r="C33" s="1148" t="s">
        <v>274</v>
      </c>
      <c r="D33" s="1282">
        <v>70334606</v>
      </c>
      <c r="E33" s="1282">
        <v>70334606</v>
      </c>
      <c r="F33" s="1283">
        <v>0</v>
      </c>
      <c r="G33" s="1283">
        <v>0</v>
      </c>
    </row>
    <row r="34" spans="1:7">
      <c r="A34" s="1276" t="s">
        <v>77</v>
      </c>
      <c r="B34" s="1279" t="s">
        <v>78</v>
      </c>
      <c r="C34" s="1148" t="s">
        <v>274</v>
      </c>
      <c r="D34" s="1282">
        <v>6857136</v>
      </c>
      <c r="E34" s="1282">
        <v>6857136</v>
      </c>
      <c r="F34" s="1283">
        <v>0</v>
      </c>
      <c r="G34" s="1283">
        <v>0</v>
      </c>
    </row>
    <row r="35" spans="1:7">
      <c r="A35" s="1276" t="s">
        <v>79</v>
      </c>
      <c r="B35" s="1279" t="s">
        <v>80</v>
      </c>
      <c r="C35" s="1148" t="s">
        <v>275</v>
      </c>
      <c r="D35" s="1282">
        <v>3025197</v>
      </c>
      <c r="E35" s="1282">
        <v>3025197</v>
      </c>
      <c r="F35" s="1283">
        <v>0</v>
      </c>
      <c r="G35" s="1283">
        <v>0</v>
      </c>
    </row>
    <row r="36" spans="1:7">
      <c r="A36" s="1276" t="s">
        <v>81</v>
      </c>
      <c r="B36" s="1279" t="s">
        <v>82</v>
      </c>
      <c r="C36" s="1148" t="s">
        <v>273</v>
      </c>
      <c r="D36" s="1282">
        <v>2794693</v>
      </c>
      <c r="E36" s="1282">
        <v>2794693</v>
      </c>
      <c r="F36" s="1283">
        <v>0</v>
      </c>
      <c r="G36" s="1283">
        <v>0</v>
      </c>
    </row>
    <row r="37" spans="1:7">
      <c r="A37" s="1276" t="s">
        <v>85</v>
      </c>
      <c r="B37" s="1279" t="s">
        <v>330</v>
      </c>
      <c r="C37" s="1148" t="s">
        <v>272</v>
      </c>
      <c r="D37" s="1282">
        <v>12740814</v>
      </c>
      <c r="E37" s="1282">
        <v>12740814</v>
      </c>
      <c r="F37" s="1283">
        <v>0</v>
      </c>
      <c r="G37" s="1283">
        <v>0</v>
      </c>
    </row>
    <row r="38" spans="1:7">
      <c r="A38" s="1276" t="s">
        <v>87</v>
      </c>
      <c r="B38" s="1279" t="s">
        <v>88</v>
      </c>
      <c r="C38" s="1148" t="s">
        <v>274</v>
      </c>
      <c r="D38" s="1282">
        <v>11316986</v>
      </c>
      <c r="E38" s="1282">
        <v>11316986</v>
      </c>
      <c r="F38" s="1283">
        <v>0</v>
      </c>
      <c r="G38" s="1283">
        <v>0</v>
      </c>
    </row>
    <row r="39" spans="1:7">
      <c r="A39" s="1276" t="s">
        <v>93</v>
      </c>
      <c r="B39" s="1279" t="s">
        <v>94</v>
      </c>
      <c r="C39" s="1148" t="s">
        <v>275</v>
      </c>
      <c r="D39" s="1282">
        <v>3343028</v>
      </c>
      <c r="E39" s="1282">
        <v>3343028</v>
      </c>
      <c r="F39" s="1283">
        <v>0</v>
      </c>
      <c r="G39" s="1283">
        <v>0</v>
      </c>
    </row>
    <row r="40" spans="1:7">
      <c r="A40" s="1276" t="s">
        <v>95</v>
      </c>
      <c r="B40" s="1279" t="s">
        <v>96</v>
      </c>
      <c r="C40" s="1148" t="s">
        <v>271</v>
      </c>
      <c r="D40" s="1282">
        <v>7070566</v>
      </c>
      <c r="E40" s="1282">
        <v>7070566</v>
      </c>
      <c r="F40" s="1283">
        <v>0</v>
      </c>
      <c r="G40" s="1283">
        <v>0</v>
      </c>
    </row>
    <row r="41" spans="1:7">
      <c r="A41" s="1276" t="s">
        <v>97</v>
      </c>
      <c r="B41" s="1279" t="s">
        <v>98</v>
      </c>
      <c r="C41" s="1148" t="s">
        <v>273</v>
      </c>
      <c r="D41" s="1282">
        <v>2018568</v>
      </c>
      <c r="E41" s="1282">
        <v>2018568</v>
      </c>
      <c r="F41" s="1283">
        <v>0</v>
      </c>
      <c r="G41" s="1283">
        <v>0</v>
      </c>
    </row>
    <row r="42" spans="1:7">
      <c r="A42" s="1276" t="s">
        <v>99</v>
      </c>
      <c r="B42" s="1279" t="s">
        <v>100</v>
      </c>
      <c r="C42" s="1148" t="s">
        <v>275</v>
      </c>
      <c r="D42" s="1282">
        <v>3937565</v>
      </c>
      <c r="E42" s="1282">
        <v>3937565</v>
      </c>
      <c r="F42" s="1283">
        <v>0</v>
      </c>
      <c r="G42" s="1283">
        <v>0</v>
      </c>
    </row>
    <row r="43" spans="1:7">
      <c r="A43" s="1276" t="s">
        <v>101</v>
      </c>
      <c r="B43" s="1279" t="s">
        <v>102</v>
      </c>
      <c r="C43" s="1148" t="s">
        <v>274</v>
      </c>
      <c r="D43" s="1282">
        <v>3202678</v>
      </c>
      <c r="E43" s="1282">
        <v>3202678</v>
      </c>
      <c r="F43" s="1283">
        <v>0</v>
      </c>
      <c r="G43" s="1283">
        <v>0</v>
      </c>
    </row>
    <row r="44" spans="1:7">
      <c r="A44" s="1276" t="s">
        <v>103</v>
      </c>
      <c r="B44" s="1279" t="s">
        <v>104</v>
      </c>
      <c r="C44" s="1148" t="s">
        <v>271</v>
      </c>
      <c r="D44" s="1282">
        <v>6059662</v>
      </c>
      <c r="E44" s="1282">
        <v>6059662</v>
      </c>
      <c r="F44" s="1283">
        <v>0</v>
      </c>
      <c r="G44" s="1283">
        <v>0</v>
      </c>
    </row>
    <row r="45" spans="1:7">
      <c r="A45" s="1276" t="s">
        <v>105</v>
      </c>
      <c r="B45" s="1279" t="s">
        <v>331</v>
      </c>
      <c r="C45" s="1148" t="s">
        <v>272</v>
      </c>
      <c r="D45" s="1282">
        <v>9974602</v>
      </c>
      <c r="E45" s="1282">
        <v>9974602</v>
      </c>
      <c r="F45" s="1283">
        <v>0</v>
      </c>
      <c r="G45" s="1283">
        <v>0</v>
      </c>
    </row>
    <row r="46" spans="1:7">
      <c r="A46" s="1276" t="s">
        <v>109</v>
      </c>
      <c r="B46" s="1279" t="s">
        <v>110</v>
      </c>
      <c r="C46" s="1148" t="s">
        <v>273</v>
      </c>
      <c r="D46" s="1282">
        <v>9357196</v>
      </c>
      <c r="E46" s="1282">
        <v>9357196</v>
      </c>
      <c r="F46" s="1283">
        <v>0</v>
      </c>
      <c r="G46" s="1283">
        <v>0</v>
      </c>
    </row>
    <row r="47" spans="1:7">
      <c r="A47" s="1276" t="s">
        <v>111</v>
      </c>
      <c r="B47" s="1279" t="s">
        <v>112</v>
      </c>
      <c r="C47" s="1148" t="s">
        <v>273</v>
      </c>
      <c r="D47" s="1282">
        <v>55662491</v>
      </c>
      <c r="E47" s="1282">
        <v>55662491</v>
      </c>
      <c r="F47" s="1283">
        <v>0</v>
      </c>
      <c r="G47" s="1283">
        <v>0</v>
      </c>
    </row>
    <row r="48" spans="1:7">
      <c r="A48" s="1276" t="s">
        <v>113</v>
      </c>
      <c r="B48" s="1279" t="s">
        <v>310</v>
      </c>
      <c r="C48" s="1148" t="s">
        <v>272</v>
      </c>
      <c r="D48" s="1282">
        <v>25293692</v>
      </c>
      <c r="E48" s="1282">
        <v>25293692</v>
      </c>
      <c r="F48" s="1283">
        <v>0</v>
      </c>
      <c r="G48" s="1283">
        <v>0</v>
      </c>
    </row>
    <row r="49" spans="1:7">
      <c r="A49" s="1276" t="s">
        <v>115</v>
      </c>
      <c r="B49" s="1279" t="s">
        <v>116</v>
      </c>
      <c r="C49" s="1148" t="s">
        <v>272</v>
      </c>
      <c r="D49" s="1282">
        <v>229566</v>
      </c>
      <c r="E49" s="1282">
        <v>229566</v>
      </c>
      <c r="F49" s="1283">
        <v>0</v>
      </c>
      <c r="G49" s="1283">
        <v>0</v>
      </c>
    </row>
    <row r="50" spans="1:7">
      <c r="A50" s="1276" t="s">
        <v>119</v>
      </c>
      <c r="B50" s="1279" t="s">
        <v>120</v>
      </c>
      <c r="C50" s="1148" t="s">
        <v>271</v>
      </c>
      <c r="D50" s="1282">
        <v>6312790</v>
      </c>
      <c r="E50" s="1282">
        <v>6312790</v>
      </c>
      <c r="F50" s="1283">
        <v>0</v>
      </c>
      <c r="G50" s="1283">
        <v>0</v>
      </c>
    </row>
    <row r="51" spans="1:7">
      <c r="A51" s="1276" t="s">
        <v>121</v>
      </c>
      <c r="B51" s="1279" t="s">
        <v>122</v>
      </c>
      <c r="C51" s="1148" t="s">
        <v>271</v>
      </c>
      <c r="D51" s="1282">
        <v>7156288</v>
      </c>
      <c r="E51" s="1282">
        <v>7156288</v>
      </c>
      <c r="F51" s="1283">
        <v>0</v>
      </c>
      <c r="G51" s="1283">
        <v>0</v>
      </c>
    </row>
    <row r="52" spans="1:7">
      <c r="A52" s="1276" t="s">
        <v>123</v>
      </c>
      <c r="B52" s="1279" t="s">
        <v>278</v>
      </c>
      <c r="C52" s="1148" t="s">
        <v>273</v>
      </c>
      <c r="D52" s="1282">
        <v>1760407</v>
      </c>
      <c r="E52" s="1282">
        <v>1760407</v>
      </c>
      <c r="F52" s="1283">
        <v>0</v>
      </c>
      <c r="G52" s="1283">
        <v>0</v>
      </c>
    </row>
    <row r="53" spans="1:7">
      <c r="A53" s="1276" t="s">
        <v>125</v>
      </c>
      <c r="B53" s="1279" t="s">
        <v>126</v>
      </c>
      <c r="C53" s="1148" t="s">
        <v>274</v>
      </c>
      <c r="D53" s="1282">
        <v>4647519</v>
      </c>
      <c r="E53" s="1282">
        <v>4647519</v>
      </c>
      <c r="F53" s="1283">
        <v>0</v>
      </c>
      <c r="G53" s="1283">
        <v>0</v>
      </c>
    </row>
    <row r="54" spans="1:7">
      <c r="A54" s="1276" t="s">
        <v>127</v>
      </c>
      <c r="B54" s="1279" t="s">
        <v>128</v>
      </c>
      <c r="C54" s="1148" t="s">
        <v>273</v>
      </c>
      <c r="D54" s="1282">
        <v>3103703</v>
      </c>
      <c r="E54" s="1282">
        <v>3103703</v>
      </c>
      <c r="F54" s="1283">
        <v>0</v>
      </c>
      <c r="G54" s="1283">
        <v>0</v>
      </c>
    </row>
    <row r="55" spans="1:7">
      <c r="A55" s="1276" t="s">
        <v>129</v>
      </c>
      <c r="B55" s="1279" t="s">
        <v>130</v>
      </c>
      <c r="C55" s="1148" t="s">
        <v>273</v>
      </c>
      <c r="D55" s="1282">
        <v>2648797</v>
      </c>
      <c r="E55" s="1282">
        <v>2648797</v>
      </c>
      <c r="F55" s="1283">
        <v>0</v>
      </c>
      <c r="G55" s="1283">
        <v>0</v>
      </c>
    </row>
    <row r="56" spans="1:7">
      <c r="A56" s="1276" t="s">
        <v>131</v>
      </c>
      <c r="B56" s="1279" t="s">
        <v>132</v>
      </c>
      <c r="C56" s="1148" t="s">
        <v>275</v>
      </c>
      <c r="D56" s="1282">
        <v>8670115</v>
      </c>
      <c r="E56" s="1282">
        <v>8670115</v>
      </c>
      <c r="F56" s="1283">
        <v>0</v>
      </c>
      <c r="G56" s="1283">
        <v>0</v>
      </c>
    </row>
    <row r="57" spans="1:7">
      <c r="A57" s="1276" t="s">
        <v>133</v>
      </c>
      <c r="B57" s="1279" t="s">
        <v>134</v>
      </c>
      <c r="C57" s="1148" t="s">
        <v>274</v>
      </c>
      <c r="D57" s="1282">
        <v>14024574</v>
      </c>
      <c r="E57" s="1282">
        <v>14024574</v>
      </c>
      <c r="F57" s="1283">
        <v>0</v>
      </c>
      <c r="G57" s="1283">
        <v>0</v>
      </c>
    </row>
    <row r="58" spans="1:7">
      <c r="A58" s="1276" t="s">
        <v>135</v>
      </c>
      <c r="B58" s="1279" t="s">
        <v>136</v>
      </c>
      <c r="C58" s="1148" t="s">
        <v>274</v>
      </c>
      <c r="D58" s="1282">
        <v>6758370</v>
      </c>
      <c r="E58" s="1282">
        <v>6758370</v>
      </c>
      <c r="F58" s="1283">
        <v>0</v>
      </c>
      <c r="G58" s="1283">
        <v>0</v>
      </c>
    </row>
    <row r="59" spans="1:7">
      <c r="A59" s="1276" t="s">
        <v>137</v>
      </c>
      <c r="B59" s="1279" t="s">
        <v>138</v>
      </c>
      <c r="C59" s="1148" t="s">
        <v>273</v>
      </c>
      <c r="D59" s="1282">
        <v>3527855</v>
      </c>
      <c r="E59" s="1282">
        <v>3527855</v>
      </c>
      <c r="F59" s="1283">
        <v>0</v>
      </c>
      <c r="G59" s="1283">
        <v>0</v>
      </c>
    </row>
    <row r="60" spans="1:7">
      <c r="A60" s="1276" t="s">
        <v>141</v>
      </c>
      <c r="B60" s="1279" t="s">
        <v>142</v>
      </c>
      <c r="C60" s="1148" t="s">
        <v>274</v>
      </c>
      <c r="D60" s="1282">
        <v>2313513</v>
      </c>
      <c r="E60" s="1282">
        <v>2313513</v>
      </c>
      <c r="F60" s="1283">
        <v>0</v>
      </c>
      <c r="G60" s="1283">
        <v>0</v>
      </c>
    </row>
    <row r="61" spans="1:7">
      <c r="A61" s="1276" t="s">
        <v>147</v>
      </c>
      <c r="B61" s="1279" t="s">
        <v>148</v>
      </c>
      <c r="C61" s="1148" t="s">
        <v>271</v>
      </c>
      <c r="D61" s="1282">
        <v>1458166</v>
      </c>
      <c r="E61" s="1282">
        <v>1458166</v>
      </c>
      <c r="F61" s="1283">
        <v>0</v>
      </c>
      <c r="G61" s="1283">
        <v>0</v>
      </c>
    </row>
    <row r="62" spans="1:7">
      <c r="A62" s="1276" t="s">
        <v>149</v>
      </c>
      <c r="B62" s="1279" t="s">
        <v>150</v>
      </c>
      <c r="C62" s="1148" t="s">
        <v>272</v>
      </c>
      <c r="D62" s="1282">
        <v>7135086</v>
      </c>
      <c r="E62" s="1282">
        <v>7135086</v>
      </c>
      <c r="F62" s="1283">
        <v>0</v>
      </c>
      <c r="G62" s="1283">
        <v>0</v>
      </c>
    </row>
    <row r="63" spans="1:7">
      <c r="A63" s="1276" t="s">
        <v>151</v>
      </c>
      <c r="B63" s="1279" t="s">
        <v>152</v>
      </c>
      <c r="C63" s="1148" t="s">
        <v>273</v>
      </c>
      <c r="D63" s="1282">
        <v>2391783</v>
      </c>
      <c r="E63" s="1282">
        <v>2391783</v>
      </c>
      <c r="F63" s="1283">
        <v>0</v>
      </c>
      <c r="G63" s="1283">
        <v>0</v>
      </c>
    </row>
    <row r="64" spans="1:7">
      <c r="A64" s="1276" t="s">
        <v>153</v>
      </c>
      <c r="B64" s="1279" t="s">
        <v>154</v>
      </c>
      <c r="C64" s="1148" t="s">
        <v>275</v>
      </c>
      <c r="D64" s="1282">
        <v>11909602</v>
      </c>
      <c r="E64" s="1282">
        <v>11909602</v>
      </c>
      <c r="F64" s="1283">
        <v>0</v>
      </c>
      <c r="G64" s="1283">
        <v>0</v>
      </c>
    </row>
    <row r="65" spans="1:7">
      <c r="A65" s="1276" t="s">
        <v>155</v>
      </c>
      <c r="B65" s="1279" t="s">
        <v>156</v>
      </c>
      <c r="C65" s="1148" t="s">
        <v>272</v>
      </c>
      <c r="D65" s="1282">
        <v>3393790</v>
      </c>
      <c r="E65" s="1282">
        <v>3393790</v>
      </c>
      <c r="F65" s="1283">
        <v>0</v>
      </c>
      <c r="G65" s="1283">
        <v>0</v>
      </c>
    </row>
    <row r="66" spans="1:7">
      <c r="A66" s="1276" t="s">
        <v>157</v>
      </c>
      <c r="B66" s="1279" t="s">
        <v>158</v>
      </c>
      <c r="C66" s="1148" t="s">
        <v>273</v>
      </c>
      <c r="D66" s="1282">
        <v>1894553</v>
      </c>
      <c r="E66" s="1282">
        <v>1894553</v>
      </c>
      <c r="F66" s="1283">
        <v>0</v>
      </c>
      <c r="G66" s="1283">
        <v>0</v>
      </c>
    </row>
    <row r="67" spans="1:7">
      <c r="A67" s="1276" t="s">
        <v>163</v>
      </c>
      <c r="B67" s="1279" t="s">
        <v>164</v>
      </c>
      <c r="C67" s="1148" t="s">
        <v>271</v>
      </c>
      <c r="D67" s="1282">
        <v>4222520</v>
      </c>
      <c r="E67" s="1282">
        <v>4222520</v>
      </c>
      <c r="F67" s="1283">
        <v>0</v>
      </c>
      <c r="G67" s="1283">
        <v>0</v>
      </c>
    </row>
    <row r="68" spans="1:7">
      <c r="A68" s="1276" t="s">
        <v>165</v>
      </c>
      <c r="B68" s="1279" t="s">
        <v>166</v>
      </c>
      <c r="C68" s="1148" t="s">
        <v>273</v>
      </c>
      <c r="D68" s="1282">
        <v>2388017</v>
      </c>
      <c r="E68" s="1282">
        <v>2388017</v>
      </c>
      <c r="F68" s="1283">
        <v>0</v>
      </c>
      <c r="G68" s="1283">
        <v>0</v>
      </c>
    </row>
    <row r="69" spans="1:7">
      <c r="A69" s="1276" t="s">
        <v>169</v>
      </c>
      <c r="B69" s="1279" t="s">
        <v>170</v>
      </c>
      <c r="C69" s="1148" t="s">
        <v>273</v>
      </c>
      <c r="D69" s="1282">
        <v>5489647</v>
      </c>
      <c r="E69" s="1282">
        <v>5489647</v>
      </c>
      <c r="F69" s="1283">
        <v>0</v>
      </c>
      <c r="G69" s="1283">
        <v>0</v>
      </c>
    </row>
    <row r="70" spans="1:7">
      <c r="A70" s="1276" t="s">
        <v>171</v>
      </c>
      <c r="B70" s="1279" t="s">
        <v>172</v>
      </c>
      <c r="C70" s="1148" t="s">
        <v>274</v>
      </c>
      <c r="D70" s="1282">
        <v>5169600</v>
      </c>
      <c r="E70" s="1282">
        <v>5169600</v>
      </c>
      <c r="F70" s="1283">
        <v>0</v>
      </c>
      <c r="G70" s="1283">
        <v>0</v>
      </c>
    </row>
    <row r="71" spans="1:7">
      <c r="A71" s="1276" t="s">
        <v>173</v>
      </c>
      <c r="B71" s="1279" t="s">
        <v>174</v>
      </c>
      <c r="C71" s="1148" t="s">
        <v>274</v>
      </c>
      <c r="D71" s="1282">
        <v>5750627</v>
      </c>
      <c r="E71" s="1282">
        <v>5750627</v>
      </c>
      <c r="F71" s="1283">
        <v>0</v>
      </c>
      <c r="G71" s="1283">
        <v>0</v>
      </c>
    </row>
    <row r="72" spans="1:7">
      <c r="A72" s="1276" t="s">
        <v>175</v>
      </c>
      <c r="B72" s="1279" t="s">
        <v>176</v>
      </c>
      <c r="C72" s="1148" t="s">
        <v>275</v>
      </c>
      <c r="D72" s="1282">
        <v>4934304</v>
      </c>
      <c r="E72" s="1282">
        <v>4934304</v>
      </c>
      <c r="F72" s="1283">
        <v>0</v>
      </c>
      <c r="G72" s="1283">
        <v>0</v>
      </c>
    </row>
    <row r="73" spans="1:7">
      <c r="A73" s="1276" t="s">
        <v>179</v>
      </c>
      <c r="B73" s="1279" t="s">
        <v>180</v>
      </c>
      <c r="C73" s="1148" t="s">
        <v>272</v>
      </c>
      <c r="D73" s="1282">
        <v>14431569</v>
      </c>
      <c r="E73" s="1282">
        <v>14431569</v>
      </c>
      <c r="F73" s="1283">
        <v>0</v>
      </c>
      <c r="G73" s="1283">
        <v>0</v>
      </c>
    </row>
    <row r="74" spans="1:7">
      <c r="A74" s="1276" t="s">
        <v>183</v>
      </c>
      <c r="B74" s="1279" t="s">
        <v>184</v>
      </c>
      <c r="C74" s="1148" t="s">
        <v>273</v>
      </c>
      <c r="D74" s="1282">
        <v>2323903</v>
      </c>
      <c r="E74" s="1282">
        <v>2323903</v>
      </c>
      <c r="F74" s="1283">
        <v>0</v>
      </c>
      <c r="G74" s="1283">
        <v>0</v>
      </c>
    </row>
    <row r="75" spans="1:7">
      <c r="A75" s="1276" t="s">
        <v>185</v>
      </c>
      <c r="B75" s="1279" t="s">
        <v>186</v>
      </c>
      <c r="C75" s="1148" t="s">
        <v>273</v>
      </c>
      <c r="D75" s="1282">
        <v>5237853</v>
      </c>
      <c r="E75" s="1282">
        <v>5237853</v>
      </c>
      <c r="F75" s="1283">
        <v>0</v>
      </c>
      <c r="G75" s="1283">
        <v>0</v>
      </c>
    </row>
    <row r="76" spans="1:7">
      <c r="A76" s="1276" t="s">
        <v>187</v>
      </c>
      <c r="B76" s="1279" t="s">
        <v>188</v>
      </c>
      <c r="C76" s="1148" t="s">
        <v>271</v>
      </c>
      <c r="D76" s="1282">
        <v>4242868</v>
      </c>
      <c r="E76" s="1282">
        <v>4242868</v>
      </c>
      <c r="F76" s="1283">
        <v>0</v>
      </c>
      <c r="G76" s="1283">
        <v>0</v>
      </c>
    </row>
    <row r="77" spans="1:7">
      <c r="A77" s="1276" t="s">
        <v>189</v>
      </c>
      <c r="B77" s="1279" t="s">
        <v>190</v>
      </c>
      <c r="C77" s="1148" t="s">
        <v>274</v>
      </c>
      <c r="D77" s="1282">
        <v>45204269</v>
      </c>
      <c r="E77" s="1282">
        <v>45204269</v>
      </c>
      <c r="F77" s="1283">
        <v>0</v>
      </c>
      <c r="G77" s="1283">
        <v>0</v>
      </c>
    </row>
    <row r="78" spans="1:7">
      <c r="A78" s="1276" t="s">
        <v>191</v>
      </c>
      <c r="B78" s="1279" t="s">
        <v>192</v>
      </c>
      <c r="C78" s="1148" t="s">
        <v>275</v>
      </c>
      <c r="D78" s="1282">
        <v>8812255</v>
      </c>
      <c r="E78" s="1282">
        <v>8812255</v>
      </c>
      <c r="F78" s="1283">
        <v>0</v>
      </c>
      <c r="G78" s="1283">
        <v>0</v>
      </c>
    </row>
    <row r="79" spans="1:7">
      <c r="A79" s="1276" t="s">
        <v>195</v>
      </c>
      <c r="B79" s="1279" t="s">
        <v>196</v>
      </c>
      <c r="C79" s="1148" t="s">
        <v>274</v>
      </c>
      <c r="D79" s="1282">
        <v>763577</v>
      </c>
      <c r="E79" s="1282">
        <v>763577</v>
      </c>
      <c r="F79" s="1283">
        <v>0</v>
      </c>
      <c r="G79" s="1283">
        <v>0</v>
      </c>
    </row>
    <row r="80" spans="1:7">
      <c r="A80" s="1276" t="s">
        <v>199</v>
      </c>
      <c r="B80" s="1279" t="s">
        <v>200</v>
      </c>
      <c r="C80" s="1148" t="s">
        <v>273</v>
      </c>
      <c r="D80" s="1282">
        <v>2234031</v>
      </c>
      <c r="E80" s="1282">
        <v>2234031</v>
      </c>
      <c r="F80" s="1283">
        <v>0</v>
      </c>
      <c r="G80" s="1283">
        <v>0</v>
      </c>
    </row>
    <row r="81" spans="1:7">
      <c r="A81" s="1276" t="s">
        <v>203</v>
      </c>
      <c r="B81" s="1279" t="s">
        <v>204</v>
      </c>
      <c r="C81" s="1148" t="s">
        <v>272</v>
      </c>
      <c r="D81" s="1282">
        <v>11480108</v>
      </c>
      <c r="E81" s="1282">
        <v>11480108</v>
      </c>
      <c r="F81" s="1283">
        <v>0</v>
      </c>
      <c r="G81" s="1283">
        <v>0</v>
      </c>
    </row>
    <row r="82" spans="1:7">
      <c r="A82" s="1276" t="s">
        <v>205</v>
      </c>
      <c r="B82" s="1279" t="s">
        <v>206</v>
      </c>
      <c r="C82" s="1148" t="s">
        <v>272</v>
      </c>
      <c r="D82" s="1282">
        <v>5506319</v>
      </c>
      <c r="E82" s="1282">
        <v>5506319</v>
      </c>
      <c r="F82" s="1283">
        <v>0</v>
      </c>
      <c r="G82" s="1283">
        <v>0</v>
      </c>
    </row>
    <row r="83" spans="1:7">
      <c r="A83" s="1276" t="s">
        <v>207</v>
      </c>
      <c r="B83" s="1279" t="s">
        <v>208</v>
      </c>
      <c r="C83" s="1148" t="s">
        <v>274</v>
      </c>
      <c r="D83" s="1282">
        <v>16371549</v>
      </c>
      <c r="E83" s="1282">
        <v>16371549</v>
      </c>
      <c r="F83" s="1283">
        <v>0</v>
      </c>
      <c r="G83" s="1283">
        <v>0</v>
      </c>
    </row>
    <row r="84" spans="1:7">
      <c r="A84" s="1276" t="s">
        <v>209</v>
      </c>
      <c r="B84" s="1279" t="s">
        <v>210</v>
      </c>
      <c r="C84" s="1148" t="s">
        <v>275</v>
      </c>
      <c r="D84" s="1282">
        <v>8026463</v>
      </c>
      <c r="E84" s="1282">
        <v>8026463</v>
      </c>
      <c r="F84" s="1283">
        <v>0</v>
      </c>
      <c r="G84" s="1283">
        <v>0</v>
      </c>
    </row>
    <row r="85" spans="1:7">
      <c r="A85" s="1276" t="s">
        <v>211</v>
      </c>
      <c r="B85" s="1279" t="s">
        <v>212</v>
      </c>
      <c r="C85" s="1148" t="s">
        <v>275</v>
      </c>
      <c r="D85" s="1282">
        <v>5205906</v>
      </c>
      <c r="E85" s="1282">
        <v>5205906</v>
      </c>
      <c r="F85" s="1283">
        <v>0</v>
      </c>
      <c r="G85" s="1283">
        <v>0</v>
      </c>
    </row>
    <row r="86" spans="1:7">
      <c r="A86" s="1276" t="s">
        <v>213</v>
      </c>
      <c r="B86" s="1279" t="s">
        <v>214</v>
      </c>
      <c r="C86" s="1148" t="s">
        <v>274</v>
      </c>
      <c r="D86" s="1282">
        <v>8156500</v>
      </c>
      <c r="E86" s="1282">
        <v>8156500</v>
      </c>
      <c r="F86" s="1283">
        <v>0</v>
      </c>
      <c r="G86" s="1283">
        <v>0</v>
      </c>
    </row>
    <row r="87" spans="1:7">
      <c r="A87" s="1276" t="s">
        <v>215</v>
      </c>
      <c r="B87" s="1279" t="s">
        <v>216</v>
      </c>
      <c r="C87" s="1148" t="s">
        <v>275</v>
      </c>
      <c r="D87" s="1282">
        <v>9459469</v>
      </c>
      <c r="E87" s="1282">
        <v>9459469</v>
      </c>
      <c r="F87" s="1283">
        <v>0</v>
      </c>
      <c r="G87" s="1283">
        <v>0</v>
      </c>
    </row>
    <row r="88" spans="1:7">
      <c r="A88" s="1276" t="s">
        <v>217</v>
      </c>
      <c r="B88" s="1279" t="s">
        <v>218</v>
      </c>
      <c r="C88" s="1148" t="s">
        <v>271</v>
      </c>
      <c r="D88" s="1282">
        <v>4555296</v>
      </c>
      <c r="E88" s="1282">
        <v>4555296</v>
      </c>
      <c r="F88" s="1283">
        <v>0</v>
      </c>
      <c r="G88" s="1283">
        <v>0</v>
      </c>
    </row>
    <row r="89" spans="1:7">
      <c r="A89" s="1276" t="s">
        <v>219</v>
      </c>
      <c r="B89" s="1279" t="s">
        <v>220</v>
      </c>
      <c r="C89" s="1148" t="s">
        <v>274</v>
      </c>
      <c r="D89" s="1282">
        <v>18517077</v>
      </c>
      <c r="E89" s="1282">
        <v>18517077</v>
      </c>
      <c r="F89" s="1283">
        <v>0</v>
      </c>
      <c r="G89" s="1283">
        <v>0</v>
      </c>
    </row>
    <row r="90" spans="1:7">
      <c r="A90" s="1276" t="s">
        <v>221</v>
      </c>
      <c r="B90" s="1279" t="s">
        <v>222</v>
      </c>
      <c r="C90" s="1148" t="s">
        <v>274</v>
      </c>
      <c r="D90" s="1282">
        <v>14805348</v>
      </c>
      <c r="E90" s="1282">
        <v>14805348</v>
      </c>
      <c r="F90" s="1283">
        <v>0</v>
      </c>
      <c r="G90" s="1283">
        <v>0</v>
      </c>
    </row>
    <row r="91" spans="1:7">
      <c r="A91" s="1276" t="s">
        <v>225</v>
      </c>
      <c r="B91" s="1279" t="s">
        <v>226</v>
      </c>
      <c r="C91" s="1148" t="s">
        <v>271</v>
      </c>
      <c r="D91" s="1282">
        <v>1533207</v>
      </c>
      <c r="E91" s="1282">
        <v>1533207</v>
      </c>
      <c r="F91" s="1283">
        <v>0</v>
      </c>
      <c r="G91" s="1283">
        <v>0</v>
      </c>
    </row>
    <row r="92" spans="1:7">
      <c r="A92" s="1276" t="s">
        <v>227</v>
      </c>
      <c r="B92" s="1279" t="s">
        <v>228</v>
      </c>
      <c r="C92" s="1148" t="s">
        <v>271</v>
      </c>
      <c r="D92" s="1282">
        <v>2955559</v>
      </c>
      <c r="E92" s="1282">
        <v>2955559</v>
      </c>
      <c r="F92" s="1283">
        <v>0</v>
      </c>
      <c r="G92" s="1283">
        <v>0</v>
      </c>
    </row>
    <row r="93" spans="1:7">
      <c r="A93" s="1276" t="s">
        <v>229</v>
      </c>
      <c r="B93" s="1279" t="s">
        <v>230</v>
      </c>
      <c r="C93" s="1148" t="s">
        <v>275</v>
      </c>
      <c r="D93" s="1282">
        <v>10519423</v>
      </c>
      <c r="E93" s="1282">
        <v>10519423</v>
      </c>
      <c r="F93" s="1283">
        <v>0</v>
      </c>
      <c r="G93" s="1283">
        <v>0</v>
      </c>
    </row>
    <row r="94" spans="1:7">
      <c r="A94" s="1276" t="s">
        <v>233</v>
      </c>
      <c r="B94" s="1279" t="s">
        <v>234</v>
      </c>
      <c r="C94" s="1148" t="s">
        <v>274</v>
      </c>
      <c r="D94" s="1282">
        <v>7846366</v>
      </c>
      <c r="E94" s="1282">
        <v>7846366</v>
      </c>
      <c r="F94" s="1283">
        <v>0</v>
      </c>
      <c r="G94" s="1283">
        <v>0</v>
      </c>
    </row>
    <row r="95" spans="1:7">
      <c r="A95" s="1276" t="s">
        <v>235</v>
      </c>
      <c r="B95" s="1279" t="s">
        <v>236</v>
      </c>
      <c r="C95" s="1148" t="s">
        <v>275</v>
      </c>
      <c r="D95" s="1282">
        <v>10838615</v>
      </c>
      <c r="E95" s="1282">
        <v>10838615</v>
      </c>
      <c r="F95" s="1283">
        <v>0</v>
      </c>
      <c r="G95" s="1283">
        <v>0</v>
      </c>
    </row>
    <row r="96" spans="1:7">
      <c r="A96" s="1276" t="s">
        <v>237</v>
      </c>
      <c r="B96" s="1279" t="s">
        <v>238</v>
      </c>
      <c r="C96" s="1148" t="s">
        <v>273</v>
      </c>
      <c r="D96" s="1282">
        <v>5000207</v>
      </c>
      <c r="E96" s="1282">
        <v>5000207</v>
      </c>
      <c r="F96" s="1283">
        <v>0</v>
      </c>
      <c r="G96" s="1283">
        <v>0</v>
      </c>
    </row>
    <row r="97" spans="1:7">
      <c r="A97" s="1276" t="s">
        <v>243</v>
      </c>
      <c r="B97" s="1279" t="s">
        <v>244</v>
      </c>
      <c r="C97" s="1148" t="s">
        <v>275</v>
      </c>
      <c r="D97" s="1282">
        <v>12303363</v>
      </c>
      <c r="E97" s="1282">
        <v>12303363</v>
      </c>
      <c r="F97" s="1283">
        <v>0</v>
      </c>
      <c r="G97" s="1283">
        <v>0</v>
      </c>
    </row>
    <row r="98" spans="1:7">
      <c r="A98" s="1276" t="s">
        <v>245</v>
      </c>
      <c r="B98" s="1279" t="s">
        <v>246</v>
      </c>
      <c r="C98" s="1148" t="s">
        <v>275</v>
      </c>
      <c r="D98" s="1282">
        <v>6402960</v>
      </c>
      <c r="E98" s="1282">
        <v>6402960</v>
      </c>
      <c r="F98" s="1283">
        <v>0</v>
      </c>
      <c r="G98" s="1283">
        <v>0</v>
      </c>
    </row>
    <row r="99" spans="1:7">
      <c r="A99" s="1276" t="s">
        <v>247</v>
      </c>
      <c r="B99" s="1279" t="s">
        <v>332</v>
      </c>
      <c r="C99" s="1148" t="s">
        <v>271</v>
      </c>
      <c r="D99" s="1282">
        <v>4961075</v>
      </c>
      <c r="E99" s="1282">
        <v>4961075</v>
      </c>
      <c r="F99" s="1283">
        <v>0</v>
      </c>
      <c r="G99" s="1283">
        <v>0</v>
      </c>
    </row>
    <row r="100" spans="1:7">
      <c r="A100" s="1276" t="s">
        <v>14</v>
      </c>
      <c r="B100" s="1279" t="s">
        <v>15</v>
      </c>
      <c r="C100" s="1148" t="s">
        <v>274</v>
      </c>
      <c r="D100" s="1282">
        <v>13833517</v>
      </c>
      <c r="E100" s="1282">
        <v>13833517</v>
      </c>
      <c r="F100" s="1283">
        <v>0</v>
      </c>
      <c r="G100" s="1283">
        <v>0</v>
      </c>
    </row>
    <row r="101" spans="1:7">
      <c r="A101" s="1276" t="s">
        <v>35</v>
      </c>
      <c r="B101" s="1279" t="s">
        <v>36</v>
      </c>
      <c r="C101" s="1148" t="s">
        <v>275</v>
      </c>
      <c r="D101" s="1282">
        <v>7055230</v>
      </c>
      <c r="E101" s="1282">
        <v>7055230</v>
      </c>
      <c r="F101" s="1283">
        <v>0</v>
      </c>
      <c r="G101" s="1283">
        <v>0</v>
      </c>
    </row>
    <row r="102" spans="1:7">
      <c r="A102" s="1276" t="s">
        <v>53</v>
      </c>
      <c r="B102" s="1279" t="s">
        <v>54</v>
      </c>
      <c r="C102" s="1148" t="s">
        <v>272</v>
      </c>
      <c r="D102" s="1282">
        <v>8910262</v>
      </c>
      <c r="E102" s="1282">
        <v>8910262</v>
      </c>
      <c r="F102" s="1283">
        <v>0</v>
      </c>
      <c r="G102" s="1283">
        <v>0</v>
      </c>
    </row>
    <row r="103" spans="1:7">
      <c r="A103" s="1276" t="s">
        <v>55</v>
      </c>
      <c r="B103" s="1279" t="s">
        <v>56</v>
      </c>
      <c r="C103" s="1148" t="s">
        <v>271</v>
      </c>
      <c r="D103" s="1282">
        <v>37281390</v>
      </c>
      <c r="E103" s="1282">
        <v>37281390</v>
      </c>
      <c r="F103" s="1283">
        <v>0</v>
      </c>
      <c r="G103" s="1283">
        <v>0</v>
      </c>
    </row>
    <row r="104" spans="1:7">
      <c r="A104" s="1276" t="s">
        <v>67</v>
      </c>
      <c r="B104" s="1279" t="s">
        <v>68</v>
      </c>
      <c r="C104" s="1148" t="s">
        <v>272</v>
      </c>
      <c r="D104" s="1282">
        <v>21279188</v>
      </c>
      <c r="E104" s="1282">
        <v>21279188</v>
      </c>
      <c r="F104" s="1283">
        <v>0</v>
      </c>
      <c r="G104" s="1283">
        <v>0</v>
      </c>
    </row>
    <row r="105" spans="1:7">
      <c r="A105" s="1276" t="s">
        <v>83</v>
      </c>
      <c r="B105" s="1279" t="s">
        <v>333</v>
      </c>
      <c r="C105" s="1148" t="s">
        <v>271</v>
      </c>
      <c r="D105" s="1282">
        <v>4244312</v>
      </c>
      <c r="E105" s="1282">
        <v>4244312</v>
      </c>
      <c r="F105" s="1283">
        <v>0</v>
      </c>
      <c r="G105" s="1283">
        <v>0</v>
      </c>
    </row>
    <row r="106" spans="1:7">
      <c r="A106" s="1276" t="s">
        <v>89</v>
      </c>
      <c r="B106" s="1279" t="s">
        <v>90</v>
      </c>
      <c r="C106" s="1148" t="s">
        <v>274</v>
      </c>
      <c r="D106" s="1282">
        <v>7048854</v>
      </c>
      <c r="E106" s="1282">
        <v>7048854</v>
      </c>
      <c r="F106" s="1283">
        <v>0</v>
      </c>
      <c r="G106" s="1283">
        <v>0</v>
      </c>
    </row>
    <row r="107" spans="1:7">
      <c r="A107" s="1276" t="s">
        <v>91</v>
      </c>
      <c r="B107" s="1279" t="s">
        <v>92</v>
      </c>
      <c r="C107" s="1148" t="s">
        <v>275</v>
      </c>
      <c r="D107" s="1282">
        <v>2749660</v>
      </c>
      <c r="E107" s="1282">
        <v>2749660</v>
      </c>
      <c r="F107" s="1283">
        <v>0</v>
      </c>
      <c r="G107" s="1283">
        <v>0</v>
      </c>
    </row>
    <row r="108" spans="1:7">
      <c r="A108" s="1276" t="s">
        <v>107</v>
      </c>
      <c r="B108" s="1279" t="s">
        <v>108</v>
      </c>
      <c r="C108" s="1148" t="s">
        <v>271</v>
      </c>
      <c r="D108" s="1282">
        <v>35114690</v>
      </c>
      <c r="E108" s="1282">
        <v>35114690</v>
      </c>
      <c r="F108" s="1283">
        <v>0</v>
      </c>
      <c r="G108" s="1283">
        <v>0</v>
      </c>
    </row>
    <row r="109" spans="1:7">
      <c r="A109" s="1276" t="s">
        <v>117</v>
      </c>
      <c r="B109" s="1279" t="s">
        <v>118</v>
      </c>
      <c r="C109" s="1148" t="s">
        <v>273</v>
      </c>
      <c r="D109" s="1282">
        <v>11118935</v>
      </c>
      <c r="E109" s="1282">
        <v>11118935</v>
      </c>
      <c r="F109" s="1283">
        <v>0</v>
      </c>
      <c r="G109" s="1283">
        <v>0</v>
      </c>
    </row>
    <row r="110" spans="1:7">
      <c r="A110" s="1276" t="s">
        <v>139</v>
      </c>
      <c r="B110" s="1279" t="s">
        <v>140</v>
      </c>
      <c r="C110" s="1148" t="s">
        <v>272</v>
      </c>
      <c r="D110" s="1282">
        <v>21544769</v>
      </c>
      <c r="E110" s="1282">
        <v>21544769</v>
      </c>
      <c r="F110" s="1283">
        <v>0</v>
      </c>
      <c r="G110" s="1283">
        <v>0</v>
      </c>
    </row>
    <row r="111" spans="1:7">
      <c r="A111" s="1276" t="s">
        <v>143</v>
      </c>
      <c r="B111" s="1279" t="s">
        <v>144</v>
      </c>
      <c r="C111" s="1148" t="s">
        <v>274</v>
      </c>
      <c r="D111" s="1282">
        <v>6780366</v>
      </c>
      <c r="E111" s="1282">
        <v>6780366</v>
      </c>
      <c r="F111" s="1283">
        <v>0</v>
      </c>
      <c r="G111" s="1283">
        <v>0</v>
      </c>
    </row>
    <row r="112" spans="1:7">
      <c r="A112" s="1276" t="s">
        <v>145</v>
      </c>
      <c r="B112" s="1279" t="s">
        <v>146</v>
      </c>
      <c r="C112" s="1148" t="s">
        <v>274</v>
      </c>
      <c r="D112" s="1282">
        <v>1769404</v>
      </c>
      <c r="E112" s="1282">
        <v>1769404</v>
      </c>
      <c r="F112" s="1283">
        <v>0</v>
      </c>
      <c r="G112" s="1283">
        <v>0</v>
      </c>
    </row>
    <row r="113" spans="1:7">
      <c r="A113" s="1276" t="s">
        <v>159</v>
      </c>
      <c r="B113" s="1279" t="s">
        <v>160</v>
      </c>
      <c r="C113" s="1148" t="s">
        <v>271</v>
      </c>
      <c r="D113" s="1282">
        <v>58771606</v>
      </c>
      <c r="E113" s="1282">
        <v>58771606</v>
      </c>
      <c r="F113" s="1283">
        <v>0</v>
      </c>
      <c r="G113" s="1283">
        <v>0</v>
      </c>
    </row>
    <row r="114" spans="1:7">
      <c r="A114" s="1276" t="s">
        <v>161</v>
      </c>
      <c r="B114" s="1279" t="s">
        <v>162</v>
      </c>
      <c r="C114" s="1148" t="s">
        <v>271</v>
      </c>
      <c r="D114" s="1282">
        <v>80606064</v>
      </c>
      <c r="E114" s="1282">
        <v>80606064</v>
      </c>
      <c r="F114" s="1283">
        <v>0</v>
      </c>
      <c r="G114" s="1283">
        <v>0</v>
      </c>
    </row>
    <row r="115" spans="1:7">
      <c r="A115" s="1276" t="s">
        <v>167</v>
      </c>
      <c r="B115" s="1279" t="s">
        <v>168</v>
      </c>
      <c r="C115" s="1148" t="s">
        <v>275</v>
      </c>
      <c r="D115" s="1282">
        <v>1464153</v>
      </c>
      <c r="E115" s="1282">
        <v>1464153</v>
      </c>
      <c r="F115" s="1283">
        <v>0</v>
      </c>
      <c r="G115" s="1283">
        <v>0</v>
      </c>
    </row>
    <row r="116" spans="1:7">
      <c r="A116" s="1276" t="s">
        <v>177</v>
      </c>
      <c r="B116" s="1279" t="s">
        <v>178</v>
      </c>
      <c r="C116" s="1148" t="s">
        <v>273</v>
      </c>
      <c r="D116" s="1282">
        <v>17894040</v>
      </c>
      <c r="E116" s="1282">
        <v>17894040</v>
      </c>
      <c r="F116" s="1283">
        <v>0</v>
      </c>
      <c r="G116" s="1283">
        <v>0</v>
      </c>
    </row>
    <row r="117" spans="1:7">
      <c r="A117" s="1276" t="s">
        <v>181</v>
      </c>
      <c r="B117" s="1279" t="s">
        <v>182</v>
      </c>
      <c r="C117" s="1148" t="s">
        <v>271</v>
      </c>
      <c r="D117" s="1282">
        <v>38339455</v>
      </c>
      <c r="E117" s="1282">
        <v>38339455</v>
      </c>
      <c r="F117" s="1283">
        <v>0</v>
      </c>
      <c r="G117" s="1283">
        <v>0</v>
      </c>
    </row>
    <row r="118" spans="1:7">
      <c r="A118" s="1276" t="s">
        <v>193</v>
      </c>
      <c r="B118" s="1279" t="s">
        <v>194</v>
      </c>
      <c r="C118" s="1148" t="s">
        <v>275</v>
      </c>
      <c r="D118" s="1282">
        <v>2575430</v>
      </c>
      <c r="E118" s="1282">
        <v>2575430</v>
      </c>
      <c r="F118" s="1283">
        <v>0</v>
      </c>
      <c r="G118" s="1283">
        <v>0</v>
      </c>
    </row>
    <row r="119" spans="1:7">
      <c r="A119" s="1276" t="s">
        <v>197</v>
      </c>
      <c r="B119" s="1279" t="s">
        <v>334</v>
      </c>
      <c r="C119" s="1148" t="s">
        <v>273</v>
      </c>
      <c r="D119" s="1282">
        <v>89650373</v>
      </c>
      <c r="E119" s="1282">
        <v>89650373</v>
      </c>
      <c r="F119" s="1283">
        <v>0</v>
      </c>
      <c r="G119" s="1283">
        <v>0</v>
      </c>
    </row>
    <row r="120" spans="1:7">
      <c r="A120" s="1276" t="s">
        <v>201</v>
      </c>
      <c r="B120" s="1279" t="s">
        <v>335</v>
      </c>
      <c r="C120" s="1148" t="s">
        <v>272</v>
      </c>
      <c r="D120" s="1282">
        <v>36861710</v>
      </c>
      <c r="E120" s="1282">
        <v>36861710</v>
      </c>
      <c r="F120" s="1283">
        <v>0</v>
      </c>
      <c r="G120" s="1283">
        <v>0</v>
      </c>
    </row>
    <row r="121" spans="1:7">
      <c r="A121" s="1276" t="s">
        <v>223</v>
      </c>
      <c r="B121" s="1279" t="s">
        <v>224</v>
      </c>
      <c r="C121" s="1148" t="s">
        <v>271</v>
      </c>
      <c r="D121" s="1282">
        <v>20164693</v>
      </c>
      <c r="E121" s="1282">
        <v>20164693</v>
      </c>
      <c r="F121" s="1283">
        <v>0</v>
      </c>
      <c r="G121" s="1283">
        <v>0</v>
      </c>
    </row>
    <row r="122" spans="1:7">
      <c r="A122" s="1276" t="s">
        <v>231</v>
      </c>
      <c r="B122" s="1279" t="s">
        <v>232</v>
      </c>
      <c r="C122" s="1148" t="s">
        <v>271</v>
      </c>
      <c r="D122" s="1282">
        <v>54122656</v>
      </c>
      <c r="E122" s="1282">
        <v>54122656</v>
      </c>
      <c r="F122" s="1283">
        <v>0</v>
      </c>
      <c r="G122" s="1283">
        <v>0</v>
      </c>
    </row>
    <row r="123" spans="1:7">
      <c r="A123" s="1276" t="s">
        <v>239</v>
      </c>
      <c r="B123" s="1279" t="s">
        <v>240</v>
      </c>
      <c r="C123" s="1148" t="s">
        <v>271</v>
      </c>
      <c r="D123" s="1282">
        <v>1821696</v>
      </c>
      <c r="E123" s="1282">
        <v>1821696</v>
      </c>
      <c r="F123" s="1283">
        <v>0</v>
      </c>
      <c r="G123" s="1283">
        <v>0</v>
      </c>
    </row>
    <row r="124" spans="1:7">
      <c r="A124" s="1276" t="s">
        <v>241</v>
      </c>
      <c r="B124" s="1279" t="s">
        <v>242</v>
      </c>
      <c r="C124" s="1151" t="s">
        <v>274</v>
      </c>
      <c r="D124" s="1282">
        <v>7034007</v>
      </c>
      <c r="E124" s="1282">
        <v>7034007</v>
      </c>
      <c r="F124" s="1283">
        <v>0</v>
      </c>
      <c r="G124" s="1283">
        <v>0</v>
      </c>
    </row>
    <row r="126" spans="1:7" s="511" customFormat="1">
      <c r="A126" s="511" t="s">
        <v>1134</v>
      </c>
      <c r="B126" s="1082"/>
      <c r="C126" s="1082"/>
      <c r="D126" s="1016"/>
    </row>
    <row r="127" spans="1:7" s="511" customFormat="1"/>
    <row r="128" spans="1:7" s="542" customFormat="1">
      <c r="A128" s="542" t="s">
        <v>249</v>
      </c>
    </row>
    <row r="129" spans="1:3">
      <c r="A129" s="543" t="s">
        <v>250</v>
      </c>
      <c r="B129" s="544" t="s">
        <v>251</v>
      </c>
      <c r="C129" s="544"/>
    </row>
  </sheetData>
  <autoFilter ref="A3:C3"/>
  <hyperlinks>
    <hyperlink ref="B129" r:id="rId1"/>
  </hyperlinks>
  <pageMargins left="0.7" right="0.7" top="0.75" bottom="0.75" header="0.3" footer="0.3"/>
  <pageSetup orientation="portrait" r:id="rId2"/>
</worksheet>
</file>

<file path=xl/worksheets/sheet33.xml><?xml version="1.0" encoding="utf-8"?>
<worksheet xmlns="http://schemas.openxmlformats.org/spreadsheetml/2006/main" xmlns:r="http://schemas.openxmlformats.org/officeDocument/2006/relationships">
  <dimension ref="A1:E129"/>
  <sheetViews>
    <sheetView workbookViewId="0">
      <pane ySplit="4" topLeftCell="A98" activePane="bottomLeft" state="frozen"/>
      <selection pane="bottomLeft" activeCell="C5" sqref="C5:C124"/>
    </sheetView>
  </sheetViews>
  <sheetFormatPr defaultRowHeight="15.75"/>
  <cols>
    <col min="1" max="1" width="8.375" style="280" customWidth="1"/>
    <col min="2" max="2" width="28.625" style="280" customWidth="1"/>
    <col min="3" max="3" width="16.5" style="280" customWidth="1"/>
    <col min="4" max="5" width="17.125" style="280" customWidth="1"/>
    <col min="6" max="16384" width="9" style="280"/>
  </cols>
  <sheetData>
    <row r="1" spans="1:5">
      <c r="A1" s="64" t="s">
        <v>1038</v>
      </c>
      <c r="D1" s="1118"/>
    </row>
    <row r="2" spans="1:5">
      <c r="D2" s="1118"/>
    </row>
    <row r="3" spans="1:5" ht="26.25" customHeight="1">
      <c r="A3" s="1286" t="s">
        <v>4</v>
      </c>
      <c r="B3" s="1317" t="s">
        <v>5</v>
      </c>
      <c r="C3" s="1317" t="s">
        <v>252</v>
      </c>
      <c r="D3" s="1318" t="s">
        <v>505</v>
      </c>
      <c r="E3" s="1318" t="s">
        <v>506</v>
      </c>
    </row>
    <row r="4" spans="1:5">
      <c r="A4" s="1319">
        <v>999</v>
      </c>
      <c r="B4" s="1320" t="s">
        <v>9</v>
      </c>
      <c r="C4" s="1320"/>
      <c r="D4" s="1321">
        <f>SUM(D5:D124)</f>
        <v>77482741.629999995</v>
      </c>
      <c r="E4" s="1321">
        <f>SUM(E5:E124)</f>
        <v>77482741.629999995</v>
      </c>
    </row>
    <row r="5" spans="1:5">
      <c r="A5" s="1322" t="s">
        <v>10</v>
      </c>
      <c r="B5" s="1323" t="s">
        <v>11</v>
      </c>
      <c r="C5" s="1148" t="s">
        <v>271</v>
      </c>
      <c r="D5" s="1324">
        <v>1078707.6499999999</v>
      </c>
      <c r="E5" s="1324">
        <v>1078707.6499999999</v>
      </c>
    </row>
    <row r="6" spans="1:5">
      <c r="A6" s="1322" t="s">
        <v>12</v>
      </c>
      <c r="B6" s="1323" t="s">
        <v>13</v>
      </c>
      <c r="C6" s="1148" t="s">
        <v>272</v>
      </c>
      <c r="D6" s="1324">
        <v>556320.52</v>
      </c>
      <c r="E6" s="1324">
        <v>556320.52</v>
      </c>
    </row>
    <row r="7" spans="1:5">
      <c r="A7" s="1322" t="s">
        <v>16</v>
      </c>
      <c r="B7" s="1323" t="s">
        <v>307</v>
      </c>
      <c r="C7" s="1148" t="s">
        <v>272</v>
      </c>
      <c r="D7" s="1324">
        <v>570126.34</v>
      </c>
      <c r="E7" s="1324">
        <v>570126.34</v>
      </c>
    </row>
    <row r="8" spans="1:5">
      <c r="A8" s="1322" t="s">
        <v>18</v>
      </c>
      <c r="B8" s="1323" t="s">
        <v>19</v>
      </c>
      <c r="C8" s="1148" t="s">
        <v>273</v>
      </c>
      <c r="D8" s="1324">
        <v>216827.93</v>
      </c>
      <c r="E8" s="1324">
        <v>216827.93</v>
      </c>
    </row>
    <row r="9" spans="1:5">
      <c r="A9" s="1322" t="s">
        <v>20</v>
      </c>
      <c r="B9" s="1323" t="s">
        <v>21</v>
      </c>
      <c r="C9" s="1148" t="s">
        <v>272</v>
      </c>
      <c r="D9" s="1324">
        <v>601841.04</v>
      </c>
      <c r="E9" s="1324">
        <v>601841.04</v>
      </c>
    </row>
    <row r="10" spans="1:5">
      <c r="A10" s="1322" t="s">
        <v>22</v>
      </c>
      <c r="B10" s="1323" t="s">
        <v>23</v>
      </c>
      <c r="C10" s="1148" t="s">
        <v>272</v>
      </c>
      <c r="D10" s="1324">
        <v>386226.56</v>
      </c>
      <c r="E10" s="1324">
        <v>386226.56</v>
      </c>
    </row>
    <row r="11" spans="1:5">
      <c r="A11" s="1322" t="s">
        <v>24</v>
      </c>
      <c r="B11" s="1323" t="s">
        <v>25</v>
      </c>
      <c r="C11" s="1148" t="s">
        <v>274</v>
      </c>
      <c r="D11" s="1324">
        <v>294995.68</v>
      </c>
      <c r="E11" s="1324">
        <v>294995.68</v>
      </c>
    </row>
    <row r="12" spans="1:5">
      <c r="A12" s="1322" t="s">
        <v>26</v>
      </c>
      <c r="B12" s="1323" t="s">
        <v>908</v>
      </c>
      <c r="C12" s="1148" t="s">
        <v>272</v>
      </c>
      <c r="D12" s="1324">
        <v>1621123.8</v>
      </c>
      <c r="E12" s="1324">
        <v>1621123.8</v>
      </c>
    </row>
    <row r="13" spans="1:5">
      <c r="A13" s="1322" t="s">
        <v>27</v>
      </c>
      <c r="B13" s="1323" t="s">
        <v>28</v>
      </c>
      <c r="C13" s="1148" t="s">
        <v>272</v>
      </c>
      <c r="D13" s="1324">
        <v>61889.81</v>
      </c>
      <c r="E13" s="1324">
        <v>61889.81</v>
      </c>
    </row>
    <row r="14" spans="1:5">
      <c r="A14" s="1322" t="s">
        <v>29</v>
      </c>
      <c r="B14" s="1323" t="s">
        <v>329</v>
      </c>
      <c r="C14" s="1148" t="s">
        <v>272</v>
      </c>
      <c r="D14" s="1324">
        <v>646926.57999999996</v>
      </c>
      <c r="E14" s="1324">
        <v>646926.57999999996</v>
      </c>
    </row>
    <row r="15" spans="1:5">
      <c r="A15" s="1322" t="s">
        <v>31</v>
      </c>
      <c r="B15" s="1323" t="s">
        <v>32</v>
      </c>
      <c r="C15" s="1148" t="s">
        <v>275</v>
      </c>
      <c r="D15" s="1324">
        <v>104768.64</v>
      </c>
      <c r="E15" s="1324">
        <v>104768.64</v>
      </c>
    </row>
    <row r="16" spans="1:5">
      <c r="A16" s="1322" t="s">
        <v>33</v>
      </c>
      <c r="B16" s="1323" t="s">
        <v>34</v>
      </c>
      <c r="C16" s="1148" t="s">
        <v>272</v>
      </c>
      <c r="D16" s="1324">
        <v>166889.09</v>
      </c>
      <c r="E16" s="1324">
        <v>166889.09</v>
      </c>
    </row>
    <row r="17" spans="1:5">
      <c r="A17" s="1322" t="s">
        <v>37</v>
      </c>
      <c r="B17" s="1323" t="s">
        <v>38</v>
      </c>
      <c r="C17" s="1148" t="s">
        <v>271</v>
      </c>
      <c r="D17" s="1324">
        <v>771734.85</v>
      </c>
      <c r="E17" s="1324">
        <v>771734.85</v>
      </c>
    </row>
    <row r="18" spans="1:5">
      <c r="A18" s="1322" t="s">
        <v>39</v>
      </c>
      <c r="B18" s="1323" t="s">
        <v>40</v>
      </c>
      <c r="C18" s="1148" t="s">
        <v>275</v>
      </c>
      <c r="D18" s="1324">
        <v>1318314.33</v>
      </c>
      <c r="E18" s="1324">
        <v>1318314.33</v>
      </c>
    </row>
    <row r="19" spans="1:5">
      <c r="A19" s="1322" t="s">
        <v>41</v>
      </c>
      <c r="B19" s="1323" t="s">
        <v>42</v>
      </c>
      <c r="C19" s="1148" t="s">
        <v>273</v>
      </c>
      <c r="D19" s="1324">
        <v>495302.25</v>
      </c>
      <c r="E19" s="1324">
        <v>495302.25</v>
      </c>
    </row>
    <row r="20" spans="1:5">
      <c r="A20" s="1322" t="s">
        <v>43</v>
      </c>
      <c r="B20" s="1323" t="s">
        <v>44</v>
      </c>
      <c r="C20" s="1148" t="s">
        <v>272</v>
      </c>
      <c r="D20" s="1324">
        <v>1104259.77</v>
      </c>
      <c r="E20" s="1324">
        <v>1104259.77</v>
      </c>
    </row>
    <row r="21" spans="1:5">
      <c r="A21" s="1322" t="s">
        <v>45</v>
      </c>
      <c r="B21" s="1323" t="s">
        <v>46</v>
      </c>
      <c r="C21" s="1148" t="s">
        <v>273</v>
      </c>
      <c r="D21" s="1324">
        <v>284589.44</v>
      </c>
      <c r="E21" s="1324">
        <v>284589.44</v>
      </c>
    </row>
    <row r="22" spans="1:5">
      <c r="A22" s="1322" t="s">
        <v>47</v>
      </c>
      <c r="B22" s="1323" t="s">
        <v>48</v>
      </c>
      <c r="C22" s="1148" t="s">
        <v>275</v>
      </c>
      <c r="D22" s="1324">
        <v>900343.94</v>
      </c>
      <c r="E22" s="1324">
        <v>900343.94</v>
      </c>
    </row>
    <row r="23" spans="1:5">
      <c r="A23" s="1322" t="s">
        <v>49</v>
      </c>
      <c r="B23" s="1323" t="s">
        <v>276</v>
      </c>
      <c r="C23" s="1148" t="s">
        <v>273</v>
      </c>
      <c r="D23" s="1324">
        <v>118893.01</v>
      </c>
      <c r="E23" s="1324">
        <v>118893.01</v>
      </c>
    </row>
    <row r="24" spans="1:5">
      <c r="A24" s="1322" t="s">
        <v>51</v>
      </c>
      <c r="B24" s="1323" t="s">
        <v>52</v>
      </c>
      <c r="C24" s="1148" t="s">
        <v>272</v>
      </c>
      <c r="D24" s="1324">
        <v>409591.64</v>
      </c>
      <c r="E24" s="1324">
        <v>409591.64</v>
      </c>
    </row>
    <row r="25" spans="1:5">
      <c r="A25" s="1322" t="s">
        <v>57</v>
      </c>
      <c r="B25" s="1323" t="s">
        <v>305</v>
      </c>
      <c r="C25" s="1148" t="s">
        <v>273</v>
      </c>
      <c r="D25" s="1324">
        <v>1454911.11</v>
      </c>
      <c r="E25" s="1324">
        <v>1454911.11</v>
      </c>
    </row>
    <row r="26" spans="1:5">
      <c r="A26" s="1322" t="s">
        <v>59</v>
      </c>
      <c r="B26" s="1323" t="s">
        <v>60</v>
      </c>
      <c r="C26" s="1148" t="s">
        <v>274</v>
      </c>
      <c r="D26" s="1324">
        <v>56789.88</v>
      </c>
      <c r="E26" s="1324">
        <v>56789.88</v>
      </c>
    </row>
    <row r="27" spans="1:5">
      <c r="A27" s="1322" t="s">
        <v>61</v>
      </c>
      <c r="B27" s="1323" t="s">
        <v>62</v>
      </c>
      <c r="C27" s="1148" t="s">
        <v>272</v>
      </c>
      <c r="D27" s="1324">
        <v>125241.93</v>
      </c>
      <c r="E27" s="1324">
        <v>125241.93</v>
      </c>
    </row>
    <row r="28" spans="1:5">
      <c r="A28" s="1322" t="s">
        <v>63</v>
      </c>
      <c r="B28" s="1323" t="s">
        <v>64</v>
      </c>
      <c r="C28" s="1148" t="s">
        <v>274</v>
      </c>
      <c r="D28" s="1324">
        <v>404490.53</v>
      </c>
      <c r="E28" s="1324">
        <v>404490.53</v>
      </c>
    </row>
    <row r="29" spans="1:5">
      <c r="A29" s="1322" t="s">
        <v>65</v>
      </c>
      <c r="B29" s="1323" t="s">
        <v>66</v>
      </c>
      <c r="C29" s="1148" t="s">
        <v>273</v>
      </c>
      <c r="D29" s="1324">
        <v>237188.97</v>
      </c>
      <c r="E29" s="1324">
        <v>237188.97</v>
      </c>
    </row>
    <row r="30" spans="1:5">
      <c r="A30" s="1322" t="s">
        <v>69</v>
      </c>
      <c r="B30" s="1323" t="s">
        <v>70</v>
      </c>
      <c r="C30" s="1148" t="s">
        <v>275</v>
      </c>
      <c r="D30" s="1324">
        <v>770692.32</v>
      </c>
      <c r="E30" s="1324">
        <v>770692.32</v>
      </c>
    </row>
    <row r="31" spans="1:5">
      <c r="A31" s="1322" t="s">
        <v>71</v>
      </c>
      <c r="B31" s="1323" t="s">
        <v>72</v>
      </c>
      <c r="C31" s="1148" t="s">
        <v>271</v>
      </c>
      <c r="D31" s="1324">
        <v>606945.48</v>
      </c>
      <c r="E31" s="1324">
        <v>606945.48</v>
      </c>
    </row>
    <row r="32" spans="1:5">
      <c r="A32" s="1322" t="s">
        <v>73</v>
      </c>
      <c r="B32" s="1323" t="s">
        <v>74</v>
      </c>
      <c r="C32" s="1148" t="s">
        <v>273</v>
      </c>
      <c r="D32" s="1324">
        <v>295768.23</v>
      </c>
      <c r="E32" s="1324">
        <v>295768.23</v>
      </c>
    </row>
    <row r="33" spans="1:5">
      <c r="A33" s="1322" t="s">
        <v>75</v>
      </c>
      <c r="B33" s="1323" t="s">
        <v>312</v>
      </c>
      <c r="C33" s="1148" t="s">
        <v>274</v>
      </c>
      <c r="D33" s="1324">
        <v>705977.39</v>
      </c>
      <c r="E33" s="1324">
        <v>705977.39</v>
      </c>
    </row>
    <row r="34" spans="1:5">
      <c r="A34" s="1322" t="s">
        <v>77</v>
      </c>
      <c r="B34" s="1323" t="s">
        <v>78</v>
      </c>
      <c r="C34" s="1148" t="s">
        <v>274</v>
      </c>
      <c r="D34" s="1324">
        <v>199572.6</v>
      </c>
      <c r="E34" s="1324">
        <v>199572.6</v>
      </c>
    </row>
    <row r="35" spans="1:5">
      <c r="A35" s="1322" t="s">
        <v>79</v>
      </c>
      <c r="B35" s="1323" t="s">
        <v>80</v>
      </c>
      <c r="C35" s="1148" t="s">
        <v>275</v>
      </c>
      <c r="D35" s="1324">
        <v>296342.8</v>
      </c>
      <c r="E35" s="1324">
        <v>296342.8</v>
      </c>
    </row>
    <row r="36" spans="1:5">
      <c r="A36" s="1322" t="s">
        <v>81</v>
      </c>
      <c r="B36" s="1323" t="s">
        <v>82</v>
      </c>
      <c r="C36" s="1148" t="s">
        <v>273</v>
      </c>
      <c r="D36" s="1324">
        <v>179401.81</v>
      </c>
      <c r="E36" s="1324">
        <v>179401.81</v>
      </c>
    </row>
    <row r="37" spans="1:5">
      <c r="A37" s="1322" t="s">
        <v>85</v>
      </c>
      <c r="B37" s="1323" t="s">
        <v>330</v>
      </c>
      <c r="C37" s="1148" t="s">
        <v>272</v>
      </c>
      <c r="D37" s="1324">
        <v>1019926.31</v>
      </c>
      <c r="E37" s="1324">
        <v>1019926.31</v>
      </c>
    </row>
    <row r="38" spans="1:5">
      <c r="A38" s="1322" t="s">
        <v>87</v>
      </c>
      <c r="B38" s="1323" t="s">
        <v>88</v>
      </c>
      <c r="C38" s="1148" t="s">
        <v>274</v>
      </c>
      <c r="D38" s="1324">
        <v>442685.53</v>
      </c>
      <c r="E38" s="1324">
        <v>442685.53</v>
      </c>
    </row>
    <row r="39" spans="1:5">
      <c r="A39" s="1322" t="s">
        <v>93</v>
      </c>
      <c r="B39" s="1323" t="s">
        <v>94</v>
      </c>
      <c r="C39" s="1148" t="s">
        <v>275</v>
      </c>
      <c r="D39" s="1324">
        <v>388617.18</v>
      </c>
      <c r="E39" s="1324">
        <v>388617.18</v>
      </c>
    </row>
    <row r="40" spans="1:5">
      <c r="A40" s="1322" t="s">
        <v>95</v>
      </c>
      <c r="B40" s="1323" t="s">
        <v>96</v>
      </c>
      <c r="C40" s="1148" t="s">
        <v>271</v>
      </c>
      <c r="D40" s="1324">
        <v>361780.22</v>
      </c>
      <c r="E40" s="1324">
        <v>361780.22</v>
      </c>
    </row>
    <row r="41" spans="1:5">
      <c r="A41" s="1322" t="s">
        <v>97</v>
      </c>
      <c r="B41" s="1323" t="s">
        <v>98</v>
      </c>
      <c r="C41" s="1148" t="s">
        <v>273</v>
      </c>
      <c r="D41" s="1324">
        <v>144180.22</v>
      </c>
      <c r="E41" s="1324">
        <v>144180.22</v>
      </c>
    </row>
    <row r="42" spans="1:5">
      <c r="A42" s="1322" t="s">
        <v>99</v>
      </c>
      <c r="B42" s="1323" t="s">
        <v>100</v>
      </c>
      <c r="C42" s="1148" t="s">
        <v>275</v>
      </c>
      <c r="D42" s="1324">
        <v>564832.06000000006</v>
      </c>
      <c r="E42" s="1324">
        <v>564832.06000000006</v>
      </c>
    </row>
    <row r="43" spans="1:5">
      <c r="A43" s="1322" t="s">
        <v>101</v>
      </c>
      <c r="B43" s="1323" t="s">
        <v>102</v>
      </c>
      <c r="C43" s="1148" t="s">
        <v>274</v>
      </c>
      <c r="D43" s="1324">
        <v>190506.83</v>
      </c>
      <c r="E43" s="1324">
        <v>190506.83</v>
      </c>
    </row>
    <row r="44" spans="1:5">
      <c r="A44" s="1322" t="s">
        <v>103</v>
      </c>
      <c r="B44" s="1323" t="s">
        <v>104</v>
      </c>
      <c r="C44" s="1148" t="s">
        <v>271</v>
      </c>
      <c r="D44" s="1324">
        <v>520935.89</v>
      </c>
      <c r="E44" s="1324">
        <v>520935.89</v>
      </c>
    </row>
    <row r="45" spans="1:5">
      <c r="A45" s="1322" t="s">
        <v>105</v>
      </c>
      <c r="B45" s="1323" t="s">
        <v>331</v>
      </c>
      <c r="C45" s="1148" t="s">
        <v>272</v>
      </c>
      <c r="D45" s="1324">
        <v>1418749.57</v>
      </c>
      <c r="E45" s="1324">
        <v>1418749.57</v>
      </c>
    </row>
    <row r="46" spans="1:5">
      <c r="A46" s="1322" t="s">
        <v>109</v>
      </c>
      <c r="B46" s="1323" t="s">
        <v>110</v>
      </c>
      <c r="C46" s="1148" t="s">
        <v>273</v>
      </c>
      <c r="D46" s="1324">
        <v>434112.73</v>
      </c>
      <c r="E46" s="1324">
        <v>434112.73</v>
      </c>
    </row>
    <row r="47" spans="1:5">
      <c r="A47" s="1322" t="s">
        <v>111</v>
      </c>
      <c r="B47" s="1323" t="s">
        <v>112</v>
      </c>
      <c r="C47" s="1148" t="s">
        <v>273</v>
      </c>
      <c r="D47" s="1324">
        <v>2386525.35</v>
      </c>
      <c r="E47" s="1324">
        <v>2386525.35</v>
      </c>
    </row>
    <row r="48" spans="1:5">
      <c r="A48" s="1322" t="s">
        <v>113</v>
      </c>
      <c r="B48" s="1323" t="s">
        <v>310</v>
      </c>
      <c r="C48" s="1148" t="s">
        <v>272</v>
      </c>
      <c r="D48" s="1324">
        <v>1983454.05</v>
      </c>
      <c r="E48" s="1324">
        <v>1983454.05</v>
      </c>
    </row>
    <row r="49" spans="1:5">
      <c r="A49" s="1322" t="s">
        <v>115</v>
      </c>
      <c r="B49" s="1323" t="s">
        <v>116</v>
      </c>
      <c r="C49" s="1148" t="s">
        <v>272</v>
      </c>
      <c r="D49" s="1324">
        <v>20241.759999999998</v>
      </c>
      <c r="E49" s="1324">
        <v>20241.759999999998</v>
      </c>
    </row>
    <row r="50" spans="1:5">
      <c r="A50" s="1322" t="s">
        <v>119</v>
      </c>
      <c r="B50" s="1323" t="s">
        <v>120</v>
      </c>
      <c r="C50" s="1148" t="s">
        <v>271</v>
      </c>
      <c r="D50" s="1324">
        <v>395652.35</v>
      </c>
      <c r="E50" s="1324">
        <v>395652.35</v>
      </c>
    </row>
    <row r="51" spans="1:5">
      <c r="A51" s="1322" t="s">
        <v>121</v>
      </c>
      <c r="B51" s="1323" t="s">
        <v>122</v>
      </c>
      <c r="C51" s="1148" t="s">
        <v>271</v>
      </c>
      <c r="D51" s="1324">
        <v>329009.25</v>
      </c>
      <c r="E51" s="1324">
        <v>329009.25</v>
      </c>
    </row>
    <row r="52" spans="1:5">
      <c r="A52" s="1322" t="s">
        <v>123</v>
      </c>
      <c r="B52" s="1323" t="s">
        <v>278</v>
      </c>
      <c r="C52" s="1148" t="s">
        <v>273</v>
      </c>
      <c r="D52" s="1324">
        <v>135339.17000000001</v>
      </c>
      <c r="E52" s="1324">
        <v>135339.17000000001</v>
      </c>
    </row>
    <row r="53" spans="1:5">
      <c r="A53" s="1322" t="s">
        <v>125</v>
      </c>
      <c r="B53" s="1323" t="s">
        <v>126</v>
      </c>
      <c r="C53" s="1148" t="s">
        <v>274</v>
      </c>
      <c r="D53" s="1324">
        <v>230668.4</v>
      </c>
      <c r="E53" s="1324">
        <v>230668.4</v>
      </c>
    </row>
    <row r="54" spans="1:5">
      <c r="A54" s="1322" t="s">
        <v>127</v>
      </c>
      <c r="B54" s="1323" t="s">
        <v>128</v>
      </c>
      <c r="C54" s="1148" t="s">
        <v>273</v>
      </c>
      <c r="D54" s="1324">
        <v>158395.60999999999</v>
      </c>
      <c r="E54" s="1324">
        <v>158395.60999999999</v>
      </c>
    </row>
    <row r="55" spans="1:5">
      <c r="A55" s="1322" t="s">
        <v>129</v>
      </c>
      <c r="B55" s="1323" t="s">
        <v>130</v>
      </c>
      <c r="C55" s="1148" t="s">
        <v>273</v>
      </c>
      <c r="D55" s="1324">
        <v>238546.15</v>
      </c>
      <c r="E55" s="1324">
        <v>238546.15</v>
      </c>
    </row>
    <row r="56" spans="1:5">
      <c r="A56" s="1322" t="s">
        <v>131</v>
      </c>
      <c r="B56" s="1323" t="s">
        <v>132</v>
      </c>
      <c r="C56" s="1148" t="s">
        <v>275</v>
      </c>
      <c r="D56" s="1324">
        <v>1305989.83</v>
      </c>
      <c r="E56" s="1324">
        <v>1305989.83</v>
      </c>
    </row>
    <row r="57" spans="1:5">
      <c r="A57" s="1322" t="s">
        <v>133</v>
      </c>
      <c r="B57" s="1323" t="s">
        <v>134</v>
      </c>
      <c r="C57" s="1148" t="s">
        <v>274</v>
      </c>
      <c r="D57" s="1324">
        <v>155686.22</v>
      </c>
      <c r="E57" s="1324">
        <v>155686.22</v>
      </c>
    </row>
    <row r="58" spans="1:5">
      <c r="A58" s="1322" t="s">
        <v>135</v>
      </c>
      <c r="B58" s="1323" t="s">
        <v>136</v>
      </c>
      <c r="C58" s="1148" t="s">
        <v>274</v>
      </c>
      <c r="D58" s="1324">
        <v>543562.75</v>
      </c>
      <c r="E58" s="1324">
        <v>543562.75</v>
      </c>
    </row>
    <row r="59" spans="1:5">
      <c r="A59" s="1322" t="s">
        <v>137</v>
      </c>
      <c r="B59" s="1323" t="s">
        <v>138</v>
      </c>
      <c r="C59" s="1148" t="s">
        <v>273</v>
      </c>
      <c r="D59" s="1324">
        <v>508838.04</v>
      </c>
      <c r="E59" s="1324">
        <v>508838.04</v>
      </c>
    </row>
    <row r="60" spans="1:5">
      <c r="A60" s="1322" t="s">
        <v>141</v>
      </c>
      <c r="B60" s="1323" t="s">
        <v>142</v>
      </c>
      <c r="C60" s="1148" t="s">
        <v>274</v>
      </c>
      <c r="D60" s="1324">
        <v>138157.24</v>
      </c>
      <c r="E60" s="1324">
        <v>138157.24</v>
      </c>
    </row>
    <row r="61" spans="1:5">
      <c r="A61" s="1322" t="s">
        <v>147</v>
      </c>
      <c r="B61" s="1323" t="s">
        <v>148</v>
      </c>
      <c r="C61" s="1148" t="s">
        <v>271</v>
      </c>
      <c r="D61" s="1324">
        <v>110688.84</v>
      </c>
      <c r="E61" s="1324">
        <v>110688.84</v>
      </c>
    </row>
    <row r="62" spans="1:5">
      <c r="A62" s="1322" t="s">
        <v>149</v>
      </c>
      <c r="B62" s="1323" t="s">
        <v>150</v>
      </c>
      <c r="C62" s="1148" t="s">
        <v>272</v>
      </c>
      <c r="D62" s="1324">
        <v>1096525.5</v>
      </c>
      <c r="E62" s="1324">
        <v>1096525.5</v>
      </c>
    </row>
    <row r="63" spans="1:5">
      <c r="A63" s="1322" t="s">
        <v>151</v>
      </c>
      <c r="B63" s="1323" t="s">
        <v>152</v>
      </c>
      <c r="C63" s="1148" t="s">
        <v>273</v>
      </c>
      <c r="D63" s="1324">
        <v>186456.34</v>
      </c>
      <c r="E63" s="1324">
        <v>186456.34</v>
      </c>
    </row>
    <row r="64" spans="1:5">
      <c r="A64" s="1322" t="s">
        <v>153</v>
      </c>
      <c r="B64" s="1323" t="s">
        <v>154</v>
      </c>
      <c r="C64" s="1148" t="s">
        <v>275</v>
      </c>
      <c r="D64" s="1324">
        <v>1022944.42</v>
      </c>
      <c r="E64" s="1324">
        <v>1022944.42</v>
      </c>
    </row>
    <row r="65" spans="1:5">
      <c r="A65" s="1322" t="s">
        <v>155</v>
      </c>
      <c r="B65" s="1323" t="s">
        <v>156</v>
      </c>
      <c r="C65" s="1148" t="s">
        <v>272</v>
      </c>
      <c r="D65" s="1324">
        <v>338620.36</v>
      </c>
      <c r="E65" s="1324">
        <v>338620.36</v>
      </c>
    </row>
    <row r="66" spans="1:5">
      <c r="A66" s="1322" t="s">
        <v>157</v>
      </c>
      <c r="B66" s="1323" t="s">
        <v>158</v>
      </c>
      <c r="C66" s="1148" t="s">
        <v>273</v>
      </c>
      <c r="D66" s="1324">
        <v>60035.15</v>
      </c>
      <c r="E66" s="1324">
        <v>60035.15</v>
      </c>
    </row>
    <row r="67" spans="1:5">
      <c r="A67" s="1322" t="s">
        <v>163</v>
      </c>
      <c r="B67" s="1323" t="s">
        <v>164</v>
      </c>
      <c r="C67" s="1148" t="s">
        <v>271</v>
      </c>
      <c r="D67" s="1324">
        <v>550152.35</v>
      </c>
      <c r="E67" s="1324">
        <v>550152.35</v>
      </c>
    </row>
    <row r="68" spans="1:5">
      <c r="A68" s="1322" t="s">
        <v>165</v>
      </c>
      <c r="B68" s="1323" t="s">
        <v>166</v>
      </c>
      <c r="C68" s="1148" t="s">
        <v>273</v>
      </c>
      <c r="D68" s="1324">
        <v>256223.59</v>
      </c>
      <c r="E68" s="1324">
        <v>256223.59</v>
      </c>
    </row>
    <row r="69" spans="1:5">
      <c r="A69" s="1322" t="s">
        <v>169</v>
      </c>
      <c r="B69" s="1323" t="s">
        <v>170</v>
      </c>
      <c r="C69" s="1148" t="s">
        <v>273</v>
      </c>
      <c r="D69" s="1324">
        <v>453343.69</v>
      </c>
      <c r="E69" s="1324">
        <v>453343.69</v>
      </c>
    </row>
    <row r="70" spans="1:5">
      <c r="A70" s="1322" t="s">
        <v>171</v>
      </c>
      <c r="B70" s="1323" t="s">
        <v>172</v>
      </c>
      <c r="C70" s="1148" t="s">
        <v>274</v>
      </c>
      <c r="D70" s="1324">
        <v>301734.43</v>
      </c>
      <c r="E70" s="1324">
        <v>301734.43</v>
      </c>
    </row>
    <row r="71" spans="1:5">
      <c r="A71" s="1322" t="s">
        <v>173</v>
      </c>
      <c r="B71" s="1323" t="s">
        <v>174</v>
      </c>
      <c r="C71" s="1148" t="s">
        <v>274</v>
      </c>
      <c r="D71" s="1324">
        <v>484717.12</v>
      </c>
      <c r="E71" s="1324">
        <v>484717.12</v>
      </c>
    </row>
    <row r="72" spans="1:5">
      <c r="A72" s="1322" t="s">
        <v>175</v>
      </c>
      <c r="B72" s="1323" t="s">
        <v>176</v>
      </c>
      <c r="C72" s="1148" t="s">
        <v>275</v>
      </c>
      <c r="D72" s="1324">
        <v>600214.62</v>
      </c>
      <c r="E72" s="1324">
        <v>600214.62</v>
      </c>
    </row>
    <row r="73" spans="1:5">
      <c r="A73" s="1322" t="s">
        <v>179</v>
      </c>
      <c r="B73" s="1323" t="s">
        <v>180</v>
      </c>
      <c r="C73" s="1148" t="s">
        <v>272</v>
      </c>
      <c r="D73" s="1324">
        <v>1532253.12</v>
      </c>
      <c r="E73" s="1324">
        <v>1532253.12</v>
      </c>
    </row>
    <row r="74" spans="1:5">
      <c r="A74" s="1322" t="s">
        <v>183</v>
      </c>
      <c r="B74" s="1323" t="s">
        <v>184</v>
      </c>
      <c r="C74" s="1148" t="s">
        <v>273</v>
      </c>
      <c r="D74" s="1324">
        <v>122312.78</v>
      </c>
      <c r="E74" s="1324">
        <v>122312.78</v>
      </c>
    </row>
    <row r="75" spans="1:5">
      <c r="A75" s="1322" t="s">
        <v>185</v>
      </c>
      <c r="B75" s="1323" t="s">
        <v>186</v>
      </c>
      <c r="C75" s="1148" t="s">
        <v>273</v>
      </c>
      <c r="D75" s="1324">
        <v>504609.82</v>
      </c>
      <c r="E75" s="1324">
        <v>504609.82</v>
      </c>
    </row>
    <row r="76" spans="1:5">
      <c r="A76" s="1322" t="s">
        <v>187</v>
      </c>
      <c r="B76" s="1323" t="s">
        <v>188</v>
      </c>
      <c r="C76" s="1148" t="s">
        <v>271</v>
      </c>
      <c r="D76" s="1324">
        <v>194587.39</v>
      </c>
      <c r="E76" s="1324">
        <v>194587.39</v>
      </c>
    </row>
    <row r="77" spans="1:5">
      <c r="A77" s="1322" t="s">
        <v>189</v>
      </c>
      <c r="B77" s="1323" t="s">
        <v>190</v>
      </c>
      <c r="C77" s="1148" t="s">
        <v>274</v>
      </c>
      <c r="D77" s="1324">
        <v>616301.65</v>
      </c>
      <c r="E77" s="1324">
        <v>616301.65</v>
      </c>
    </row>
    <row r="78" spans="1:5">
      <c r="A78" s="1322" t="s">
        <v>191</v>
      </c>
      <c r="B78" s="1323" t="s">
        <v>192</v>
      </c>
      <c r="C78" s="1148" t="s">
        <v>275</v>
      </c>
      <c r="D78" s="1324">
        <v>926264.91</v>
      </c>
      <c r="E78" s="1324">
        <v>926264.91</v>
      </c>
    </row>
    <row r="79" spans="1:5">
      <c r="A79" s="1322" t="s">
        <v>195</v>
      </c>
      <c r="B79" s="1323" t="s">
        <v>196</v>
      </c>
      <c r="C79" s="1148" t="s">
        <v>274</v>
      </c>
      <c r="D79" s="1324">
        <v>42930.14</v>
      </c>
      <c r="E79" s="1324">
        <v>42930.14</v>
      </c>
    </row>
    <row r="80" spans="1:5">
      <c r="A80" s="1322" t="s">
        <v>199</v>
      </c>
      <c r="B80" s="1323" t="s">
        <v>200</v>
      </c>
      <c r="C80" s="1148" t="s">
        <v>273</v>
      </c>
      <c r="D80" s="1324">
        <v>208392.35</v>
      </c>
      <c r="E80" s="1324">
        <v>208392.35</v>
      </c>
    </row>
    <row r="81" spans="1:5">
      <c r="A81" s="1322" t="s">
        <v>203</v>
      </c>
      <c r="B81" s="1323" t="s">
        <v>204</v>
      </c>
      <c r="C81" s="1148" t="s">
        <v>272</v>
      </c>
      <c r="D81" s="1324">
        <v>595575.39</v>
      </c>
      <c r="E81" s="1324">
        <v>595575.39</v>
      </c>
    </row>
    <row r="82" spans="1:5" ht="31.5">
      <c r="A82" s="1322" t="s">
        <v>205</v>
      </c>
      <c r="B82" s="1323" t="s">
        <v>206</v>
      </c>
      <c r="C82" s="1148" t="s">
        <v>272</v>
      </c>
      <c r="D82" s="1324">
        <v>719415.52</v>
      </c>
      <c r="E82" s="1324">
        <v>719415.52</v>
      </c>
    </row>
    <row r="83" spans="1:5">
      <c r="A83" s="1322" t="s">
        <v>207</v>
      </c>
      <c r="B83" s="1323" t="s">
        <v>208</v>
      </c>
      <c r="C83" s="1148" t="s">
        <v>274</v>
      </c>
      <c r="D83" s="1324">
        <v>955112.18</v>
      </c>
      <c r="E83" s="1324">
        <v>955112.18</v>
      </c>
    </row>
    <row r="84" spans="1:5">
      <c r="A84" s="1322" t="s">
        <v>209</v>
      </c>
      <c r="B84" s="1323" t="s">
        <v>210</v>
      </c>
      <c r="C84" s="1148" t="s">
        <v>275</v>
      </c>
      <c r="D84" s="1324">
        <v>1216440.93</v>
      </c>
      <c r="E84" s="1324">
        <v>1216440.93</v>
      </c>
    </row>
    <row r="85" spans="1:5">
      <c r="A85" s="1322" t="s">
        <v>211</v>
      </c>
      <c r="B85" s="1323" t="s">
        <v>212</v>
      </c>
      <c r="C85" s="1148" t="s">
        <v>275</v>
      </c>
      <c r="D85" s="1324">
        <v>892419.55</v>
      </c>
      <c r="E85" s="1324">
        <v>892419.55</v>
      </c>
    </row>
    <row r="86" spans="1:5">
      <c r="A86" s="1322" t="s">
        <v>213</v>
      </c>
      <c r="B86" s="1323" t="s">
        <v>214</v>
      </c>
      <c r="C86" s="1148" t="s">
        <v>274</v>
      </c>
      <c r="D86" s="1324">
        <v>506367.76</v>
      </c>
      <c r="E86" s="1324">
        <v>506367.76</v>
      </c>
    </row>
    <row r="87" spans="1:5">
      <c r="A87" s="1322" t="s">
        <v>215</v>
      </c>
      <c r="B87" s="1323" t="s">
        <v>216</v>
      </c>
      <c r="C87" s="1148" t="s">
        <v>275</v>
      </c>
      <c r="D87" s="1324">
        <v>1191916.8700000001</v>
      </c>
      <c r="E87" s="1324">
        <v>1191916.8700000001</v>
      </c>
    </row>
    <row r="88" spans="1:5">
      <c r="A88" s="1322" t="s">
        <v>217</v>
      </c>
      <c r="B88" s="1323" t="s">
        <v>218</v>
      </c>
      <c r="C88" s="1148" t="s">
        <v>271</v>
      </c>
      <c r="D88" s="1324">
        <v>394784.16</v>
      </c>
      <c r="E88" s="1324">
        <v>394784.16</v>
      </c>
    </row>
    <row r="89" spans="1:5">
      <c r="A89" s="1322" t="s">
        <v>219</v>
      </c>
      <c r="B89" s="1323" t="s">
        <v>220</v>
      </c>
      <c r="C89" s="1148" t="s">
        <v>274</v>
      </c>
      <c r="D89" s="1324">
        <v>443683.73</v>
      </c>
      <c r="E89" s="1324">
        <v>443683.73</v>
      </c>
    </row>
    <row r="90" spans="1:5">
      <c r="A90" s="1322" t="s">
        <v>221</v>
      </c>
      <c r="B90" s="1323" t="s">
        <v>222</v>
      </c>
      <c r="C90" s="1148" t="s">
        <v>274</v>
      </c>
      <c r="D90" s="1324">
        <v>252372.39</v>
      </c>
      <c r="E90" s="1324">
        <v>252372.39</v>
      </c>
    </row>
    <row r="91" spans="1:5">
      <c r="A91" s="1322" t="s">
        <v>225</v>
      </c>
      <c r="B91" s="1323" t="s">
        <v>226</v>
      </c>
      <c r="C91" s="1148" t="s">
        <v>271</v>
      </c>
      <c r="D91" s="1324">
        <v>111934.42</v>
      </c>
      <c r="E91" s="1324">
        <v>111934.42</v>
      </c>
    </row>
    <row r="92" spans="1:5">
      <c r="A92" s="1322" t="s">
        <v>227</v>
      </c>
      <c r="B92" s="1323" t="s">
        <v>228</v>
      </c>
      <c r="C92" s="1148" t="s">
        <v>271</v>
      </c>
      <c r="D92" s="1324">
        <v>232470.32</v>
      </c>
      <c r="E92" s="1324">
        <v>232470.32</v>
      </c>
    </row>
    <row r="93" spans="1:5">
      <c r="A93" s="1322" t="s">
        <v>229</v>
      </c>
      <c r="B93" s="1323" t="s">
        <v>230</v>
      </c>
      <c r="C93" s="1148" t="s">
        <v>275</v>
      </c>
      <c r="D93" s="1324">
        <v>1431608.95</v>
      </c>
      <c r="E93" s="1324">
        <v>1431608.95</v>
      </c>
    </row>
    <row r="94" spans="1:5">
      <c r="A94" s="1322" t="s">
        <v>233</v>
      </c>
      <c r="B94" s="1323" t="s">
        <v>234</v>
      </c>
      <c r="C94" s="1148" t="s">
        <v>274</v>
      </c>
      <c r="D94" s="1324">
        <v>341237.64</v>
      </c>
      <c r="E94" s="1324">
        <v>341237.64</v>
      </c>
    </row>
    <row r="95" spans="1:5">
      <c r="A95" s="1322" t="s">
        <v>235</v>
      </c>
      <c r="B95" s="1323" t="s">
        <v>236</v>
      </c>
      <c r="C95" s="1148" t="s">
        <v>275</v>
      </c>
      <c r="D95" s="1324">
        <v>1065743.8</v>
      </c>
      <c r="E95" s="1324">
        <v>1065743.8</v>
      </c>
    </row>
    <row r="96" spans="1:5">
      <c r="A96" s="1322" t="s">
        <v>237</v>
      </c>
      <c r="B96" s="1323" t="s">
        <v>238</v>
      </c>
      <c r="C96" s="1148" t="s">
        <v>273</v>
      </c>
      <c r="D96" s="1324">
        <v>430362.17</v>
      </c>
      <c r="E96" s="1324">
        <v>430362.17</v>
      </c>
    </row>
    <row r="97" spans="1:5">
      <c r="A97" s="1322" t="s">
        <v>243</v>
      </c>
      <c r="B97" s="1323" t="s">
        <v>244</v>
      </c>
      <c r="C97" s="1148" t="s">
        <v>275</v>
      </c>
      <c r="D97" s="1324">
        <v>1296414.8</v>
      </c>
      <c r="E97" s="1324">
        <v>1296414.8</v>
      </c>
    </row>
    <row r="98" spans="1:5">
      <c r="A98" s="1322" t="s">
        <v>245</v>
      </c>
      <c r="B98" s="1323" t="s">
        <v>246</v>
      </c>
      <c r="C98" s="1148" t="s">
        <v>275</v>
      </c>
      <c r="D98" s="1324">
        <v>613914.15</v>
      </c>
      <c r="E98" s="1324">
        <v>613914.15</v>
      </c>
    </row>
    <row r="99" spans="1:5">
      <c r="A99" s="1322" t="s">
        <v>247</v>
      </c>
      <c r="B99" s="1323" t="s">
        <v>332</v>
      </c>
      <c r="C99" s="1148" t="s">
        <v>271</v>
      </c>
      <c r="D99" s="1324">
        <v>185590.72</v>
      </c>
      <c r="E99" s="1324">
        <v>185590.72</v>
      </c>
    </row>
    <row r="100" spans="1:5">
      <c r="A100" s="1322" t="s">
        <v>14</v>
      </c>
      <c r="B100" s="1323" t="s">
        <v>15</v>
      </c>
      <c r="C100" s="1148" t="s">
        <v>274</v>
      </c>
      <c r="D100" s="1324">
        <v>320970.39</v>
      </c>
      <c r="E100" s="1324">
        <v>320970.39</v>
      </c>
    </row>
    <row r="101" spans="1:5">
      <c r="A101" s="1322" t="s">
        <v>35</v>
      </c>
      <c r="B101" s="1323" t="s">
        <v>36</v>
      </c>
      <c r="C101" s="1148" t="s">
        <v>275</v>
      </c>
      <c r="D101" s="1324">
        <v>366213.76</v>
      </c>
      <c r="E101" s="1324">
        <v>366213.76</v>
      </c>
    </row>
    <row r="102" spans="1:5">
      <c r="A102" s="1322" t="s">
        <v>53</v>
      </c>
      <c r="B102" s="1323" t="s">
        <v>54</v>
      </c>
      <c r="C102" s="1148" t="s">
        <v>272</v>
      </c>
      <c r="D102" s="1324">
        <v>393416.68</v>
      </c>
      <c r="E102" s="1324">
        <v>393416.68</v>
      </c>
    </row>
    <row r="103" spans="1:5">
      <c r="A103" s="1322" t="s">
        <v>55</v>
      </c>
      <c r="B103" s="1323" t="s">
        <v>56</v>
      </c>
      <c r="C103" s="1148" t="s">
        <v>271</v>
      </c>
      <c r="D103" s="1324">
        <v>1307061.45</v>
      </c>
      <c r="E103" s="1324">
        <v>1307061.45</v>
      </c>
    </row>
    <row r="104" spans="1:5">
      <c r="A104" s="1322" t="s">
        <v>67</v>
      </c>
      <c r="B104" s="1323" t="s">
        <v>68</v>
      </c>
      <c r="C104" s="1148" t="s">
        <v>272</v>
      </c>
      <c r="D104" s="1324">
        <v>1358047.73</v>
      </c>
      <c r="E104" s="1324">
        <v>1358047.73</v>
      </c>
    </row>
    <row r="105" spans="1:5">
      <c r="A105" s="1322" t="s">
        <v>83</v>
      </c>
      <c r="B105" s="1323" t="s">
        <v>333</v>
      </c>
      <c r="C105" s="1148" t="s">
        <v>271</v>
      </c>
      <c r="D105" s="1324">
        <v>369558.51</v>
      </c>
      <c r="E105" s="1324">
        <v>369558.51</v>
      </c>
    </row>
    <row r="106" spans="1:5">
      <c r="A106" s="1322" t="s">
        <v>89</v>
      </c>
      <c r="B106" s="1323" t="s">
        <v>90</v>
      </c>
      <c r="C106" s="1148" t="s">
        <v>274</v>
      </c>
      <c r="D106" s="1324">
        <v>260839.93</v>
      </c>
      <c r="E106" s="1324">
        <v>260839.93</v>
      </c>
    </row>
    <row r="107" spans="1:5">
      <c r="A107" s="1322" t="s">
        <v>91</v>
      </c>
      <c r="B107" s="1323" t="s">
        <v>92</v>
      </c>
      <c r="C107" s="1148" t="s">
        <v>275</v>
      </c>
      <c r="D107" s="1324">
        <v>336263.93</v>
      </c>
      <c r="E107" s="1324">
        <v>336263.93</v>
      </c>
    </row>
    <row r="108" spans="1:5">
      <c r="A108" s="1322" t="s">
        <v>107</v>
      </c>
      <c r="B108" s="1323" t="s">
        <v>108</v>
      </c>
      <c r="C108" s="1148" t="s">
        <v>271</v>
      </c>
      <c r="D108" s="1324">
        <v>1302250.5900000001</v>
      </c>
      <c r="E108" s="1324">
        <v>1302250.5900000001</v>
      </c>
    </row>
    <row r="109" spans="1:5">
      <c r="A109" s="1322" t="s">
        <v>117</v>
      </c>
      <c r="B109" s="1323" t="s">
        <v>118</v>
      </c>
      <c r="C109" s="1148" t="s">
        <v>273</v>
      </c>
      <c r="D109" s="1324">
        <v>508023.63</v>
      </c>
      <c r="E109" s="1324">
        <v>508023.63</v>
      </c>
    </row>
    <row r="110" spans="1:5">
      <c r="A110" s="1322" t="s">
        <v>139</v>
      </c>
      <c r="B110" s="1323" t="s">
        <v>140</v>
      </c>
      <c r="C110" s="1148" t="s">
        <v>272</v>
      </c>
      <c r="D110" s="1324">
        <v>1644033.76</v>
      </c>
      <c r="E110" s="1324">
        <v>1644033.76</v>
      </c>
    </row>
    <row r="111" spans="1:5">
      <c r="A111" s="1322" t="s">
        <v>143</v>
      </c>
      <c r="B111" s="1323" t="s">
        <v>144</v>
      </c>
      <c r="C111" s="1148" t="s">
        <v>274</v>
      </c>
      <c r="D111" s="1324">
        <v>58922.83</v>
      </c>
      <c r="E111" s="1324">
        <v>58922.83</v>
      </c>
    </row>
    <row r="112" spans="1:5">
      <c r="A112" s="1322" t="s">
        <v>145</v>
      </c>
      <c r="B112" s="1323" t="s">
        <v>146</v>
      </c>
      <c r="C112" s="1148" t="s">
        <v>274</v>
      </c>
      <c r="D112" s="1324">
        <v>32169.31</v>
      </c>
      <c r="E112" s="1324">
        <v>32169.31</v>
      </c>
    </row>
    <row r="113" spans="1:5">
      <c r="A113" s="1322" t="s">
        <v>159</v>
      </c>
      <c r="B113" s="1323" t="s">
        <v>160</v>
      </c>
      <c r="C113" s="1148" t="s">
        <v>271</v>
      </c>
      <c r="D113" s="1324">
        <v>2169232.29</v>
      </c>
      <c r="E113" s="1324">
        <v>2169232.29</v>
      </c>
    </row>
    <row r="114" spans="1:5">
      <c r="A114" s="1322" t="s">
        <v>161</v>
      </c>
      <c r="B114" s="1323" t="s">
        <v>162</v>
      </c>
      <c r="C114" s="1148" t="s">
        <v>271</v>
      </c>
      <c r="D114" s="1324">
        <v>2591430.56</v>
      </c>
      <c r="E114" s="1324">
        <v>2591430.56</v>
      </c>
    </row>
    <row r="115" spans="1:5">
      <c r="A115" s="1322" t="s">
        <v>167</v>
      </c>
      <c r="B115" s="1323" t="s">
        <v>168</v>
      </c>
      <c r="C115" s="1148" t="s">
        <v>275</v>
      </c>
      <c r="D115" s="1324">
        <v>162267.95000000001</v>
      </c>
      <c r="E115" s="1324">
        <v>162267.95000000001</v>
      </c>
    </row>
    <row r="116" spans="1:5">
      <c r="A116" s="1322" t="s">
        <v>177</v>
      </c>
      <c r="B116" s="1323" t="s">
        <v>178</v>
      </c>
      <c r="C116" s="1148" t="s">
        <v>273</v>
      </c>
      <c r="D116" s="1324">
        <v>1085225.6100000001</v>
      </c>
      <c r="E116" s="1324">
        <v>1085225.6100000001</v>
      </c>
    </row>
    <row r="117" spans="1:5">
      <c r="A117" s="1322" t="s">
        <v>181</v>
      </c>
      <c r="B117" s="1323" t="s">
        <v>182</v>
      </c>
      <c r="C117" s="1148" t="s">
        <v>271</v>
      </c>
      <c r="D117" s="1324">
        <v>1248690.6100000001</v>
      </c>
      <c r="E117" s="1324">
        <v>1248690.6100000001</v>
      </c>
    </row>
    <row r="118" spans="1:5">
      <c r="A118" s="1322" t="s">
        <v>193</v>
      </c>
      <c r="B118" s="1323" t="s">
        <v>194</v>
      </c>
      <c r="C118" s="1148" t="s">
        <v>275</v>
      </c>
      <c r="D118" s="1324">
        <v>278749.48</v>
      </c>
      <c r="E118" s="1324">
        <v>278749.48</v>
      </c>
    </row>
    <row r="119" spans="1:5">
      <c r="A119" s="1322" t="s">
        <v>197</v>
      </c>
      <c r="B119" s="1323" t="s">
        <v>334</v>
      </c>
      <c r="C119" s="1148" t="s">
        <v>273</v>
      </c>
      <c r="D119" s="1324">
        <v>3246139.68</v>
      </c>
      <c r="E119" s="1324">
        <v>3246139.68</v>
      </c>
    </row>
    <row r="120" spans="1:5">
      <c r="A120" s="1322" t="s">
        <v>201</v>
      </c>
      <c r="B120" s="1323" t="s">
        <v>335</v>
      </c>
      <c r="C120" s="1148" t="s">
        <v>272</v>
      </c>
      <c r="D120" s="1324">
        <v>1689557.99</v>
      </c>
      <c r="E120" s="1324">
        <v>1689557.99</v>
      </c>
    </row>
    <row r="121" spans="1:5">
      <c r="A121" s="1322" t="s">
        <v>223</v>
      </c>
      <c r="B121" s="1323" t="s">
        <v>224</v>
      </c>
      <c r="C121" s="1148" t="s">
        <v>271</v>
      </c>
      <c r="D121" s="1324">
        <v>1295520.57</v>
      </c>
      <c r="E121" s="1324">
        <v>1295520.57</v>
      </c>
    </row>
    <row r="122" spans="1:5">
      <c r="A122" s="1322" t="s">
        <v>231</v>
      </c>
      <c r="B122" s="1323" t="s">
        <v>232</v>
      </c>
      <c r="C122" s="1148" t="s">
        <v>271</v>
      </c>
      <c r="D122" s="1324">
        <v>1645510.05</v>
      </c>
      <c r="E122" s="1324">
        <v>1645510.05</v>
      </c>
    </row>
    <row r="123" spans="1:5">
      <c r="A123" s="1322" t="s">
        <v>239</v>
      </c>
      <c r="B123" s="1323" t="s">
        <v>240</v>
      </c>
      <c r="C123" s="1148" t="s">
        <v>271</v>
      </c>
      <c r="D123" s="1324">
        <v>28468.9</v>
      </c>
      <c r="E123" s="1324">
        <v>28468.9</v>
      </c>
    </row>
    <row r="124" spans="1:5">
      <c r="A124" s="1325" t="s">
        <v>241</v>
      </c>
      <c r="B124" s="1326" t="s">
        <v>242</v>
      </c>
      <c r="C124" s="1151" t="s">
        <v>274</v>
      </c>
      <c r="D124" s="1327">
        <v>238112.79</v>
      </c>
      <c r="E124" s="1327">
        <v>238112.79</v>
      </c>
    </row>
    <row r="125" spans="1:5">
      <c r="D125" s="1316"/>
      <c r="E125" s="1316"/>
    </row>
    <row r="126" spans="1:5" s="511" customFormat="1">
      <c r="A126" s="511" t="s">
        <v>1135</v>
      </c>
      <c r="B126" s="1082"/>
      <c r="C126" s="1082"/>
      <c r="D126" s="1016"/>
      <c r="E126" s="1016"/>
    </row>
    <row r="127" spans="1:5" s="511" customFormat="1"/>
    <row r="128" spans="1:5" s="542" customFormat="1">
      <c r="A128" s="542" t="s">
        <v>249</v>
      </c>
    </row>
    <row r="129" spans="1:3">
      <c r="A129" s="543" t="s">
        <v>250</v>
      </c>
      <c r="B129" s="544" t="s">
        <v>251</v>
      </c>
      <c r="C129" s="544"/>
    </row>
  </sheetData>
  <autoFilter ref="A3:C3"/>
  <hyperlinks>
    <hyperlink ref="B129" r:id="rId1"/>
  </hyperlinks>
  <pageMargins left="0.7" right="0.7" top="0.75" bottom="0.75" header="0.3" footer="0.3"/>
  <pageSetup orientation="portrait" r:id="rId2"/>
</worksheet>
</file>

<file path=xl/worksheets/sheet34.xml><?xml version="1.0" encoding="utf-8"?>
<worksheet xmlns="http://schemas.openxmlformats.org/spreadsheetml/2006/main" xmlns:r="http://schemas.openxmlformats.org/officeDocument/2006/relationships">
  <dimension ref="A1:AL129"/>
  <sheetViews>
    <sheetView zoomScale="130" workbookViewId="0">
      <pane ySplit="4" topLeftCell="A111" activePane="bottomLeft" state="frozen"/>
      <selection pane="bottomLeft" activeCell="B94" sqref="B94"/>
    </sheetView>
  </sheetViews>
  <sheetFormatPr defaultRowHeight="15.75"/>
  <cols>
    <col min="1" max="1" width="9" style="280"/>
    <col min="2" max="2" width="33" style="280" customWidth="1"/>
    <col min="3" max="3" width="14.25" style="280" customWidth="1"/>
    <col min="4" max="38" width="13.125" style="280" customWidth="1"/>
    <col min="39" max="16384" width="9" style="280"/>
  </cols>
  <sheetData>
    <row r="1" spans="1:38">
      <c r="A1" s="64" t="s">
        <v>1036</v>
      </c>
      <c r="G1" s="1118"/>
      <c r="I1" s="1284"/>
      <c r="J1" s="1284"/>
      <c r="K1" s="1284"/>
      <c r="L1" s="1284"/>
      <c r="M1" s="1284"/>
      <c r="N1" s="1284"/>
      <c r="O1" s="1284"/>
      <c r="P1" s="1284"/>
      <c r="Q1" s="1284"/>
      <c r="R1" s="1284"/>
      <c r="S1" s="1284"/>
      <c r="T1" s="1284"/>
      <c r="U1" s="1284"/>
      <c r="V1" s="1284"/>
      <c r="W1" s="1284"/>
      <c r="X1" s="1284"/>
      <c r="Y1" s="1284"/>
      <c r="Z1" s="1284"/>
      <c r="AA1" s="1284"/>
      <c r="AB1" s="1284"/>
      <c r="AC1" s="1284"/>
      <c r="AD1" s="1284"/>
      <c r="AE1" s="1284"/>
      <c r="AF1" s="1284"/>
      <c r="AG1" s="1284"/>
      <c r="AH1" s="1284"/>
      <c r="AI1" s="1284"/>
      <c r="AJ1" s="1284"/>
      <c r="AK1" s="1284"/>
      <c r="AL1" s="1284"/>
    </row>
    <row r="2" spans="1:38">
      <c r="D2" s="1118"/>
      <c r="E2" s="1118"/>
      <c r="F2" s="1118"/>
      <c r="G2" s="1118"/>
      <c r="H2" s="1118"/>
      <c r="I2" s="1285"/>
      <c r="J2" s="1285"/>
      <c r="K2" s="1285"/>
      <c r="L2" s="1285"/>
      <c r="M2" s="1285"/>
      <c r="N2" s="1285"/>
      <c r="O2" s="1285"/>
      <c r="P2" s="1285"/>
      <c r="Q2" s="1285"/>
      <c r="R2" s="1285"/>
      <c r="S2" s="1285"/>
      <c r="T2" s="1285"/>
      <c r="U2" s="1285"/>
      <c r="V2" s="1285"/>
      <c r="W2" s="1285"/>
      <c r="X2" s="1285"/>
      <c r="Y2" s="1285"/>
      <c r="Z2" s="1285"/>
      <c r="AA2" s="1285"/>
      <c r="AB2" s="1285"/>
      <c r="AC2" s="1285"/>
      <c r="AD2" s="1285"/>
      <c r="AE2" s="1285"/>
      <c r="AF2" s="1285"/>
      <c r="AG2" s="1285"/>
      <c r="AH2" s="1285"/>
      <c r="AI2" s="1285"/>
      <c r="AJ2" s="1285"/>
      <c r="AK2" s="1285"/>
      <c r="AL2" s="1285"/>
    </row>
    <row r="3" spans="1:38" ht="47.25">
      <c r="A3" s="1286" t="s">
        <v>4</v>
      </c>
      <c r="B3" s="1287" t="s">
        <v>5</v>
      </c>
      <c r="C3" s="1287" t="s">
        <v>252</v>
      </c>
      <c r="D3" s="1288" t="s">
        <v>336</v>
      </c>
      <c r="E3" s="1289" t="s">
        <v>337</v>
      </c>
      <c r="F3" s="1289" t="s">
        <v>537</v>
      </c>
      <c r="G3" s="1289" t="s">
        <v>338</v>
      </c>
      <c r="H3" s="1297" t="s">
        <v>538</v>
      </c>
      <c r="I3" s="1288" t="s">
        <v>507</v>
      </c>
      <c r="J3" s="1289" t="s">
        <v>508</v>
      </c>
      <c r="K3" s="1289" t="s">
        <v>509</v>
      </c>
      <c r="L3" s="1289" t="s">
        <v>510</v>
      </c>
      <c r="M3" s="1289" t="s">
        <v>511</v>
      </c>
      <c r="N3" s="1297" t="s">
        <v>512</v>
      </c>
      <c r="O3" s="1288" t="s">
        <v>513</v>
      </c>
      <c r="P3" s="1289" t="s">
        <v>514</v>
      </c>
      <c r="Q3" s="1289" t="s">
        <v>515</v>
      </c>
      <c r="R3" s="1289" t="s">
        <v>516</v>
      </c>
      <c r="S3" s="1289" t="s">
        <v>517</v>
      </c>
      <c r="T3" s="1290" t="s">
        <v>518</v>
      </c>
      <c r="U3" s="1288" t="s">
        <v>519</v>
      </c>
      <c r="V3" s="1289" t="s">
        <v>520</v>
      </c>
      <c r="W3" s="1289" t="s">
        <v>521</v>
      </c>
      <c r="X3" s="1289" t="s">
        <v>522</v>
      </c>
      <c r="Y3" s="1289" t="s">
        <v>523</v>
      </c>
      <c r="Z3" s="1290" t="s">
        <v>524</v>
      </c>
      <c r="AA3" s="1288" t="s">
        <v>525</v>
      </c>
      <c r="AB3" s="1289" t="s">
        <v>526</v>
      </c>
      <c r="AC3" s="1289" t="s">
        <v>527</v>
      </c>
      <c r="AD3" s="1289" t="s">
        <v>528</v>
      </c>
      <c r="AE3" s="1289" t="s">
        <v>529</v>
      </c>
      <c r="AF3" s="1290" t="s">
        <v>530</v>
      </c>
      <c r="AG3" s="1288" t="s">
        <v>531</v>
      </c>
      <c r="AH3" s="1289" t="s">
        <v>532</v>
      </c>
      <c r="AI3" s="1289" t="s">
        <v>533</v>
      </c>
      <c r="AJ3" s="1289" t="s">
        <v>534</v>
      </c>
      <c r="AK3" s="1289" t="s">
        <v>535</v>
      </c>
      <c r="AL3" s="1290" t="s">
        <v>536</v>
      </c>
    </row>
    <row r="4" spans="1:38">
      <c r="A4" s="1292">
        <v>999</v>
      </c>
      <c r="B4" s="1293" t="s">
        <v>9</v>
      </c>
      <c r="C4" s="1463"/>
      <c r="D4" s="1294">
        <f t="shared" ref="D4:AL4" si="0">SUM(D5:D124)</f>
        <v>54872508.07</v>
      </c>
      <c r="E4" s="1295">
        <f t="shared" si="0"/>
        <v>301944386.52000004</v>
      </c>
      <c r="F4" s="1295">
        <f t="shared" si="0"/>
        <v>116061849.53999999</v>
      </c>
      <c r="G4" s="1295">
        <f t="shared" si="0"/>
        <v>115110840.63999997</v>
      </c>
      <c r="H4" s="1298">
        <f t="shared" si="0"/>
        <v>951008.89999999991</v>
      </c>
      <c r="I4" s="1294">
        <f t="shared" si="0"/>
        <v>24809573.199999992</v>
      </c>
      <c r="J4" s="1295">
        <f t="shared" si="0"/>
        <v>0</v>
      </c>
      <c r="K4" s="1295">
        <f t="shared" si="0"/>
        <v>24809573.199999992</v>
      </c>
      <c r="L4" s="1295">
        <f t="shared" si="0"/>
        <v>0</v>
      </c>
      <c r="M4" s="1295">
        <f t="shared" si="0"/>
        <v>70552.050000000032</v>
      </c>
      <c r="N4" s="1298">
        <f t="shared" si="0"/>
        <v>49689698.45000001</v>
      </c>
      <c r="O4" s="1294">
        <f t="shared" si="0"/>
        <v>28365561.610000007</v>
      </c>
      <c r="P4" s="1295">
        <f t="shared" si="0"/>
        <v>0</v>
      </c>
      <c r="Q4" s="1295">
        <f t="shared" si="0"/>
        <v>28365561.610000007</v>
      </c>
      <c r="R4" s="1295">
        <f t="shared" si="0"/>
        <v>0</v>
      </c>
      <c r="S4" s="1295">
        <f t="shared" si="0"/>
        <v>868485.99999999977</v>
      </c>
      <c r="T4" s="1296">
        <f t="shared" si="0"/>
        <v>57599609.220000006</v>
      </c>
      <c r="U4" s="1294">
        <f t="shared" si="0"/>
        <v>1697523.26</v>
      </c>
      <c r="V4" s="1295">
        <f t="shared" si="0"/>
        <v>0</v>
      </c>
      <c r="W4" s="1295">
        <f t="shared" si="0"/>
        <v>40090699.709999993</v>
      </c>
      <c r="X4" s="1295">
        <f t="shared" si="0"/>
        <v>0</v>
      </c>
      <c r="Y4" s="1295">
        <f t="shared" si="0"/>
        <v>11970.85</v>
      </c>
      <c r="Z4" s="1296">
        <f t="shared" si="0"/>
        <v>41800193.820000008</v>
      </c>
      <c r="AA4" s="1294">
        <f t="shared" si="0"/>
        <v>-150</v>
      </c>
      <c r="AB4" s="1295">
        <f t="shared" si="0"/>
        <v>0</v>
      </c>
      <c r="AC4" s="1295">
        <f t="shared" si="0"/>
        <v>0</v>
      </c>
      <c r="AD4" s="1295">
        <f t="shared" si="0"/>
        <v>0</v>
      </c>
      <c r="AE4" s="1295">
        <f t="shared" si="0"/>
        <v>0</v>
      </c>
      <c r="AF4" s="1296">
        <f t="shared" si="0"/>
        <v>-150</v>
      </c>
      <c r="AG4" s="1294">
        <f t="shared" si="0"/>
        <v>0</v>
      </c>
      <c r="AH4" s="1295">
        <f t="shared" si="0"/>
        <v>0</v>
      </c>
      <c r="AI4" s="1295">
        <f t="shared" si="0"/>
        <v>208678552</v>
      </c>
      <c r="AJ4" s="1295">
        <f t="shared" si="0"/>
        <v>115110840.63999997</v>
      </c>
      <c r="AK4" s="1295">
        <f t="shared" si="0"/>
        <v>0</v>
      </c>
      <c r="AL4" s="1296">
        <f t="shared" si="0"/>
        <v>323789392.64000028</v>
      </c>
    </row>
    <row r="5" spans="1:38" s="666" customFormat="1">
      <c r="A5" s="1308" t="s">
        <v>10</v>
      </c>
      <c r="B5" s="1309" t="s">
        <v>11</v>
      </c>
      <c r="C5" s="1148" t="s">
        <v>271</v>
      </c>
      <c r="D5" s="1291">
        <f>+I5+J5+O5+P5+U5+V5+AA5+AB5+AG5+AH5</f>
        <v>81626.98</v>
      </c>
      <c r="E5" s="1218">
        <f>+K5+Q5+W5+AC5+AI5</f>
        <v>551234.48</v>
      </c>
      <c r="F5" s="1218">
        <f>+G5+H5</f>
        <v>136495.29999999999</v>
      </c>
      <c r="G5" s="1218">
        <f>+L5+R5+X5+AD5+AJ5</f>
        <v>136495.25</v>
      </c>
      <c r="H5" s="1305">
        <f>+M5+S5+Y5+AE5+AK5</f>
        <v>0.05</v>
      </c>
      <c r="I5" s="1310">
        <v>13153.48</v>
      </c>
      <c r="J5" s="1311">
        <v>0</v>
      </c>
      <c r="K5" s="1311">
        <v>13153.48</v>
      </c>
      <c r="L5" s="1311">
        <v>0</v>
      </c>
      <c r="M5" s="1311">
        <v>0.05</v>
      </c>
      <c r="N5" s="1312">
        <v>26307.01</v>
      </c>
      <c r="O5" s="1310">
        <v>68473.5</v>
      </c>
      <c r="P5" s="1311">
        <v>0</v>
      </c>
      <c r="Q5" s="1311">
        <v>68473.5</v>
      </c>
      <c r="R5" s="1311">
        <v>0</v>
      </c>
      <c r="S5" s="1311">
        <v>0</v>
      </c>
      <c r="T5" s="1313">
        <v>136947</v>
      </c>
      <c r="U5" s="1310">
        <v>0</v>
      </c>
      <c r="V5" s="1311">
        <v>0</v>
      </c>
      <c r="W5" s="1311">
        <v>17058</v>
      </c>
      <c r="X5" s="1311">
        <v>0</v>
      </c>
      <c r="Y5" s="1311">
        <v>0</v>
      </c>
      <c r="Z5" s="1313">
        <v>17058</v>
      </c>
      <c r="AA5" s="1303"/>
      <c r="AB5" s="1299"/>
      <c r="AC5" s="1299"/>
      <c r="AD5" s="1299"/>
      <c r="AE5" s="1299"/>
      <c r="AF5" s="1304"/>
      <c r="AG5" s="1310">
        <v>0</v>
      </c>
      <c r="AH5" s="1311">
        <v>0</v>
      </c>
      <c r="AI5" s="1311">
        <v>452549.5</v>
      </c>
      <c r="AJ5" s="1311">
        <v>136495.25</v>
      </c>
      <c r="AK5" s="1299"/>
      <c r="AL5" s="1313">
        <v>589044.75</v>
      </c>
    </row>
    <row r="6" spans="1:38" s="666" customFormat="1">
      <c r="A6" s="1308" t="s">
        <v>12</v>
      </c>
      <c r="B6" s="1309" t="s">
        <v>13</v>
      </c>
      <c r="C6" s="1148" t="s">
        <v>272</v>
      </c>
      <c r="D6" s="1291">
        <f t="shared" ref="D6:D69" si="1">+I6+J6+O6+P6+U6+V6+AA6+AB6+AG6+AH6</f>
        <v>746182.44</v>
      </c>
      <c r="E6" s="1218">
        <f t="shared" ref="E6:E69" si="2">+K6+Q6+W6+AC6+AI6</f>
        <v>5017912.25</v>
      </c>
      <c r="F6" s="1218">
        <f t="shared" ref="F6:F69" si="3">+G6+H6</f>
        <v>2910628.39</v>
      </c>
      <c r="G6" s="1218">
        <f t="shared" ref="G6:H69" si="4">+L6+R6+X6+AD6+AJ6</f>
        <v>2910628.58</v>
      </c>
      <c r="H6" s="1305">
        <f t="shared" si="4"/>
        <v>-0.19</v>
      </c>
      <c r="I6" s="1310">
        <v>306207.45</v>
      </c>
      <c r="J6" s="1311">
        <v>0</v>
      </c>
      <c r="K6" s="1311">
        <v>306207.45</v>
      </c>
      <c r="L6" s="1311">
        <v>0</v>
      </c>
      <c r="M6" s="1311">
        <v>-0.16</v>
      </c>
      <c r="N6" s="1312">
        <v>612414.74</v>
      </c>
      <c r="O6" s="1310">
        <v>420048.74</v>
      </c>
      <c r="P6" s="1311">
        <v>0</v>
      </c>
      <c r="Q6" s="1311">
        <v>420048.74</v>
      </c>
      <c r="R6" s="1311">
        <v>0</v>
      </c>
      <c r="S6" s="1311">
        <v>-0.01</v>
      </c>
      <c r="T6" s="1313">
        <v>840097.47</v>
      </c>
      <c r="U6" s="1310">
        <v>19926.25</v>
      </c>
      <c r="V6" s="1311">
        <v>0</v>
      </c>
      <c r="W6" s="1311">
        <v>558502.24</v>
      </c>
      <c r="X6" s="1311">
        <v>0</v>
      </c>
      <c r="Y6" s="1311">
        <v>-0.02</v>
      </c>
      <c r="Z6" s="1313">
        <v>578428.47</v>
      </c>
      <c r="AA6" s="1303"/>
      <c r="AB6" s="1299"/>
      <c r="AC6" s="1299"/>
      <c r="AD6" s="1299"/>
      <c r="AE6" s="1299"/>
      <c r="AF6" s="1304"/>
      <c r="AG6" s="1310">
        <v>0</v>
      </c>
      <c r="AH6" s="1311">
        <v>0</v>
      </c>
      <c r="AI6" s="1311">
        <v>3733153.82</v>
      </c>
      <c r="AJ6" s="1311">
        <v>2910628.58</v>
      </c>
      <c r="AK6" s="1299"/>
      <c r="AL6" s="1313">
        <v>6643782.4000000004</v>
      </c>
    </row>
    <row r="7" spans="1:38" s="666" customFormat="1">
      <c r="A7" s="1308" t="s">
        <v>16</v>
      </c>
      <c r="B7" s="1309" t="s">
        <v>307</v>
      </c>
      <c r="C7" s="1148" t="s">
        <v>272</v>
      </c>
      <c r="D7" s="1291">
        <f t="shared" si="1"/>
        <v>151928.55000000002</v>
      </c>
      <c r="E7" s="1218">
        <f t="shared" si="2"/>
        <v>1885609.6</v>
      </c>
      <c r="F7" s="1218">
        <f t="shared" si="3"/>
        <v>483126.98</v>
      </c>
      <c r="G7" s="1218">
        <f t="shared" si="4"/>
        <v>483127.13</v>
      </c>
      <c r="H7" s="1305">
        <f t="shared" si="4"/>
        <v>-0.15</v>
      </c>
      <c r="I7" s="1310">
        <v>100516.86</v>
      </c>
      <c r="J7" s="1311">
        <v>0</v>
      </c>
      <c r="K7" s="1311">
        <v>100516.86</v>
      </c>
      <c r="L7" s="1311">
        <v>0</v>
      </c>
      <c r="M7" s="1311">
        <v>-0.11</v>
      </c>
      <c r="N7" s="1312">
        <v>201033.61</v>
      </c>
      <c r="O7" s="1310">
        <v>48509.71</v>
      </c>
      <c r="P7" s="1311">
        <v>0</v>
      </c>
      <c r="Q7" s="1311">
        <v>48509.71</v>
      </c>
      <c r="R7" s="1311">
        <v>0</v>
      </c>
      <c r="S7" s="1311">
        <v>-0.04</v>
      </c>
      <c r="T7" s="1313">
        <v>97019.38</v>
      </c>
      <c r="U7" s="1310">
        <v>2901.98</v>
      </c>
      <c r="V7" s="1311">
        <v>0</v>
      </c>
      <c r="W7" s="1311">
        <v>67104.320000000007</v>
      </c>
      <c r="X7" s="1311">
        <v>0</v>
      </c>
      <c r="Y7" s="1311">
        <v>0</v>
      </c>
      <c r="Z7" s="1313">
        <v>70006.3</v>
      </c>
      <c r="AA7" s="1303"/>
      <c r="AB7" s="1299"/>
      <c r="AC7" s="1299"/>
      <c r="AD7" s="1299"/>
      <c r="AE7" s="1299"/>
      <c r="AF7" s="1304"/>
      <c r="AG7" s="1310">
        <v>0</v>
      </c>
      <c r="AH7" s="1311">
        <v>0</v>
      </c>
      <c r="AI7" s="1311">
        <v>1669478.71</v>
      </c>
      <c r="AJ7" s="1311">
        <v>483127.13</v>
      </c>
      <c r="AK7" s="1299"/>
      <c r="AL7" s="1313">
        <v>2152605.84</v>
      </c>
    </row>
    <row r="8" spans="1:38" s="666" customFormat="1">
      <c r="A8" s="1308" t="s">
        <v>18</v>
      </c>
      <c r="B8" s="1309" t="s">
        <v>19</v>
      </c>
      <c r="C8" s="1148" t="s">
        <v>273</v>
      </c>
      <c r="D8" s="1291">
        <f t="shared" si="1"/>
        <v>13285.16</v>
      </c>
      <c r="E8" s="1218">
        <f t="shared" si="2"/>
        <v>277898.92</v>
      </c>
      <c r="F8" s="1218">
        <f t="shared" si="3"/>
        <v>113141.17</v>
      </c>
      <c r="G8" s="1218">
        <f t="shared" si="4"/>
        <v>113141.17</v>
      </c>
      <c r="H8" s="1305">
        <f t="shared" si="4"/>
        <v>0</v>
      </c>
      <c r="I8" s="1310">
        <v>1864.25</v>
      </c>
      <c r="J8" s="1311">
        <v>0</v>
      </c>
      <c r="K8" s="1311">
        <v>1864.25</v>
      </c>
      <c r="L8" s="1311">
        <v>0</v>
      </c>
      <c r="M8" s="1311">
        <v>0</v>
      </c>
      <c r="N8" s="1312">
        <v>3728.5</v>
      </c>
      <c r="O8" s="1310">
        <v>9600.36</v>
      </c>
      <c r="P8" s="1311">
        <v>0</v>
      </c>
      <c r="Q8" s="1311">
        <v>9600.36</v>
      </c>
      <c r="R8" s="1311">
        <v>0</v>
      </c>
      <c r="S8" s="1311">
        <v>0</v>
      </c>
      <c r="T8" s="1313">
        <v>19200.72</v>
      </c>
      <c r="U8" s="1310">
        <v>1820.55</v>
      </c>
      <c r="V8" s="1311">
        <v>0</v>
      </c>
      <c r="W8" s="1311">
        <v>47288.46</v>
      </c>
      <c r="X8" s="1311">
        <v>0</v>
      </c>
      <c r="Y8" s="1311">
        <v>0</v>
      </c>
      <c r="Z8" s="1313">
        <v>49109.01</v>
      </c>
      <c r="AA8" s="1303"/>
      <c r="AB8" s="1299"/>
      <c r="AC8" s="1299"/>
      <c r="AD8" s="1299"/>
      <c r="AE8" s="1299"/>
      <c r="AF8" s="1304"/>
      <c r="AG8" s="1310">
        <v>0</v>
      </c>
      <c r="AH8" s="1311">
        <v>0</v>
      </c>
      <c r="AI8" s="1311">
        <v>219145.85</v>
      </c>
      <c r="AJ8" s="1311">
        <v>113141.17</v>
      </c>
      <c r="AK8" s="1299"/>
      <c r="AL8" s="1313">
        <v>332287.02</v>
      </c>
    </row>
    <row r="9" spans="1:38" s="666" customFormat="1">
      <c r="A9" s="1308" t="s">
        <v>20</v>
      </c>
      <c r="B9" s="1309" t="s">
        <v>21</v>
      </c>
      <c r="C9" s="1148" t="s">
        <v>272</v>
      </c>
      <c r="D9" s="1291">
        <f t="shared" si="1"/>
        <v>245684.36000000002</v>
      </c>
      <c r="E9" s="1218">
        <f t="shared" si="2"/>
        <v>969462.52</v>
      </c>
      <c r="F9" s="1218">
        <f t="shared" si="3"/>
        <v>259470.29</v>
      </c>
      <c r="G9" s="1218">
        <f t="shared" si="4"/>
        <v>259470.35</v>
      </c>
      <c r="H9" s="1305">
        <f t="shared" si="4"/>
        <v>-0.06</v>
      </c>
      <c r="I9" s="1310">
        <v>217778.22</v>
      </c>
      <c r="J9" s="1311">
        <v>0</v>
      </c>
      <c r="K9" s="1311">
        <v>217778.22</v>
      </c>
      <c r="L9" s="1311">
        <v>0</v>
      </c>
      <c r="M9" s="1311">
        <v>-0.06</v>
      </c>
      <c r="N9" s="1312">
        <v>435556.38</v>
      </c>
      <c r="O9" s="1310">
        <v>24621.32</v>
      </c>
      <c r="P9" s="1311">
        <v>0</v>
      </c>
      <c r="Q9" s="1311">
        <v>24621.32</v>
      </c>
      <c r="R9" s="1311">
        <v>0</v>
      </c>
      <c r="S9" s="1311">
        <v>0</v>
      </c>
      <c r="T9" s="1313">
        <v>49242.64</v>
      </c>
      <c r="U9" s="1310">
        <v>3284.82</v>
      </c>
      <c r="V9" s="1311">
        <v>0</v>
      </c>
      <c r="W9" s="1311">
        <v>69542.179999999993</v>
      </c>
      <c r="X9" s="1311">
        <v>0</v>
      </c>
      <c r="Y9" s="1311">
        <v>0</v>
      </c>
      <c r="Z9" s="1313">
        <v>72827</v>
      </c>
      <c r="AA9" s="1303"/>
      <c r="AB9" s="1299"/>
      <c r="AC9" s="1299"/>
      <c r="AD9" s="1299"/>
      <c r="AE9" s="1299"/>
      <c r="AF9" s="1304"/>
      <c r="AG9" s="1310">
        <v>0</v>
      </c>
      <c r="AH9" s="1311">
        <v>0</v>
      </c>
      <c r="AI9" s="1311">
        <v>657520.80000000005</v>
      </c>
      <c r="AJ9" s="1311">
        <v>259470.35</v>
      </c>
      <c r="AK9" s="1299"/>
      <c r="AL9" s="1313">
        <v>916991.15</v>
      </c>
    </row>
    <row r="10" spans="1:38" s="666" customFormat="1">
      <c r="A10" s="1308" t="s">
        <v>22</v>
      </c>
      <c r="B10" s="1309" t="s">
        <v>23</v>
      </c>
      <c r="C10" s="1148" t="s">
        <v>272</v>
      </c>
      <c r="D10" s="1291">
        <f t="shared" si="1"/>
        <v>31684.94</v>
      </c>
      <c r="E10" s="1218">
        <f t="shared" si="2"/>
        <v>694925.10000000009</v>
      </c>
      <c r="F10" s="1218">
        <f t="shared" si="3"/>
        <v>218397.03</v>
      </c>
      <c r="G10" s="1218">
        <f t="shared" si="4"/>
        <v>218397.07</v>
      </c>
      <c r="H10" s="1305">
        <f t="shared" si="4"/>
        <v>-0.04</v>
      </c>
      <c r="I10" s="1310">
        <v>31684.94</v>
      </c>
      <c r="J10" s="1311">
        <v>0</v>
      </c>
      <c r="K10" s="1311">
        <v>31684.94</v>
      </c>
      <c r="L10" s="1311">
        <v>0</v>
      </c>
      <c r="M10" s="1311">
        <v>-0.04</v>
      </c>
      <c r="N10" s="1312">
        <v>63369.84</v>
      </c>
      <c r="O10" s="1303"/>
      <c r="P10" s="1299"/>
      <c r="Q10" s="1299"/>
      <c r="R10" s="1299"/>
      <c r="S10" s="1299"/>
      <c r="T10" s="1304"/>
      <c r="U10" s="1310">
        <v>0</v>
      </c>
      <c r="V10" s="1311">
        <v>0</v>
      </c>
      <c r="W10" s="1311">
        <v>6300</v>
      </c>
      <c r="X10" s="1311">
        <v>0</v>
      </c>
      <c r="Y10" s="1311">
        <v>0</v>
      </c>
      <c r="Z10" s="1313">
        <v>6300</v>
      </c>
      <c r="AA10" s="1303"/>
      <c r="AB10" s="1299"/>
      <c r="AC10" s="1299"/>
      <c r="AD10" s="1299"/>
      <c r="AE10" s="1299"/>
      <c r="AF10" s="1304"/>
      <c r="AG10" s="1310">
        <v>0</v>
      </c>
      <c r="AH10" s="1311">
        <v>0</v>
      </c>
      <c r="AI10" s="1311">
        <v>656940.16</v>
      </c>
      <c r="AJ10" s="1311">
        <v>218397.07</v>
      </c>
      <c r="AK10" s="1299"/>
      <c r="AL10" s="1313">
        <v>875337.23</v>
      </c>
    </row>
    <row r="11" spans="1:38" s="666" customFormat="1">
      <c r="A11" s="1308" t="s">
        <v>24</v>
      </c>
      <c r="B11" s="1309" t="s">
        <v>25</v>
      </c>
      <c r="C11" s="1148" t="s">
        <v>274</v>
      </c>
      <c r="D11" s="1291">
        <f t="shared" si="1"/>
        <v>846151.41</v>
      </c>
      <c r="E11" s="1218">
        <f t="shared" si="2"/>
        <v>5983830.71</v>
      </c>
      <c r="F11" s="1218">
        <f t="shared" si="3"/>
        <v>4036209.52</v>
      </c>
      <c r="G11" s="1218">
        <f t="shared" si="4"/>
        <v>4035636.12</v>
      </c>
      <c r="H11" s="1305">
        <f t="shared" si="4"/>
        <v>573.4</v>
      </c>
      <c r="I11" s="1310">
        <v>313262.13</v>
      </c>
      <c r="J11" s="1311">
        <v>0</v>
      </c>
      <c r="K11" s="1311">
        <v>313262.13</v>
      </c>
      <c r="L11" s="1311">
        <v>0</v>
      </c>
      <c r="M11" s="1311">
        <v>-0.28000000000000003</v>
      </c>
      <c r="N11" s="1312">
        <v>626523.98</v>
      </c>
      <c r="O11" s="1310">
        <v>522757.53</v>
      </c>
      <c r="P11" s="1311">
        <v>0</v>
      </c>
      <c r="Q11" s="1311">
        <v>522757.53</v>
      </c>
      <c r="R11" s="1311">
        <v>0</v>
      </c>
      <c r="S11" s="1311">
        <v>573.67999999999995</v>
      </c>
      <c r="T11" s="1313">
        <v>1046088.74</v>
      </c>
      <c r="U11" s="1310">
        <v>10131.75</v>
      </c>
      <c r="V11" s="1311">
        <v>0</v>
      </c>
      <c r="W11" s="1311">
        <v>461119.29</v>
      </c>
      <c r="X11" s="1311">
        <v>0</v>
      </c>
      <c r="Y11" s="1311">
        <v>0</v>
      </c>
      <c r="Z11" s="1313">
        <v>471251.04</v>
      </c>
      <c r="AA11" s="1303"/>
      <c r="AB11" s="1299"/>
      <c r="AC11" s="1299"/>
      <c r="AD11" s="1299"/>
      <c r="AE11" s="1299"/>
      <c r="AF11" s="1304"/>
      <c r="AG11" s="1310">
        <v>0</v>
      </c>
      <c r="AH11" s="1311">
        <v>0</v>
      </c>
      <c r="AI11" s="1311">
        <v>4686691.76</v>
      </c>
      <c r="AJ11" s="1311">
        <v>4035636.12</v>
      </c>
      <c r="AK11" s="1299"/>
      <c r="AL11" s="1313">
        <v>8722327.8800000008</v>
      </c>
    </row>
    <row r="12" spans="1:38" s="666" customFormat="1">
      <c r="A12" s="1308" t="s">
        <v>26</v>
      </c>
      <c r="B12" s="1309" t="s">
        <v>908</v>
      </c>
      <c r="C12" s="1148" t="s">
        <v>272</v>
      </c>
      <c r="D12" s="1291">
        <f t="shared" si="1"/>
        <v>1543432.35</v>
      </c>
      <c r="E12" s="1218">
        <f t="shared" si="2"/>
        <v>7558630.5199999996</v>
      </c>
      <c r="F12" s="1218">
        <f t="shared" si="3"/>
        <v>2060195.9900000002</v>
      </c>
      <c r="G12" s="1218">
        <f t="shared" si="4"/>
        <v>2060196.6600000001</v>
      </c>
      <c r="H12" s="1305">
        <f t="shared" si="4"/>
        <v>-0.67</v>
      </c>
      <c r="I12" s="1310">
        <v>722392.42</v>
      </c>
      <c r="J12" s="1311">
        <v>0</v>
      </c>
      <c r="K12" s="1311">
        <v>722392.42</v>
      </c>
      <c r="L12" s="1311">
        <v>0</v>
      </c>
      <c r="M12" s="1311">
        <v>-0.61</v>
      </c>
      <c r="N12" s="1312">
        <v>1444784.23</v>
      </c>
      <c r="O12" s="1310">
        <v>742025.58</v>
      </c>
      <c r="P12" s="1311">
        <v>0</v>
      </c>
      <c r="Q12" s="1311">
        <v>742025.58</v>
      </c>
      <c r="R12" s="1311">
        <v>0</v>
      </c>
      <c r="S12" s="1311">
        <v>-0.05</v>
      </c>
      <c r="T12" s="1313">
        <v>1484051.1099999999</v>
      </c>
      <c r="U12" s="1310">
        <v>79014.350000000006</v>
      </c>
      <c r="V12" s="1311">
        <v>0</v>
      </c>
      <c r="W12" s="1311">
        <v>1257365.81</v>
      </c>
      <c r="X12" s="1311">
        <v>0</v>
      </c>
      <c r="Y12" s="1311">
        <v>-0.01</v>
      </c>
      <c r="Z12" s="1313">
        <v>1336380.1499999999</v>
      </c>
      <c r="AA12" s="1303"/>
      <c r="AB12" s="1299"/>
      <c r="AC12" s="1299"/>
      <c r="AD12" s="1299"/>
      <c r="AE12" s="1299"/>
      <c r="AF12" s="1304"/>
      <c r="AG12" s="1310">
        <v>0</v>
      </c>
      <c r="AH12" s="1311">
        <v>0</v>
      </c>
      <c r="AI12" s="1311">
        <v>4836846.71</v>
      </c>
      <c r="AJ12" s="1311">
        <v>2060196.6600000001</v>
      </c>
      <c r="AK12" s="1299"/>
      <c r="AL12" s="1313">
        <v>6897043.3700000001</v>
      </c>
    </row>
    <row r="13" spans="1:38" s="666" customFormat="1">
      <c r="A13" s="1308" t="s">
        <v>27</v>
      </c>
      <c r="B13" s="1309" t="s">
        <v>28</v>
      </c>
      <c r="C13" s="1148" t="s">
        <v>272</v>
      </c>
      <c r="D13" s="1291">
        <f t="shared" si="1"/>
        <v>11719.08</v>
      </c>
      <c r="E13" s="1218">
        <f t="shared" si="2"/>
        <v>96589.02</v>
      </c>
      <c r="F13" s="1218">
        <f t="shared" si="3"/>
        <v>57477.04</v>
      </c>
      <c r="G13" s="1218">
        <f t="shared" si="4"/>
        <v>57477.06</v>
      </c>
      <c r="H13" s="1305">
        <f t="shared" si="4"/>
        <v>-0.02</v>
      </c>
      <c r="I13" s="1310">
        <v>7723.08</v>
      </c>
      <c r="J13" s="1311">
        <v>0</v>
      </c>
      <c r="K13" s="1311">
        <v>7723.08</v>
      </c>
      <c r="L13" s="1311">
        <v>0</v>
      </c>
      <c r="M13" s="1311">
        <v>-0.02</v>
      </c>
      <c r="N13" s="1312">
        <v>15446.14</v>
      </c>
      <c r="O13" s="1310">
        <v>3996</v>
      </c>
      <c r="P13" s="1311">
        <v>0</v>
      </c>
      <c r="Q13" s="1311">
        <v>3996</v>
      </c>
      <c r="R13" s="1311">
        <v>0</v>
      </c>
      <c r="S13" s="1311">
        <v>0</v>
      </c>
      <c r="T13" s="1313">
        <v>7992</v>
      </c>
      <c r="U13" s="1310">
        <v>0</v>
      </c>
      <c r="V13" s="1311">
        <v>0</v>
      </c>
      <c r="W13" s="1311">
        <v>7992</v>
      </c>
      <c r="X13" s="1311">
        <v>0</v>
      </c>
      <c r="Y13" s="1311">
        <v>0</v>
      </c>
      <c r="Z13" s="1313">
        <v>7992</v>
      </c>
      <c r="AA13" s="1303"/>
      <c r="AB13" s="1299"/>
      <c r="AC13" s="1299"/>
      <c r="AD13" s="1299"/>
      <c r="AE13" s="1299"/>
      <c r="AF13" s="1304"/>
      <c r="AG13" s="1310">
        <v>0</v>
      </c>
      <c r="AH13" s="1311">
        <v>0</v>
      </c>
      <c r="AI13" s="1311">
        <v>76877.94</v>
      </c>
      <c r="AJ13" s="1311">
        <v>57477.06</v>
      </c>
      <c r="AK13" s="1299"/>
      <c r="AL13" s="1313">
        <v>134355</v>
      </c>
    </row>
    <row r="14" spans="1:38" s="666" customFormat="1">
      <c r="A14" s="1308" t="s">
        <v>29</v>
      </c>
      <c r="B14" s="1309" t="s">
        <v>329</v>
      </c>
      <c r="C14" s="1148" t="s">
        <v>272</v>
      </c>
      <c r="D14" s="1291">
        <f t="shared" si="1"/>
        <v>536412.69999999995</v>
      </c>
      <c r="E14" s="1218">
        <f t="shared" si="2"/>
        <v>2301513.5300000003</v>
      </c>
      <c r="F14" s="1218">
        <f t="shared" si="3"/>
        <v>525262.51</v>
      </c>
      <c r="G14" s="1218">
        <f t="shared" si="4"/>
        <v>525262.79</v>
      </c>
      <c r="H14" s="1305">
        <f t="shared" si="4"/>
        <v>-0.28000000000000003</v>
      </c>
      <c r="I14" s="1310">
        <v>170221.76</v>
      </c>
      <c r="J14" s="1311">
        <v>0</v>
      </c>
      <c r="K14" s="1311">
        <v>170221.76</v>
      </c>
      <c r="L14" s="1311">
        <v>0</v>
      </c>
      <c r="M14" s="1311">
        <v>-0.23</v>
      </c>
      <c r="N14" s="1312">
        <v>340443.29</v>
      </c>
      <c r="O14" s="1310">
        <v>339627.87</v>
      </c>
      <c r="P14" s="1311">
        <v>0</v>
      </c>
      <c r="Q14" s="1311">
        <v>339627.87</v>
      </c>
      <c r="R14" s="1311">
        <v>0</v>
      </c>
      <c r="S14" s="1311">
        <v>-0.05</v>
      </c>
      <c r="T14" s="1313">
        <v>679255.69</v>
      </c>
      <c r="U14" s="1310">
        <v>26563.07</v>
      </c>
      <c r="V14" s="1311">
        <v>0</v>
      </c>
      <c r="W14" s="1311">
        <v>644913.59</v>
      </c>
      <c r="X14" s="1311">
        <v>0</v>
      </c>
      <c r="Y14" s="1311">
        <v>0</v>
      </c>
      <c r="Z14" s="1313">
        <v>671476.66</v>
      </c>
      <c r="AA14" s="1303"/>
      <c r="AB14" s="1299"/>
      <c r="AC14" s="1299"/>
      <c r="AD14" s="1299"/>
      <c r="AE14" s="1299"/>
      <c r="AF14" s="1304"/>
      <c r="AG14" s="1310">
        <v>0</v>
      </c>
      <c r="AH14" s="1311">
        <v>0</v>
      </c>
      <c r="AI14" s="1311">
        <v>1146750.31</v>
      </c>
      <c r="AJ14" s="1311">
        <v>525262.79</v>
      </c>
      <c r="AK14" s="1299"/>
      <c r="AL14" s="1313">
        <v>1672013.0999999999</v>
      </c>
    </row>
    <row r="15" spans="1:38" s="666" customFormat="1">
      <c r="A15" s="1308" t="s">
        <v>31</v>
      </c>
      <c r="B15" s="1309" t="s">
        <v>32</v>
      </c>
      <c r="C15" s="1148" t="s">
        <v>275</v>
      </c>
      <c r="D15" s="1291">
        <f t="shared" si="1"/>
        <v>124430.83</v>
      </c>
      <c r="E15" s="1218">
        <f t="shared" si="2"/>
        <v>403437.13</v>
      </c>
      <c r="F15" s="1218">
        <f t="shared" si="3"/>
        <v>73120.340000000011</v>
      </c>
      <c r="G15" s="1218">
        <f t="shared" si="4"/>
        <v>73120.460000000006</v>
      </c>
      <c r="H15" s="1305">
        <f t="shared" si="4"/>
        <v>-0.12000000000000001</v>
      </c>
      <c r="I15" s="1310">
        <v>59860.62</v>
      </c>
      <c r="J15" s="1311">
        <v>0</v>
      </c>
      <c r="K15" s="1311">
        <v>59860.62</v>
      </c>
      <c r="L15" s="1311">
        <v>0</v>
      </c>
      <c r="M15" s="1311">
        <v>-0.04</v>
      </c>
      <c r="N15" s="1312">
        <v>119721.2</v>
      </c>
      <c r="O15" s="1310">
        <v>63672.24</v>
      </c>
      <c r="P15" s="1311">
        <v>0</v>
      </c>
      <c r="Q15" s="1311">
        <v>63672.24</v>
      </c>
      <c r="R15" s="1311">
        <v>0</v>
      </c>
      <c r="S15" s="1311">
        <v>-7.0000000000000007E-2</v>
      </c>
      <c r="T15" s="1313">
        <v>127344.41</v>
      </c>
      <c r="U15" s="1310">
        <v>897.97</v>
      </c>
      <c r="V15" s="1311">
        <v>0</v>
      </c>
      <c r="W15" s="1311">
        <v>11265.38</v>
      </c>
      <c r="X15" s="1311">
        <v>0</v>
      </c>
      <c r="Y15" s="1311">
        <v>-0.01</v>
      </c>
      <c r="Z15" s="1313">
        <v>12163.34</v>
      </c>
      <c r="AA15" s="1303"/>
      <c r="AB15" s="1299"/>
      <c r="AC15" s="1299"/>
      <c r="AD15" s="1299"/>
      <c r="AE15" s="1299"/>
      <c r="AF15" s="1304"/>
      <c r="AG15" s="1310">
        <v>0</v>
      </c>
      <c r="AH15" s="1311">
        <v>0</v>
      </c>
      <c r="AI15" s="1311">
        <v>268638.89</v>
      </c>
      <c r="AJ15" s="1311">
        <v>73120.460000000006</v>
      </c>
      <c r="AK15" s="1299"/>
      <c r="AL15" s="1313">
        <v>341759.35</v>
      </c>
    </row>
    <row r="16" spans="1:38" s="666" customFormat="1">
      <c r="A16" s="1308" t="s">
        <v>33</v>
      </c>
      <c r="B16" s="1309" t="s">
        <v>34</v>
      </c>
      <c r="C16" s="1148" t="s">
        <v>272</v>
      </c>
      <c r="D16" s="1291">
        <f t="shared" si="1"/>
        <v>62170.159999999996</v>
      </c>
      <c r="E16" s="1218">
        <f t="shared" si="2"/>
        <v>840286.61</v>
      </c>
      <c r="F16" s="1218">
        <f t="shared" si="3"/>
        <v>426007.98</v>
      </c>
      <c r="G16" s="1218">
        <f t="shared" si="4"/>
        <v>426007.99</v>
      </c>
      <c r="H16" s="1305">
        <f t="shared" si="4"/>
        <v>-0.01</v>
      </c>
      <c r="I16" s="1310">
        <v>2715.78</v>
      </c>
      <c r="J16" s="1311">
        <v>0</v>
      </c>
      <c r="K16" s="1311">
        <v>2715.78</v>
      </c>
      <c r="L16" s="1311">
        <v>0</v>
      </c>
      <c r="M16" s="1311">
        <v>-0.01</v>
      </c>
      <c r="N16" s="1312">
        <v>5431.55</v>
      </c>
      <c r="O16" s="1310">
        <v>57193</v>
      </c>
      <c r="P16" s="1311">
        <v>0</v>
      </c>
      <c r="Q16" s="1311">
        <v>57193</v>
      </c>
      <c r="R16" s="1311">
        <v>0</v>
      </c>
      <c r="S16" s="1311">
        <v>0</v>
      </c>
      <c r="T16" s="1313">
        <v>114386</v>
      </c>
      <c r="U16" s="1310">
        <v>2261.38</v>
      </c>
      <c r="V16" s="1311">
        <v>0</v>
      </c>
      <c r="W16" s="1311">
        <v>32208.62</v>
      </c>
      <c r="X16" s="1311">
        <v>0</v>
      </c>
      <c r="Y16" s="1311">
        <v>0</v>
      </c>
      <c r="Z16" s="1313">
        <v>34470</v>
      </c>
      <c r="AA16" s="1303"/>
      <c r="AB16" s="1299"/>
      <c r="AC16" s="1299"/>
      <c r="AD16" s="1299"/>
      <c r="AE16" s="1299"/>
      <c r="AF16" s="1304"/>
      <c r="AG16" s="1310">
        <v>0</v>
      </c>
      <c r="AH16" s="1311">
        <v>0</v>
      </c>
      <c r="AI16" s="1311">
        <v>748169.21</v>
      </c>
      <c r="AJ16" s="1311">
        <v>426007.99</v>
      </c>
      <c r="AK16" s="1299"/>
      <c r="AL16" s="1313">
        <v>1174177.2</v>
      </c>
    </row>
    <row r="17" spans="1:38" s="666" customFormat="1">
      <c r="A17" s="1308" t="s">
        <v>37</v>
      </c>
      <c r="B17" s="1309" t="s">
        <v>38</v>
      </c>
      <c r="C17" s="1148" t="s">
        <v>271</v>
      </c>
      <c r="D17" s="1291">
        <f t="shared" si="1"/>
        <v>37073.279999999999</v>
      </c>
      <c r="E17" s="1218">
        <f t="shared" si="2"/>
        <v>376674.78</v>
      </c>
      <c r="F17" s="1218">
        <f t="shared" si="3"/>
        <v>109877.05</v>
      </c>
      <c r="G17" s="1218">
        <f t="shared" si="4"/>
        <v>109877.06</v>
      </c>
      <c r="H17" s="1305">
        <f t="shared" si="4"/>
        <v>-0.01</v>
      </c>
      <c r="I17" s="1310">
        <v>5669.28</v>
      </c>
      <c r="J17" s="1311">
        <v>0</v>
      </c>
      <c r="K17" s="1311">
        <v>5669.28</v>
      </c>
      <c r="L17" s="1311">
        <v>0</v>
      </c>
      <c r="M17" s="1311">
        <v>-0.01</v>
      </c>
      <c r="N17" s="1312">
        <v>11338.55</v>
      </c>
      <c r="O17" s="1310">
        <v>31338</v>
      </c>
      <c r="P17" s="1311">
        <v>0</v>
      </c>
      <c r="Q17" s="1311">
        <v>31338</v>
      </c>
      <c r="R17" s="1311">
        <v>0</v>
      </c>
      <c r="S17" s="1311">
        <v>0</v>
      </c>
      <c r="T17" s="1313">
        <v>62676</v>
      </c>
      <c r="U17" s="1310">
        <v>66</v>
      </c>
      <c r="V17" s="1311">
        <v>0</v>
      </c>
      <c r="W17" s="1311">
        <v>534</v>
      </c>
      <c r="X17" s="1311">
        <v>0</v>
      </c>
      <c r="Y17" s="1311">
        <v>0</v>
      </c>
      <c r="Z17" s="1313">
        <v>600</v>
      </c>
      <c r="AA17" s="1303"/>
      <c r="AB17" s="1299"/>
      <c r="AC17" s="1299"/>
      <c r="AD17" s="1299"/>
      <c r="AE17" s="1299"/>
      <c r="AF17" s="1304"/>
      <c r="AG17" s="1310">
        <v>0</v>
      </c>
      <c r="AH17" s="1311">
        <v>0</v>
      </c>
      <c r="AI17" s="1311">
        <v>339133.5</v>
      </c>
      <c r="AJ17" s="1311">
        <v>109877.06</v>
      </c>
      <c r="AK17" s="1299"/>
      <c r="AL17" s="1313">
        <v>449010.56</v>
      </c>
    </row>
    <row r="18" spans="1:38" s="666" customFormat="1">
      <c r="A18" s="1308" t="s">
        <v>39</v>
      </c>
      <c r="B18" s="1309" t="s">
        <v>40</v>
      </c>
      <c r="C18" s="1148" t="s">
        <v>275</v>
      </c>
      <c r="D18" s="1291">
        <f t="shared" si="1"/>
        <v>528827.17999999993</v>
      </c>
      <c r="E18" s="1218">
        <f t="shared" si="2"/>
        <v>1701198.6</v>
      </c>
      <c r="F18" s="1218">
        <f t="shared" si="3"/>
        <v>464432.11000000004</v>
      </c>
      <c r="G18" s="1218">
        <f t="shared" si="4"/>
        <v>464432.33</v>
      </c>
      <c r="H18" s="1305">
        <f t="shared" si="4"/>
        <v>-0.22</v>
      </c>
      <c r="I18" s="1310">
        <v>266309.28999999998</v>
      </c>
      <c r="J18" s="1311">
        <v>0</v>
      </c>
      <c r="K18" s="1311">
        <v>266309.28999999998</v>
      </c>
      <c r="L18" s="1311">
        <v>0</v>
      </c>
      <c r="M18" s="1311">
        <v>-0.22</v>
      </c>
      <c r="N18" s="1312">
        <v>532618.36</v>
      </c>
      <c r="O18" s="1310">
        <v>253016.8</v>
      </c>
      <c r="P18" s="1311">
        <v>0</v>
      </c>
      <c r="Q18" s="1311">
        <v>253016.8</v>
      </c>
      <c r="R18" s="1311">
        <v>0</v>
      </c>
      <c r="S18" s="1311">
        <v>0</v>
      </c>
      <c r="T18" s="1313">
        <v>506033.6</v>
      </c>
      <c r="U18" s="1310">
        <v>9501.09</v>
      </c>
      <c r="V18" s="1311">
        <v>0</v>
      </c>
      <c r="W18" s="1311">
        <v>241950.95</v>
      </c>
      <c r="X18" s="1311">
        <v>0</v>
      </c>
      <c r="Y18" s="1311">
        <v>0</v>
      </c>
      <c r="Z18" s="1313">
        <v>251452.04</v>
      </c>
      <c r="AA18" s="1303"/>
      <c r="AB18" s="1299"/>
      <c r="AC18" s="1299"/>
      <c r="AD18" s="1299"/>
      <c r="AE18" s="1299"/>
      <c r="AF18" s="1304"/>
      <c r="AG18" s="1310">
        <v>0</v>
      </c>
      <c r="AH18" s="1311">
        <v>0</v>
      </c>
      <c r="AI18" s="1311">
        <v>939921.56</v>
      </c>
      <c r="AJ18" s="1311">
        <v>464432.33</v>
      </c>
      <c r="AK18" s="1299"/>
      <c r="AL18" s="1313">
        <v>1404353.89</v>
      </c>
    </row>
    <row r="19" spans="1:38" s="666" customFormat="1">
      <c r="A19" s="1308" t="s">
        <v>41</v>
      </c>
      <c r="B19" s="1309" t="s">
        <v>42</v>
      </c>
      <c r="C19" s="1148" t="s">
        <v>273</v>
      </c>
      <c r="D19" s="1291">
        <f t="shared" si="1"/>
        <v>64778.33</v>
      </c>
      <c r="E19" s="1218">
        <f t="shared" si="2"/>
        <v>1070843.3900000001</v>
      </c>
      <c r="F19" s="1218">
        <f t="shared" si="3"/>
        <v>221976.29</v>
      </c>
      <c r="G19" s="1218">
        <f t="shared" si="4"/>
        <v>221976.32000000001</v>
      </c>
      <c r="H19" s="1305">
        <f t="shared" si="4"/>
        <v>-0.03</v>
      </c>
      <c r="I19" s="1310">
        <v>28729.040000000001</v>
      </c>
      <c r="J19" s="1311">
        <v>0</v>
      </c>
      <c r="K19" s="1311">
        <v>28729.040000000001</v>
      </c>
      <c r="L19" s="1311">
        <v>0</v>
      </c>
      <c r="M19" s="1311">
        <v>-0.01</v>
      </c>
      <c r="N19" s="1312">
        <v>57458.07</v>
      </c>
      <c r="O19" s="1310">
        <v>36049.29</v>
      </c>
      <c r="P19" s="1311">
        <v>0</v>
      </c>
      <c r="Q19" s="1311">
        <v>36049.29</v>
      </c>
      <c r="R19" s="1311">
        <v>0</v>
      </c>
      <c r="S19" s="1311">
        <v>-0.02</v>
      </c>
      <c r="T19" s="1313">
        <v>72098.559999999998</v>
      </c>
      <c r="U19" s="1310">
        <v>0</v>
      </c>
      <c r="V19" s="1311">
        <v>0</v>
      </c>
      <c r="W19" s="1311">
        <v>14506.8</v>
      </c>
      <c r="X19" s="1311">
        <v>0</v>
      </c>
      <c r="Y19" s="1311">
        <v>0</v>
      </c>
      <c r="Z19" s="1313">
        <v>14506.8</v>
      </c>
      <c r="AA19" s="1303"/>
      <c r="AB19" s="1299"/>
      <c r="AC19" s="1299"/>
      <c r="AD19" s="1299"/>
      <c r="AE19" s="1299"/>
      <c r="AF19" s="1304"/>
      <c r="AG19" s="1310">
        <v>0</v>
      </c>
      <c r="AH19" s="1311">
        <v>0</v>
      </c>
      <c r="AI19" s="1311">
        <v>991558.26</v>
      </c>
      <c r="AJ19" s="1311">
        <v>221976.32000000001</v>
      </c>
      <c r="AK19" s="1299"/>
      <c r="AL19" s="1313">
        <v>1213534.58</v>
      </c>
    </row>
    <row r="20" spans="1:38" s="666" customFormat="1">
      <c r="A20" s="1308" t="s">
        <v>43</v>
      </c>
      <c r="B20" s="1309" t="s">
        <v>44</v>
      </c>
      <c r="C20" s="1148" t="s">
        <v>272</v>
      </c>
      <c r="D20" s="1291">
        <f t="shared" si="1"/>
        <v>417364.87</v>
      </c>
      <c r="E20" s="1218">
        <f t="shared" si="2"/>
        <v>2345663.58</v>
      </c>
      <c r="F20" s="1218">
        <f t="shared" si="3"/>
        <v>491960.23</v>
      </c>
      <c r="G20" s="1218">
        <f t="shared" si="4"/>
        <v>491960.41</v>
      </c>
      <c r="H20" s="1305">
        <f t="shared" si="4"/>
        <v>-0.18000000000000002</v>
      </c>
      <c r="I20" s="1310">
        <v>64883.519999999997</v>
      </c>
      <c r="J20" s="1311">
        <v>0</v>
      </c>
      <c r="K20" s="1311">
        <v>64883.519999999997</v>
      </c>
      <c r="L20" s="1311">
        <v>0</v>
      </c>
      <c r="M20" s="1311">
        <v>-0.14000000000000001</v>
      </c>
      <c r="N20" s="1312">
        <v>129766.9</v>
      </c>
      <c r="O20" s="1310">
        <v>332057.32</v>
      </c>
      <c r="P20" s="1311">
        <v>0</v>
      </c>
      <c r="Q20" s="1311">
        <v>332057.32</v>
      </c>
      <c r="R20" s="1311">
        <v>0</v>
      </c>
      <c r="S20" s="1311">
        <v>-0.04</v>
      </c>
      <c r="T20" s="1313">
        <v>664114.6</v>
      </c>
      <c r="U20" s="1310">
        <v>20424.03</v>
      </c>
      <c r="V20" s="1311">
        <v>0</v>
      </c>
      <c r="W20" s="1311">
        <v>729853.17</v>
      </c>
      <c r="X20" s="1311">
        <v>0</v>
      </c>
      <c r="Y20" s="1311">
        <v>0</v>
      </c>
      <c r="Z20" s="1313">
        <v>750277.2</v>
      </c>
      <c r="AA20" s="1303"/>
      <c r="AB20" s="1299"/>
      <c r="AC20" s="1299"/>
      <c r="AD20" s="1299"/>
      <c r="AE20" s="1299"/>
      <c r="AF20" s="1304"/>
      <c r="AG20" s="1310">
        <v>0</v>
      </c>
      <c r="AH20" s="1311">
        <v>0</v>
      </c>
      <c r="AI20" s="1311">
        <v>1218869.57</v>
      </c>
      <c r="AJ20" s="1311">
        <v>491960.41</v>
      </c>
      <c r="AK20" s="1299"/>
      <c r="AL20" s="1313">
        <v>1710829.98</v>
      </c>
    </row>
    <row r="21" spans="1:38" s="666" customFormat="1">
      <c r="A21" s="1308" t="s">
        <v>45</v>
      </c>
      <c r="B21" s="1309" t="s">
        <v>46</v>
      </c>
      <c r="C21" s="1148" t="s">
        <v>273</v>
      </c>
      <c r="D21" s="1291">
        <f t="shared" si="1"/>
        <v>103070.08</v>
      </c>
      <c r="E21" s="1218">
        <f t="shared" si="2"/>
        <v>1213075.8800000001</v>
      </c>
      <c r="F21" s="1218">
        <f t="shared" si="3"/>
        <v>550079.12</v>
      </c>
      <c r="G21" s="1218">
        <f t="shared" si="4"/>
        <v>550079.16</v>
      </c>
      <c r="H21" s="1305">
        <f t="shared" si="4"/>
        <v>-0.04</v>
      </c>
      <c r="I21" s="1310">
        <v>56037.3</v>
      </c>
      <c r="J21" s="1311">
        <v>0</v>
      </c>
      <c r="K21" s="1311">
        <v>56037.3</v>
      </c>
      <c r="L21" s="1311">
        <v>0</v>
      </c>
      <c r="M21" s="1311">
        <v>-0.03</v>
      </c>
      <c r="N21" s="1312">
        <v>112074.57</v>
      </c>
      <c r="O21" s="1310">
        <v>47032.78</v>
      </c>
      <c r="P21" s="1311">
        <v>0</v>
      </c>
      <c r="Q21" s="1311">
        <v>47032.78</v>
      </c>
      <c r="R21" s="1311">
        <v>0</v>
      </c>
      <c r="S21" s="1311">
        <v>-0.01</v>
      </c>
      <c r="T21" s="1313">
        <v>94065.55</v>
      </c>
      <c r="U21" s="1310">
        <v>0</v>
      </c>
      <c r="V21" s="1311">
        <v>0</v>
      </c>
      <c r="W21" s="1311">
        <v>7992</v>
      </c>
      <c r="X21" s="1311">
        <v>0</v>
      </c>
      <c r="Y21" s="1311">
        <v>0</v>
      </c>
      <c r="Z21" s="1313">
        <v>7992</v>
      </c>
      <c r="AA21" s="1303"/>
      <c r="AB21" s="1299"/>
      <c r="AC21" s="1299"/>
      <c r="AD21" s="1299"/>
      <c r="AE21" s="1299"/>
      <c r="AF21" s="1304"/>
      <c r="AG21" s="1310">
        <v>0</v>
      </c>
      <c r="AH21" s="1311">
        <v>0</v>
      </c>
      <c r="AI21" s="1311">
        <v>1102013.8</v>
      </c>
      <c r="AJ21" s="1311">
        <v>550079.16</v>
      </c>
      <c r="AK21" s="1299"/>
      <c r="AL21" s="1313">
        <v>1652092.96</v>
      </c>
    </row>
    <row r="22" spans="1:38" s="666" customFormat="1">
      <c r="A22" s="1308" t="s">
        <v>47</v>
      </c>
      <c r="B22" s="1309" t="s">
        <v>48</v>
      </c>
      <c r="C22" s="1148" t="s">
        <v>275</v>
      </c>
      <c r="D22" s="1291">
        <f t="shared" si="1"/>
        <v>322517.86</v>
      </c>
      <c r="E22" s="1218">
        <f t="shared" si="2"/>
        <v>1731097.54</v>
      </c>
      <c r="F22" s="1218">
        <f t="shared" si="3"/>
        <v>504328.16000000003</v>
      </c>
      <c r="G22" s="1218">
        <f t="shared" si="4"/>
        <v>504328.34</v>
      </c>
      <c r="H22" s="1305">
        <f t="shared" si="4"/>
        <v>-0.18000000000000002</v>
      </c>
      <c r="I22" s="1310">
        <v>266904.05</v>
      </c>
      <c r="J22" s="1311">
        <v>0</v>
      </c>
      <c r="K22" s="1311">
        <v>266904.05</v>
      </c>
      <c r="L22" s="1311">
        <v>0</v>
      </c>
      <c r="M22" s="1311">
        <v>-0.14000000000000001</v>
      </c>
      <c r="N22" s="1312">
        <v>533807.96</v>
      </c>
      <c r="O22" s="1310">
        <v>55613.81</v>
      </c>
      <c r="P22" s="1311">
        <v>0</v>
      </c>
      <c r="Q22" s="1311">
        <v>55613.81</v>
      </c>
      <c r="R22" s="1311">
        <v>0</v>
      </c>
      <c r="S22" s="1311">
        <v>-0.04</v>
      </c>
      <c r="T22" s="1313">
        <v>111227.58</v>
      </c>
      <c r="U22" s="1310">
        <v>0</v>
      </c>
      <c r="V22" s="1311">
        <v>0</v>
      </c>
      <c r="W22" s="1311">
        <v>66970.87</v>
      </c>
      <c r="X22" s="1311">
        <v>0</v>
      </c>
      <c r="Y22" s="1311">
        <v>0</v>
      </c>
      <c r="Z22" s="1313">
        <v>66970.87</v>
      </c>
      <c r="AA22" s="1303"/>
      <c r="AB22" s="1299"/>
      <c r="AC22" s="1299"/>
      <c r="AD22" s="1299"/>
      <c r="AE22" s="1299"/>
      <c r="AF22" s="1304"/>
      <c r="AG22" s="1310">
        <v>0</v>
      </c>
      <c r="AH22" s="1311">
        <v>0</v>
      </c>
      <c r="AI22" s="1311">
        <v>1341608.81</v>
      </c>
      <c r="AJ22" s="1311">
        <v>504328.34</v>
      </c>
      <c r="AK22" s="1299"/>
      <c r="AL22" s="1313">
        <v>1845937.15</v>
      </c>
    </row>
    <row r="23" spans="1:38" s="666" customFormat="1">
      <c r="A23" s="1308" t="s">
        <v>49</v>
      </c>
      <c r="B23" s="1309" t="s">
        <v>276</v>
      </c>
      <c r="C23" s="1148" t="s">
        <v>273</v>
      </c>
      <c r="D23" s="1291">
        <f t="shared" si="1"/>
        <v>3959.66</v>
      </c>
      <c r="E23" s="1218">
        <f t="shared" si="2"/>
        <v>141078.03</v>
      </c>
      <c r="F23" s="1218">
        <f t="shared" si="3"/>
        <v>55443.18</v>
      </c>
      <c r="G23" s="1218">
        <f t="shared" si="4"/>
        <v>55376.2</v>
      </c>
      <c r="H23" s="1305">
        <f t="shared" si="4"/>
        <v>66.98</v>
      </c>
      <c r="I23" s="1303"/>
      <c r="J23" s="1299"/>
      <c r="K23" s="1299"/>
      <c r="L23" s="1299"/>
      <c r="M23" s="1299"/>
      <c r="N23" s="1306"/>
      <c r="O23" s="1310">
        <v>3410</v>
      </c>
      <c r="P23" s="1311">
        <v>0</v>
      </c>
      <c r="Q23" s="1311">
        <v>3410</v>
      </c>
      <c r="R23" s="1311">
        <v>0</v>
      </c>
      <c r="S23" s="1311">
        <v>67</v>
      </c>
      <c r="T23" s="1313">
        <v>6887</v>
      </c>
      <c r="U23" s="1310">
        <v>549.66</v>
      </c>
      <c r="V23" s="1311">
        <v>0</v>
      </c>
      <c r="W23" s="1311">
        <v>6789.31</v>
      </c>
      <c r="X23" s="1311">
        <v>0</v>
      </c>
      <c r="Y23" s="1311">
        <v>-0.02</v>
      </c>
      <c r="Z23" s="1313">
        <v>7338.95</v>
      </c>
      <c r="AA23" s="1303"/>
      <c r="AB23" s="1299"/>
      <c r="AC23" s="1299"/>
      <c r="AD23" s="1299"/>
      <c r="AE23" s="1299"/>
      <c r="AF23" s="1304"/>
      <c r="AG23" s="1310">
        <v>0</v>
      </c>
      <c r="AH23" s="1311">
        <v>0</v>
      </c>
      <c r="AI23" s="1311">
        <v>130878.72</v>
      </c>
      <c r="AJ23" s="1311">
        <v>55376.2</v>
      </c>
      <c r="AK23" s="1299"/>
      <c r="AL23" s="1313">
        <v>186254.92</v>
      </c>
    </row>
    <row r="24" spans="1:38" s="666" customFormat="1">
      <c r="A24" s="1308" t="s">
        <v>51</v>
      </c>
      <c r="B24" s="1309" t="s">
        <v>52</v>
      </c>
      <c r="C24" s="1148" t="s">
        <v>272</v>
      </c>
      <c r="D24" s="1291">
        <f t="shared" si="1"/>
        <v>124572.1</v>
      </c>
      <c r="E24" s="1218">
        <f t="shared" si="2"/>
        <v>680938.67999999993</v>
      </c>
      <c r="F24" s="1218">
        <f t="shared" si="3"/>
        <v>142680.82999999999</v>
      </c>
      <c r="G24" s="1218">
        <f t="shared" si="4"/>
        <v>142680.9</v>
      </c>
      <c r="H24" s="1305">
        <f t="shared" si="4"/>
        <v>-6.9999999999999993E-2</v>
      </c>
      <c r="I24" s="1310">
        <v>78032.59</v>
      </c>
      <c r="J24" s="1311">
        <v>0</v>
      </c>
      <c r="K24" s="1311">
        <v>78032.59</v>
      </c>
      <c r="L24" s="1311">
        <v>0</v>
      </c>
      <c r="M24" s="1311">
        <v>-0.06</v>
      </c>
      <c r="N24" s="1312">
        <v>156065.12</v>
      </c>
      <c r="O24" s="1310">
        <v>46539.51</v>
      </c>
      <c r="P24" s="1311">
        <v>0</v>
      </c>
      <c r="Q24" s="1311">
        <v>46539.51</v>
      </c>
      <c r="R24" s="1311">
        <v>0</v>
      </c>
      <c r="S24" s="1311">
        <v>-0.01</v>
      </c>
      <c r="T24" s="1313">
        <v>93079.01</v>
      </c>
      <c r="U24" s="1303"/>
      <c r="V24" s="1299"/>
      <c r="W24" s="1299"/>
      <c r="X24" s="1299"/>
      <c r="Y24" s="1299"/>
      <c r="Z24" s="1304"/>
      <c r="AA24" s="1303"/>
      <c r="AB24" s="1299"/>
      <c r="AC24" s="1299"/>
      <c r="AD24" s="1299"/>
      <c r="AE24" s="1299"/>
      <c r="AF24" s="1304"/>
      <c r="AG24" s="1310">
        <v>0</v>
      </c>
      <c r="AH24" s="1311">
        <v>0</v>
      </c>
      <c r="AI24" s="1311">
        <v>556366.57999999996</v>
      </c>
      <c r="AJ24" s="1311">
        <v>142680.9</v>
      </c>
      <c r="AK24" s="1299"/>
      <c r="AL24" s="1313">
        <v>699047.48</v>
      </c>
    </row>
    <row r="25" spans="1:38" s="666" customFormat="1">
      <c r="A25" s="1308" t="s">
        <v>57</v>
      </c>
      <c r="B25" s="1309" t="s">
        <v>305</v>
      </c>
      <c r="C25" s="1148" t="s">
        <v>273</v>
      </c>
      <c r="D25" s="1291">
        <f t="shared" si="1"/>
        <v>926586.43</v>
      </c>
      <c r="E25" s="1218">
        <f t="shared" si="2"/>
        <v>6086441.5899999999</v>
      </c>
      <c r="F25" s="1218">
        <f t="shared" si="3"/>
        <v>2594294.2800000003</v>
      </c>
      <c r="G25" s="1218">
        <f t="shared" si="4"/>
        <v>2574578.39</v>
      </c>
      <c r="H25" s="1305">
        <f t="shared" si="4"/>
        <v>19715.89</v>
      </c>
      <c r="I25" s="1310">
        <v>229911.12999999998</v>
      </c>
      <c r="J25" s="1311">
        <v>0</v>
      </c>
      <c r="K25" s="1311">
        <v>229911.12999999998</v>
      </c>
      <c r="L25" s="1311">
        <v>0</v>
      </c>
      <c r="M25" s="1311">
        <v>1497.71</v>
      </c>
      <c r="N25" s="1312">
        <v>461319.97000000003</v>
      </c>
      <c r="O25" s="1310">
        <v>638506.02</v>
      </c>
      <c r="P25" s="1311">
        <v>0</v>
      </c>
      <c r="Q25" s="1311">
        <v>638506.02</v>
      </c>
      <c r="R25" s="1311">
        <v>0</v>
      </c>
      <c r="S25" s="1311">
        <v>18218.189999999999</v>
      </c>
      <c r="T25" s="1313">
        <v>1295230.23</v>
      </c>
      <c r="U25" s="1310">
        <v>58169.279999999999</v>
      </c>
      <c r="V25" s="1311">
        <v>0</v>
      </c>
      <c r="W25" s="1311">
        <v>1037708.18</v>
      </c>
      <c r="X25" s="1311">
        <v>0</v>
      </c>
      <c r="Y25" s="1311">
        <v>-0.01</v>
      </c>
      <c r="Z25" s="1313">
        <v>1095877.45</v>
      </c>
      <c r="AA25" s="1303"/>
      <c r="AB25" s="1299"/>
      <c r="AC25" s="1299"/>
      <c r="AD25" s="1299"/>
      <c r="AE25" s="1299"/>
      <c r="AF25" s="1304"/>
      <c r="AG25" s="1310">
        <v>0</v>
      </c>
      <c r="AH25" s="1311">
        <v>0</v>
      </c>
      <c r="AI25" s="1311">
        <v>4180316.26</v>
      </c>
      <c r="AJ25" s="1311">
        <v>2574578.39</v>
      </c>
      <c r="AK25" s="1299"/>
      <c r="AL25" s="1313">
        <v>6754894.6500000004</v>
      </c>
    </row>
    <row r="26" spans="1:38" s="666" customFormat="1">
      <c r="A26" s="1308" t="s">
        <v>59</v>
      </c>
      <c r="B26" s="1309" t="s">
        <v>60</v>
      </c>
      <c r="C26" s="1148" t="s">
        <v>274</v>
      </c>
      <c r="D26" s="1291">
        <f t="shared" si="1"/>
        <v>23454.2</v>
      </c>
      <c r="E26" s="1218">
        <f t="shared" si="2"/>
        <v>513511.01</v>
      </c>
      <c r="F26" s="1218">
        <f t="shared" si="3"/>
        <v>348773.65</v>
      </c>
      <c r="G26" s="1218">
        <f t="shared" si="4"/>
        <v>348247.46</v>
      </c>
      <c r="H26" s="1305">
        <f t="shared" si="4"/>
        <v>526.19000000000005</v>
      </c>
      <c r="I26" s="1310">
        <v>15063.51</v>
      </c>
      <c r="J26" s="1311">
        <v>0</v>
      </c>
      <c r="K26" s="1311">
        <v>15063.51</v>
      </c>
      <c r="L26" s="1311">
        <v>0</v>
      </c>
      <c r="M26" s="1311">
        <v>526.19000000000005</v>
      </c>
      <c r="N26" s="1312">
        <v>30653.21</v>
      </c>
      <c r="O26" s="1310">
        <v>3996</v>
      </c>
      <c r="P26" s="1311">
        <v>0</v>
      </c>
      <c r="Q26" s="1311">
        <v>3996</v>
      </c>
      <c r="R26" s="1311">
        <v>0</v>
      </c>
      <c r="S26" s="1311">
        <v>0</v>
      </c>
      <c r="T26" s="1313">
        <v>7992</v>
      </c>
      <c r="U26" s="1310">
        <v>4394.6899999999996</v>
      </c>
      <c r="V26" s="1311">
        <v>0</v>
      </c>
      <c r="W26" s="1311">
        <v>125117.14</v>
      </c>
      <c r="X26" s="1311">
        <v>0</v>
      </c>
      <c r="Y26" s="1311">
        <v>0</v>
      </c>
      <c r="Z26" s="1313">
        <v>129511.83</v>
      </c>
      <c r="AA26" s="1303"/>
      <c r="AB26" s="1299"/>
      <c r="AC26" s="1299"/>
      <c r="AD26" s="1299"/>
      <c r="AE26" s="1299"/>
      <c r="AF26" s="1304"/>
      <c r="AG26" s="1310">
        <v>0</v>
      </c>
      <c r="AH26" s="1311">
        <v>0</v>
      </c>
      <c r="AI26" s="1311">
        <v>369334.36</v>
      </c>
      <c r="AJ26" s="1311">
        <v>348247.46</v>
      </c>
      <c r="AK26" s="1299"/>
      <c r="AL26" s="1313">
        <v>717581.82</v>
      </c>
    </row>
    <row r="27" spans="1:38" s="666" customFormat="1">
      <c r="A27" s="1308" t="s">
        <v>61</v>
      </c>
      <c r="B27" s="1309" t="s">
        <v>62</v>
      </c>
      <c r="C27" s="1148" t="s">
        <v>272</v>
      </c>
      <c r="D27" s="1291">
        <f t="shared" si="1"/>
        <v>10735.99</v>
      </c>
      <c r="E27" s="1218">
        <f t="shared" si="2"/>
        <v>433502.1</v>
      </c>
      <c r="F27" s="1218">
        <f t="shared" si="3"/>
        <v>164595.32</v>
      </c>
      <c r="G27" s="1218">
        <f t="shared" si="4"/>
        <v>163099.82</v>
      </c>
      <c r="H27" s="1305">
        <f t="shared" si="4"/>
        <v>1495.5</v>
      </c>
      <c r="I27" s="1310">
        <v>5659.39</v>
      </c>
      <c r="J27" s="1311">
        <v>0</v>
      </c>
      <c r="K27" s="1311">
        <v>5659.39</v>
      </c>
      <c r="L27" s="1311">
        <v>0</v>
      </c>
      <c r="M27" s="1311">
        <v>-0.05</v>
      </c>
      <c r="N27" s="1312">
        <v>11318.73</v>
      </c>
      <c r="O27" s="1310">
        <v>4743.41</v>
      </c>
      <c r="P27" s="1311">
        <v>0</v>
      </c>
      <c r="Q27" s="1311">
        <v>4743.41</v>
      </c>
      <c r="R27" s="1311">
        <v>0</v>
      </c>
      <c r="S27" s="1311">
        <v>1495.55</v>
      </c>
      <c r="T27" s="1313">
        <v>10982.37</v>
      </c>
      <c r="U27" s="1310">
        <v>333.19</v>
      </c>
      <c r="V27" s="1311">
        <v>0</v>
      </c>
      <c r="W27" s="1311">
        <v>10535.81</v>
      </c>
      <c r="X27" s="1311">
        <v>0</v>
      </c>
      <c r="Y27" s="1311">
        <v>0</v>
      </c>
      <c r="Z27" s="1313">
        <v>10869</v>
      </c>
      <c r="AA27" s="1303"/>
      <c r="AB27" s="1299"/>
      <c r="AC27" s="1299"/>
      <c r="AD27" s="1299"/>
      <c r="AE27" s="1299"/>
      <c r="AF27" s="1304"/>
      <c r="AG27" s="1310">
        <v>0</v>
      </c>
      <c r="AH27" s="1311">
        <v>0</v>
      </c>
      <c r="AI27" s="1311">
        <v>412563.49</v>
      </c>
      <c r="AJ27" s="1311">
        <v>163099.82</v>
      </c>
      <c r="AK27" s="1299"/>
      <c r="AL27" s="1313">
        <v>575663.31000000006</v>
      </c>
    </row>
    <row r="28" spans="1:38" s="666" customFormat="1">
      <c r="A28" s="1308" t="s">
        <v>63</v>
      </c>
      <c r="B28" s="1309" t="s">
        <v>64</v>
      </c>
      <c r="C28" s="1148" t="s">
        <v>274</v>
      </c>
      <c r="D28" s="1291">
        <f t="shared" si="1"/>
        <v>496153.83</v>
      </c>
      <c r="E28" s="1218">
        <f t="shared" si="2"/>
        <v>3152747.7300000004</v>
      </c>
      <c r="F28" s="1218">
        <f t="shared" si="3"/>
        <v>1173052.78</v>
      </c>
      <c r="G28" s="1218">
        <f t="shared" si="4"/>
        <v>1173052.98</v>
      </c>
      <c r="H28" s="1305">
        <f t="shared" si="4"/>
        <v>-0.2</v>
      </c>
      <c r="I28" s="1310">
        <v>243104.67</v>
      </c>
      <c r="J28" s="1311">
        <v>0</v>
      </c>
      <c r="K28" s="1311">
        <v>243104.67</v>
      </c>
      <c r="L28" s="1311">
        <v>0</v>
      </c>
      <c r="M28" s="1311">
        <v>-0.14000000000000001</v>
      </c>
      <c r="N28" s="1312">
        <v>486209.2</v>
      </c>
      <c r="O28" s="1310">
        <v>247549.34</v>
      </c>
      <c r="P28" s="1311">
        <v>0</v>
      </c>
      <c r="Q28" s="1311">
        <v>247549.34</v>
      </c>
      <c r="R28" s="1311">
        <v>0</v>
      </c>
      <c r="S28" s="1311">
        <v>-0.03</v>
      </c>
      <c r="T28" s="1313">
        <v>495098.65</v>
      </c>
      <c r="U28" s="1310">
        <v>5499.82</v>
      </c>
      <c r="V28" s="1311">
        <v>0</v>
      </c>
      <c r="W28" s="1311">
        <v>258576.81</v>
      </c>
      <c r="X28" s="1311">
        <v>0</v>
      </c>
      <c r="Y28" s="1311">
        <v>-0.03</v>
      </c>
      <c r="Z28" s="1313">
        <v>264076.59999999998</v>
      </c>
      <c r="AA28" s="1303"/>
      <c r="AB28" s="1299"/>
      <c r="AC28" s="1299"/>
      <c r="AD28" s="1299"/>
      <c r="AE28" s="1299"/>
      <c r="AF28" s="1304"/>
      <c r="AG28" s="1310">
        <v>0</v>
      </c>
      <c r="AH28" s="1311">
        <v>0</v>
      </c>
      <c r="AI28" s="1311">
        <v>2403516.91</v>
      </c>
      <c r="AJ28" s="1311">
        <v>1173052.98</v>
      </c>
      <c r="AK28" s="1299"/>
      <c r="AL28" s="1313">
        <v>3576569.89</v>
      </c>
    </row>
    <row r="29" spans="1:38" s="666" customFormat="1">
      <c r="A29" s="1308" t="s">
        <v>65</v>
      </c>
      <c r="B29" s="1309" t="s">
        <v>66</v>
      </c>
      <c r="C29" s="1148" t="s">
        <v>273</v>
      </c>
      <c r="D29" s="1291">
        <f t="shared" si="1"/>
        <v>48738.479999999996</v>
      </c>
      <c r="E29" s="1218">
        <f t="shared" si="2"/>
        <v>398618.24</v>
      </c>
      <c r="F29" s="1218">
        <f t="shared" si="3"/>
        <v>157649.01</v>
      </c>
      <c r="G29" s="1218">
        <f t="shared" si="4"/>
        <v>157649.04</v>
      </c>
      <c r="H29" s="1305">
        <f t="shared" si="4"/>
        <v>-0.03</v>
      </c>
      <c r="I29" s="1310">
        <v>20556.47</v>
      </c>
      <c r="J29" s="1311">
        <v>0</v>
      </c>
      <c r="K29" s="1311">
        <v>20556.47</v>
      </c>
      <c r="L29" s="1311">
        <v>0</v>
      </c>
      <c r="M29" s="1311">
        <v>-0.01</v>
      </c>
      <c r="N29" s="1312">
        <v>41112.93</v>
      </c>
      <c r="O29" s="1310">
        <v>28182.01</v>
      </c>
      <c r="P29" s="1311">
        <v>0</v>
      </c>
      <c r="Q29" s="1311">
        <v>28182.01</v>
      </c>
      <c r="R29" s="1311">
        <v>0</v>
      </c>
      <c r="S29" s="1311">
        <v>-0.02</v>
      </c>
      <c r="T29" s="1313">
        <v>56364</v>
      </c>
      <c r="U29" s="1303"/>
      <c r="V29" s="1299"/>
      <c r="W29" s="1299"/>
      <c r="X29" s="1299"/>
      <c r="Y29" s="1299"/>
      <c r="Z29" s="1304"/>
      <c r="AA29" s="1303"/>
      <c r="AB29" s="1299"/>
      <c r="AC29" s="1299"/>
      <c r="AD29" s="1299"/>
      <c r="AE29" s="1299"/>
      <c r="AF29" s="1304"/>
      <c r="AG29" s="1310">
        <v>0</v>
      </c>
      <c r="AH29" s="1311">
        <v>0</v>
      </c>
      <c r="AI29" s="1311">
        <v>349879.76</v>
      </c>
      <c r="AJ29" s="1311">
        <v>157649.04</v>
      </c>
      <c r="AK29" s="1299"/>
      <c r="AL29" s="1313">
        <v>507528.8</v>
      </c>
    </row>
    <row r="30" spans="1:38" s="666" customFormat="1">
      <c r="A30" s="1308" t="s">
        <v>69</v>
      </c>
      <c r="B30" s="1309" t="s">
        <v>70</v>
      </c>
      <c r="C30" s="1148" t="s">
        <v>275</v>
      </c>
      <c r="D30" s="1291">
        <f t="shared" si="1"/>
        <v>625322.47</v>
      </c>
      <c r="E30" s="1218">
        <f t="shared" si="2"/>
        <v>2119162.42</v>
      </c>
      <c r="F30" s="1218">
        <f t="shared" si="3"/>
        <v>364509.01999999996</v>
      </c>
      <c r="G30" s="1218">
        <f t="shared" si="4"/>
        <v>364509.23</v>
      </c>
      <c r="H30" s="1305">
        <f t="shared" si="4"/>
        <v>-0.21</v>
      </c>
      <c r="I30" s="1310">
        <v>247889.79</v>
      </c>
      <c r="J30" s="1311">
        <v>0</v>
      </c>
      <c r="K30" s="1311">
        <v>247889.79</v>
      </c>
      <c r="L30" s="1311">
        <v>0</v>
      </c>
      <c r="M30" s="1311">
        <v>-0.21</v>
      </c>
      <c r="N30" s="1312">
        <v>495779.37</v>
      </c>
      <c r="O30" s="1310">
        <v>354810.71</v>
      </c>
      <c r="P30" s="1311">
        <v>0</v>
      </c>
      <c r="Q30" s="1311">
        <v>354810.71</v>
      </c>
      <c r="R30" s="1311">
        <v>0</v>
      </c>
      <c r="S30" s="1311">
        <v>0</v>
      </c>
      <c r="T30" s="1313">
        <v>709621.42</v>
      </c>
      <c r="U30" s="1310">
        <v>22621.97</v>
      </c>
      <c r="V30" s="1311">
        <v>0</v>
      </c>
      <c r="W30" s="1311">
        <v>538080.67000000004</v>
      </c>
      <c r="X30" s="1311">
        <v>0</v>
      </c>
      <c r="Y30" s="1311">
        <v>0</v>
      </c>
      <c r="Z30" s="1313">
        <v>560702.64</v>
      </c>
      <c r="AA30" s="1303"/>
      <c r="AB30" s="1299"/>
      <c r="AC30" s="1299"/>
      <c r="AD30" s="1299"/>
      <c r="AE30" s="1299"/>
      <c r="AF30" s="1304"/>
      <c r="AG30" s="1310">
        <v>0</v>
      </c>
      <c r="AH30" s="1311">
        <v>0</v>
      </c>
      <c r="AI30" s="1311">
        <v>978381.25</v>
      </c>
      <c r="AJ30" s="1311">
        <v>364509.23</v>
      </c>
      <c r="AK30" s="1299"/>
      <c r="AL30" s="1313">
        <v>1342890.48</v>
      </c>
    </row>
    <row r="31" spans="1:38" s="666" customFormat="1">
      <c r="A31" s="1308" t="s">
        <v>71</v>
      </c>
      <c r="B31" s="1309" t="s">
        <v>72</v>
      </c>
      <c r="C31" s="1148" t="s">
        <v>271</v>
      </c>
      <c r="D31" s="1291">
        <f t="shared" si="1"/>
        <v>178175.35</v>
      </c>
      <c r="E31" s="1218">
        <f t="shared" si="2"/>
        <v>765786.08000000007</v>
      </c>
      <c r="F31" s="1218">
        <f t="shared" si="3"/>
        <v>308492.65000000002</v>
      </c>
      <c r="G31" s="1218">
        <f t="shared" si="4"/>
        <v>295843.65000000002</v>
      </c>
      <c r="H31" s="1305">
        <f t="shared" si="4"/>
        <v>12649</v>
      </c>
      <c r="I31" s="1310">
        <v>120523.33</v>
      </c>
      <c r="J31" s="1311">
        <v>0</v>
      </c>
      <c r="K31" s="1311">
        <v>120523.33</v>
      </c>
      <c r="L31" s="1311">
        <v>0</v>
      </c>
      <c r="M31" s="1311">
        <v>11790.1</v>
      </c>
      <c r="N31" s="1312">
        <v>252836.76</v>
      </c>
      <c r="O31" s="1310">
        <v>57199.15</v>
      </c>
      <c r="P31" s="1311">
        <v>0</v>
      </c>
      <c r="Q31" s="1311">
        <v>57199.15</v>
      </c>
      <c r="R31" s="1311">
        <v>0</v>
      </c>
      <c r="S31" s="1311">
        <v>858.9</v>
      </c>
      <c r="T31" s="1313">
        <v>115257.2</v>
      </c>
      <c r="U31" s="1310">
        <v>452.87</v>
      </c>
      <c r="V31" s="1311">
        <v>0</v>
      </c>
      <c r="W31" s="1311">
        <v>16573.830000000002</v>
      </c>
      <c r="X31" s="1311">
        <v>0</v>
      </c>
      <c r="Y31" s="1311">
        <v>0</v>
      </c>
      <c r="Z31" s="1313">
        <v>17026.7</v>
      </c>
      <c r="AA31" s="1303"/>
      <c r="AB31" s="1299"/>
      <c r="AC31" s="1299"/>
      <c r="AD31" s="1299"/>
      <c r="AE31" s="1299"/>
      <c r="AF31" s="1304"/>
      <c r="AG31" s="1310">
        <v>0</v>
      </c>
      <c r="AH31" s="1311">
        <v>0</v>
      </c>
      <c r="AI31" s="1311">
        <v>571489.77</v>
      </c>
      <c r="AJ31" s="1311">
        <v>295843.65000000002</v>
      </c>
      <c r="AK31" s="1299"/>
      <c r="AL31" s="1313">
        <v>867333.42</v>
      </c>
    </row>
    <row r="32" spans="1:38" s="666" customFormat="1">
      <c r="A32" s="1308" t="s">
        <v>73</v>
      </c>
      <c r="B32" s="1309" t="s">
        <v>74</v>
      </c>
      <c r="C32" s="1148" t="s">
        <v>273</v>
      </c>
      <c r="D32" s="1291">
        <f t="shared" si="1"/>
        <v>61843.93</v>
      </c>
      <c r="E32" s="1218">
        <f t="shared" si="2"/>
        <v>304046.21999999997</v>
      </c>
      <c r="F32" s="1218">
        <f t="shared" si="3"/>
        <v>133191.65</v>
      </c>
      <c r="G32" s="1218">
        <f t="shared" si="4"/>
        <v>133191.66</v>
      </c>
      <c r="H32" s="1305">
        <f t="shared" si="4"/>
        <v>-0.01</v>
      </c>
      <c r="I32" s="1310">
        <v>18541.68</v>
      </c>
      <c r="J32" s="1311">
        <v>0</v>
      </c>
      <c r="K32" s="1311">
        <v>18541.68</v>
      </c>
      <c r="L32" s="1311">
        <v>0</v>
      </c>
      <c r="M32" s="1311">
        <v>-0.01</v>
      </c>
      <c r="N32" s="1312">
        <v>37083.35</v>
      </c>
      <c r="O32" s="1310">
        <v>43164.09</v>
      </c>
      <c r="P32" s="1311">
        <v>0</v>
      </c>
      <c r="Q32" s="1311">
        <v>43164.09</v>
      </c>
      <c r="R32" s="1311">
        <v>0</v>
      </c>
      <c r="S32" s="1311">
        <v>0</v>
      </c>
      <c r="T32" s="1313">
        <v>86328.18</v>
      </c>
      <c r="U32" s="1310">
        <v>138.16</v>
      </c>
      <c r="V32" s="1311">
        <v>0</v>
      </c>
      <c r="W32" s="1311">
        <v>26391.84</v>
      </c>
      <c r="X32" s="1311">
        <v>0</v>
      </c>
      <c r="Y32" s="1311">
        <v>0</v>
      </c>
      <c r="Z32" s="1313">
        <v>26530</v>
      </c>
      <c r="AA32" s="1303"/>
      <c r="AB32" s="1299"/>
      <c r="AC32" s="1299"/>
      <c r="AD32" s="1299"/>
      <c r="AE32" s="1299"/>
      <c r="AF32" s="1304"/>
      <c r="AG32" s="1310">
        <v>0</v>
      </c>
      <c r="AH32" s="1311">
        <v>0</v>
      </c>
      <c r="AI32" s="1311">
        <v>215948.61</v>
      </c>
      <c r="AJ32" s="1311">
        <v>133191.66</v>
      </c>
      <c r="AK32" s="1299"/>
      <c r="AL32" s="1313">
        <v>349140.27</v>
      </c>
    </row>
    <row r="33" spans="1:38" s="666" customFormat="1">
      <c r="A33" s="1308" t="s">
        <v>75</v>
      </c>
      <c r="B33" s="1309" t="s">
        <v>312</v>
      </c>
      <c r="C33" s="1148" t="s">
        <v>274</v>
      </c>
      <c r="D33" s="1291">
        <f t="shared" si="1"/>
        <v>2921790.0700000003</v>
      </c>
      <c r="E33" s="1218">
        <f t="shared" si="2"/>
        <v>30301252.540000003</v>
      </c>
      <c r="F33" s="1218">
        <f t="shared" si="3"/>
        <v>19118685.919999998</v>
      </c>
      <c r="G33" s="1218">
        <f t="shared" si="4"/>
        <v>19102916.359999999</v>
      </c>
      <c r="H33" s="1305">
        <f t="shared" si="4"/>
        <v>15769.560000000001</v>
      </c>
      <c r="I33" s="1310">
        <v>799741.01</v>
      </c>
      <c r="J33" s="1311">
        <v>0</v>
      </c>
      <c r="K33" s="1311">
        <v>799741.01</v>
      </c>
      <c r="L33" s="1311">
        <v>0</v>
      </c>
      <c r="M33" s="1311">
        <v>-0.38</v>
      </c>
      <c r="N33" s="1312">
        <v>1599481.64</v>
      </c>
      <c r="O33" s="1310">
        <v>1967438.56</v>
      </c>
      <c r="P33" s="1311">
        <v>0</v>
      </c>
      <c r="Q33" s="1311">
        <v>1967438.56</v>
      </c>
      <c r="R33" s="1311">
        <v>0</v>
      </c>
      <c r="S33" s="1311">
        <v>15769.94</v>
      </c>
      <c r="T33" s="1313">
        <v>3950647.06</v>
      </c>
      <c r="U33" s="1310">
        <v>154610.5</v>
      </c>
      <c r="V33" s="1311">
        <v>0</v>
      </c>
      <c r="W33" s="1311">
        <v>4521701.37</v>
      </c>
      <c r="X33" s="1311">
        <v>0</v>
      </c>
      <c r="Y33" s="1311">
        <v>0</v>
      </c>
      <c r="Z33" s="1313">
        <v>4676311.87</v>
      </c>
      <c r="AA33" s="1303"/>
      <c r="AB33" s="1299"/>
      <c r="AC33" s="1299"/>
      <c r="AD33" s="1299"/>
      <c r="AE33" s="1299"/>
      <c r="AF33" s="1304"/>
      <c r="AG33" s="1310">
        <v>0</v>
      </c>
      <c r="AH33" s="1311">
        <v>0</v>
      </c>
      <c r="AI33" s="1311">
        <v>23012371.600000001</v>
      </c>
      <c r="AJ33" s="1311">
        <v>19102916.359999999</v>
      </c>
      <c r="AK33" s="1299"/>
      <c r="AL33" s="1313">
        <v>42115287.960000001</v>
      </c>
    </row>
    <row r="34" spans="1:38" s="666" customFormat="1">
      <c r="A34" s="1308" t="s">
        <v>77</v>
      </c>
      <c r="B34" s="1309" t="s">
        <v>78</v>
      </c>
      <c r="C34" s="1148" t="s">
        <v>274</v>
      </c>
      <c r="D34" s="1291">
        <f t="shared" si="1"/>
        <v>496369.74</v>
      </c>
      <c r="E34" s="1218">
        <f t="shared" si="2"/>
        <v>2507421.92</v>
      </c>
      <c r="F34" s="1218">
        <f t="shared" si="3"/>
        <v>1530082.75</v>
      </c>
      <c r="G34" s="1218">
        <f t="shared" si="4"/>
        <v>1530082.87</v>
      </c>
      <c r="H34" s="1305">
        <f t="shared" si="4"/>
        <v>-0.12000000000000001</v>
      </c>
      <c r="I34" s="1310">
        <v>397349.24</v>
      </c>
      <c r="J34" s="1311">
        <v>0</v>
      </c>
      <c r="K34" s="1311">
        <v>397349.24</v>
      </c>
      <c r="L34" s="1311">
        <v>0</v>
      </c>
      <c r="M34" s="1311">
        <v>-0.11</v>
      </c>
      <c r="N34" s="1312">
        <v>794698.37</v>
      </c>
      <c r="O34" s="1310">
        <v>96466.18</v>
      </c>
      <c r="P34" s="1311">
        <v>0</v>
      </c>
      <c r="Q34" s="1311">
        <v>96466.18</v>
      </c>
      <c r="R34" s="1311">
        <v>0</v>
      </c>
      <c r="S34" s="1311">
        <v>0.01</v>
      </c>
      <c r="T34" s="1313">
        <v>192932.37</v>
      </c>
      <c r="U34" s="1310">
        <v>2554.3200000000002</v>
      </c>
      <c r="V34" s="1311">
        <v>0</v>
      </c>
      <c r="W34" s="1311">
        <v>85488.7</v>
      </c>
      <c r="X34" s="1311">
        <v>0</v>
      </c>
      <c r="Y34" s="1311">
        <v>-0.02</v>
      </c>
      <c r="Z34" s="1313">
        <v>88043</v>
      </c>
      <c r="AA34" s="1303"/>
      <c r="AB34" s="1299"/>
      <c r="AC34" s="1299"/>
      <c r="AD34" s="1299"/>
      <c r="AE34" s="1299"/>
      <c r="AF34" s="1304"/>
      <c r="AG34" s="1310">
        <v>0</v>
      </c>
      <c r="AH34" s="1311">
        <v>0</v>
      </c>
      <c r="AI34" s="1311">
        <v>1928117.8</v>
      </c>
      <c r="AJ34" s="1311">
        <v>1530082.87</v>
      </c>
      <c r="AK34" s="1299"/>
      <c r="AL34" s="1313">
        <v>3458200.67</v>
      </c>
    </row>
    <row r="35" spans="1:38" s="666" customFormat="1">
      <c r="A35" s="1308" t="s">
        <v>79</v>
      </c>
      <c r="B35" s="1309" t="s">
        <v>80</v>
      </c>
      <c r="C35" s="1148" t="s">
        <v>275</v>
      </c>
      <c r="D35" s="1291">
        <f t="shared" si="1"/>
        <v>57369.51</v>
      </c>
      <c r="E35" s="1218">
        <f t="shared" si="2"/>
        <v>382028.38</v>
      </c>
      <c r="F35" s="1218">
        <f t="shared" si="3"/>
        <v>90050.57</v>
      </c>
      <c r="G35" s="1218">
        <f t="shared" si="4"/>
        <v>83399.39</v>
      </c>
      <c r="H35" s="1305">
        <f t="shared" si="4"/>
        <v>6651.18</v>
      </c>
      <c r="I35" s="1310">
        <v>55654.51</v>
      </c>
      <c r="J35" s="1311">
        <v>0</v>
      </c>
      <c r="K35" s="1311">
        <v>55654.51</v>
      </c>
      <c r="L35" s="1311">
        <v>0</v>
      </c>
      <c r="M35" s="1311">
        <v>6651.18</v>
      </c>
      <c r="N35" s="1312">
        <v>117960.2</v>
      </c>
      <c r="O35" s="1310">
        <v>1715</v>
      </c>
      <c r="P35" s="1311">
        <v>0</v>
      </c>
      <c r="Q35" s="1311">
        <v>1715</v>
      </c>
      <c r="R35" s="1311">
        <v>0</v>
      </c>
      <c r="S35" s="1311">
        <v>0</v>
      </c>
      <c r="T35" s="1313">
        <v>3430</v>
      </c>
      <c r="U35" s="1303"/>
      <c r="V35" s="1299"/>
      <c r="W35" s="1299"/>
      <c r="X35" s="1299"/>
      <c r="Y35" s="1299"/>
      <c r="Z35" s="1304"/>
      <c r="AA35" s="1303"/>
      <c r="AB35" s="1299"/>
      <c r="AC35" s="1299"/>
      <c r="AD35" s="1299"/>
      <c r="AE35" s="1299"/>
      <c r="AF35" s="1304"/>
      <c r="AG35" s="1310">
        <v>0</v>
      </c>
      <c r="AH35" s="1311">
        <v>0</v>
      </c>
      <c r="AI35" s="1311">
        <v>324658.87</v>
      </c>
      <c r="AJ35" s="1311">
        <v>83399.39</v>
      </c>
      <c r="AK35" s="1299"/>
      <c r="AL35" s="1313">
        <v>408058.26</v>
      </c>
    </row>
    <row r="36" spans="1:38" s="666" customFormat="1">
      <c r="A36" s="1308" t="s">
        <v>81</v>
      </c>
      <c r="B36" s="1309" t="s">
        <v>82</v>
      </c>
      <c r="C36" s="1148" t="s">
        <v>273</v>
      </c>
      <c r="D36" s="1291">
        <f t="shared" si="1"/>
        <v>113428.75</v>
      </c>
      <c r="E36" s="1218">
        <f t="shared" si="2"/>
        <v>1762222.04</v>
      </c>
      <c r="F36" s="1218">
        <f t="shared" si="3"/>
        <v>811985.65999999992</v>
      </c>
      <c r="G36" s="1218">
        <f t="shared" si="4"/>
        <v>811985.71</v>
      </c>
      <c r="H36" s="1305">
        <f t="shared" si="4"/>
        <v>-0.05</v>
      </c>
      <c r="I36" s="1310">
        <v>42335.81</v>
      </c>
      <c r="J36" s="1311">
        <v>0</v>
      </c>
      <c r="K36" s="1311">
        <v>42335.81</v>
      </c>
      <c r="L36" s="1311">
        <v>0</v>
      </c>
      <c r="M36" s="1311">
        <v>-0.05</v>
      </c>
      <c r="N36" s="1312">
        <v>84671.57</v>
      </c>
      <c r="O36" s="1310">
        <v>70674.75</v>
      </c>
      <c r="P36" s="1311">
        <v>0</v>
      </c>
      <c r="Q36" s="1311">
        <v>70674.75</v>
      </c>
      <c r="R36" s="1311">
        <v>0</v>
      </c>
      <c r="S36" s="1311">
        <v>0</v>
      </c>
      <c r="T36" s="1313">
        <v>141349.5</v>
      </c>
      <c r="U36" s="1310">
        <v>418.19</v>
      </c>
      <c r="V36" s="1311">
        <v>0</v>
      </c>
      <c r="W36" s="1311">
        <v>97834</v>
      </c>
      <c r="X36" s="1311">
        <v>0</v>
      </c>
      <c r="Y36" s="1311">
        <v>0</v>
      </c>
      <c r="Z36" s="1313">
        <v>98252.19</v>
      </c>
      <c r="AA36" s="1303"/>
      <c r="AB36" s="1299"/>
      <c r="AC36" s="1299"/>
      <c r="AD36" s="1299"/>
      <c r="AE36" s="1299"/>
      <c r="AF36" s="1304"/>
      <c r="AG36" s="1310">
        <v>0</v>
      </c>
      <c r="AH36" s="1311">
        <v>0</v>
      </c>
      <c r="AI36" s="1311">
        <v>1551377.48</v>
      </c>
      <c r="AJ36" s="1311">
        <v>811985.71</v>
      </c>
      <c r="AK36" s="1299"/>
      <c r="AL36" s="1313">
        <v>2363363.19</v>
      </c>
    </row>
    <row r="37" spans="1:38" s="666" customFormat="1">
      <c r="A37" s="1308" t="s">
        <v>85</v>
      </c>
      <c r="B37" s="1309" t="s">
        <v>330</v>
      </c>
      <c r="C37" s="1148" t="s">
        <v>272</v>
      </c>
      <c r="D37" s="1291">
        <f t="shared" si="1"/>
        <v>798860.30999999994</v>
      </c>
      <c r="E37" s="1218">
        <f t="shared" si="2"/>
        <v>3730779.4</v>
      </c>
      <c r="F37" s="1218">
        <f t="shared" si="3"/>
        <v>915444.9</v>
      </c>
      <c r="G37" s="1218">
        <f t="shared" si="4"/>
        <v>915445.23</v>
      </c>
      <c r="H37" s="1305">
        <f t="shared" si="4"/>
        <v>-0.32999999999999996</v>
      </c>
      <c r="I37" s="1310">
        <v>524308.31999999995</v>
      </c>
      <c r="J37" s="1311">
        <v>0</v>
      </c>
      <c r="K37" s="1311">
        <v>524308.31999999995</v>
      </c>
      <c r="L37" s="1311">
        <v>0</v>
      </c>
      <c r="M37" s="1311">
        <v>-0.3</v>
      </c>
      <c r="N37" s="1312">
        <v>1048616.3400000001</v>
      </c>
      <c r="O37" s="1310">
        <v>250682.34</v>
      </c>
      <c r="P37" s="1311">
        <v>0</v>
      </c>
      <c r="Q37" s="1311">
        <v>250682.34</v>
      </c>
      <c r="R37" s="1311">
        <v>0</v>
      </c>
      <c r="S37" s="1311">
        <v>-0.03</v>
      </c>
      <c r="T37" s="1313">
        <v>501364.65</v>
      </c>
      <c r="U37" s="1310">
        <v>23869.65</v>
      </c>
      <c r="V37" s="1311">
        <v>0</v>
      </c>
      <c r="W37" s="1311">
        <v>393595.16</v>
      </c>
      <c r="X37" s="1311">
        <v>0</v>
      </c>
      <c r="Y37" s="1311">
        <v>0</v>
      </c>
      <c r="Z37" s="1313">
        <v>417464.81</v>
      </c>
      <c r="AA37" s="1303"/>
      <c r="AB37" s="1299"/>
      <c r="AC37" s="1299"/>
      <c r="AD37" s="1299"/>
      <c r="AE37" s="1299"/>
      <c r="AF37" s="1304"/>
      <c r="AG37" s="1310">
        <v>0</v>
      </c>
      <c r="AH37" s="1311">
        <v>0</v>
      </c>
      <c r="AI37" s="1311">
        <v>2562193.58</v>
      </c>
      <c r="AJ37" s="1311">
        <v>915445.23</v>
      </c>
      <c r="AK37" s="1299"/>
      <c r="AL37" s="1313">
        <v>3477638.81</v>
      </c>
    </row>
    <row r="38" spans="1:38" s="666" customFormat="1">
      <c r="A38" s="1308" t="s">
        <v>87</v>
      </c>
      <c r="B38" s="1309" t="s">
        <v>88</v>
      </c>
      <c r="C38" s="1148" t="s">
        <v>274</v>
      </c>
      <c r="D38" s="1291">
        <f t="shared" si="1"/>
        <v>330485.76000000001</v>
      </c>
      <c r="E38" s="1218">
        <f t="shared" si="2"/>
        <v>1820311.44</v>
      </c>
      <c r="F38" s="1218">
        <f t="shared" si="3"/>
        <v>805255.67999999993</v>
      </c>
      <c r="G38" s="1218">
        <f t="shared" si="4"/>
        <v>804249.59999999998</v>
      </c>
      <c r="H38" s="1305">
        <f t="shared" si="4"/>
        <v>1006.0799999999999</v>
      </c>
      <c r="I38" s="1310">
        <v>129661.55</v>
      </c>
      <c r="J38" s="1311">
        <v>0</v>
      </c>
      <c r="K38" s="1311">
        <v>129661.55</v>
      </c>
      <c r="L38" s="1311">
        <v>0</v>
      </c>
      <c r="M38" s="1311">
        <v>794.52</v>
      </c>
      <c r="N38" s="1312">
        <v>260117.62</v>
      </c>
      <c r="O38" s="1310">
        <v>197721.52</v>
      </c>
      <c r="P38" s="1311">
        <v>0</v>
      </c>
      <c r="Q38" s="1311">
        <v>197721.52</v>
      </c>
      <c r="R38" s="1311">
        <v>0</v>
      </c>
      <c r="S38" s="1311">
        <v>211.56</v>
      </c>
      <c r="T38" s="1313">
        <v>395654.6</v>
      </c>
      <c r="U38" s="1310">
        <v>3102.69</v>
      </c>
      <c r="V38" s="1311">
        <v>0</v>
      </c>
      <c r="W38" s="1311">
        <v>160463.76999999999</v>
      </c>
      <c r="X38" s="1311">
        <v>0</v>
      </c>
      <c r="Y38" s="1311">
        <v>0</v>
      </c>
      <c r="Z38" s="1313">
        <v>163566.46</v>
      </c>
      <c r="AA38" s="1303"/>
      <c r="AB38" s="1299"/>
      <c r="AC38" s="1299"/>
      <c r="AD38" s="1299"/>
      <c r="AE38" s="1299"/>
      <c r="AF38" s="1304"/>
      <c r="AG38" s="1310">
        <v>0</v>
      </c>
      <c r="AH38" s="1311">
        <v>0</v>
      </c>
      <c r="AI38" s="1311">
        <v>1332464.6000000001</v>
      </c>
      <c r="AJ38" s="1311">
        <v>804249.59999999998</v>
      </c>
      <c r="AK38" s="1299"/>
      <c r="AL38" s="1313">
        <v>2136714.2000000002</v>
      </c>
    </row>
    <row r="39" spans="1:38" s="666" customFormat="1">
      <c r="A39" s="1308" t="s">
        <v>93</v>
      </c>
      <c r="B39" s="1309" t="s">
        <v>94</v>
      </c>
      <c r="C39" s="1148" t="s">
        <v>275</v>
      </c>
      <c r="D39" s="1291">
        <f t="shared" si="1"/>
        <v>220520.63</v>
      </c>
      <c r="E39" s="1218">
        <f t="shared" si="2"/>
        <v>1372310.9</v>
      </c>
      <c r="F39" s="1218">
        <f t="shared" si="3"/>
        <v>424539.61000000004</v>
      </c>
      <c r="G39" s="1218">
        <f t="shared" si="4"/>
        <v>424539.83</v>
      </c>
      <c r="H39" s="1305">
        <f t="shared" si="4"/>
        <v>-0.22</v>
      </c>
      <c r="I39" s="1310">
        <v>174586.31</v>
      </c>
      <c r="J39" s="1311">
        <v>0</v>
      </c>
      <c r="K39" s="1311">
        <v>174586.31</v>
      </c>
      <c r="L39" s="1311">
        <v>0</v>
      </c>
      <c r="M39" s="1311">
        <v>-0.21</v>
      </c>
      <c r="N39" s="1312">
        <v>349172.41</v>
      </c>
      <c r="O39" s="1310">
        <v>44818.37</v>
      </c>
      <c r="P39" s="1311">
        <v>0</v>
      </c>
      <c r="Q39" s="1311">
        <v>44818.37</v>
      </c>
      <c r="R39" s="1311">
        <v>0</v>
      </c>
      <c r="S39" s="1311">
        <v>-0.01</v>
      </c>
      <c r="T39" s="1313">
        <v>89636.73</v>
      </c>
      <c r="U39" s="1310">
        <v>1115.95</v>
      </c>
      <c r="V39" s="1311">
        <v>0</v>
      </c>
      <c r="W39" s="1311">
        <v>94826.05</v>
      </c>
      <c r="X39" s="1311">
        <v>0</v>
      </c>
      <c r="Y39" s="1311">
        <v>0</v>
      </c>
      <c r="Z39" s="1313">
        <v>95942</v>
      </c>
      <c r="AA39" s="1303"/>
      <c r="AB39" s="1299"/>
      <c r="AC39" s="1299"/>
      <c r="AD39" s="1299"/>
      <c r="AE39" s="1299"/>
      <c r="AF39" s="1304"/>
      <c r="AG39" s="1310">
        <v>0</v>
      </c>
      <c r="AH39" s="1311">
        <v>0</v>
      </c>
      <c r="AI39" s="1311">
        <v>1058080.17</v>
      </c>
      <c r="AJ39" s="1311">
        <v>424539.83</v>
      </c>
      <c r="AK39" s="1299"/>
      <c r="AL39" s="1313">
        <v>1482620</v>
      </c>
    </row>
    <row r="40" spans="1:38" s="666" customFormat="1">
      <c r="A40" s="1308" t="s">
        <v>95</v>
      </c>
      <c r="B40" s="1309" t="s">
        <v>96</v>
      </c>
      <c r="C40" s="1148" t="s">
        <v>271</v>
      </c>
      <c r="D40" s="1291">
        <f t="shared" si="1"/>
        <v>136585.20000000001</v>
      </c>
      <c r="E40" s="1218">
        <f t="shared" si="2"/>
        <v>898028.89</v>
      </c>
      <c r="F40" s="1218">
        <f t="shared" si="3"/>
        <v>340110.94</v>
      </c>
      <c r="G40" s="1218">
        <f t="shared" si="4"/>
        <v>340111.07</v>
      </c>
      <c r="H40" s="1305">
        <f t="shared" si="4"/>
        <v>-0.13</v>
      </c>
      <c r="I40" s="1310">
        <v>59754.51</v>
      </c>
      <c r="J40" s="1311">
        <v>0</v>
      </c>
      <c r="K40" s="1311">
        <v>59754.51</v>
      </c>
      <c r="L40" s="1311">
        <v>0</v>
      </c>
      <c r="M40" s="1311">
        <v>-0.13</v>
      </c>
      <c r="N40" s="1312">
        <v>119508.89</v>
      </c>
      <c r="O40" s="1310">
        <v>74617.490000000005</v>
      </c>
      <c r="P40" s="1311">
        <v>0</v>
      </c>
      <c r="Q40" s="1311">
        <v>74617.490000000005</v>
      </c>
      <c r="R40" s="1311">
        <v>0</v>
      </c>
      <c r="S40" s="1311">
        <v>0</v>
      </c>
      <c r="T40" s="1313">
        <v>149234.98000000001</v>
      </c>
      <c r="U40" s="1310">
        <v>2213.1999999999998</v>
      </c>
      <c r="V40" s="1311">
        <v>0</v>
      </c>
      <c r="W40" s="1311">
        <v>181075.62</v>
      </c>
      <c r="X40" s="1311">
        <v>0</v>
      </c>
      <c r="Y40" s="1311">
        <v>0</v>
      </c>
      <c r="Z40" s="1313">
        <v>183288.82</v>
      </c>
      <c r="AA40" s="1303"/>
      <c r="AB40" s="1299"/>
      <c r="AC40" s="1299"/>
      <c r="AD40" s="1299"/>
      <c r="AE40" s="1299"/>
      <c r="AF40" s="1304"/>
      <c r="AG40" s="1310">
        <v>0</v>
      </c>
      <c r="AH40" s="1311">
        <v>0</v>
      </c>
      <c r="AI40" s="1311">
        <v>582581.27</v>
      </c>
      <c r="AJ40" s="1311">
        <v>340111.07</v>
      </c>
      <c r="AK40" s="1299"/>
      <c r="AL40" s="1313">
        <v>922692.34</v>
      </c>
    </row>
    <row r="41" spans="1:38" s="666" customFormat="1">
      <c r="A41" s="1308" t="s">
        <v>97</v>
      </c>
      <c r="B41" s="1309" t="s">
        <v>98</v>
      </c>
      <c r="C41" s="1148" t="s">
        <v>273</v>
      </c>
      <c r="D41" s="1291">
        <f t="shared" si="1"/>
        <v>72567.199999999997</v>
      </c>
      <c r="E41" s="1218">
        <f t="shared" si="2"/>
        <v>607745.62</v>
      </c>
      <c r="F41" s="1218">
        <f t="shared" si="3"/>
        <v>464350.47000000003</v>
      </c>
      <c r="G41" s="1218">
        <f t="shared" si="4"/>
        <v>464350.51</v>
      </c>
      <c r="H41" s="1305">
        <f t="shared" si="4"/>
        <v>-0.04</v>
      </c>
      <c r="I41" s="1310">
        <v>50536.08</v>
      </c>
      <c r="J41" s="1311">
        <v>0</v>
      </c>
      <c r="K41" s="1311">
        <v>50536.08</v>
      </c>
      <c r="L41" s="1311">
        <v>0</v>
      </c>
      <c r="M41" s="1311">
        <v>-0.03</v>
      </c>
      <c r="N41" s="1312">
        <v>101072.13</v>
      </c>
      <c r="O41" s="1310">
        <v>20132.03</v>
      </c>
      <c r="P41" s="1311">
        <v>0</v>
      </c>
      <c r="Q41" s="1311">
        <v>20132.03</v>
      </c>
      <c r="R41" s="1311">
        <v>0</v>
      </c>
      <c r="S41" s="1311">
        <v>-0.01</v>
      </c>
      <c r="T41" s="1313">
        <v>40264.050000000003</v>
      </c>
      <c r="U41" s="1310">
        <v>1899.09</v>
      </c>
      <c r="V41" s="1311">
        <v>0</v>
      </c>
      <c r="W41" s="1311">
        <v>39688.71</v>
      </c>
      <c r="X41" s="1311">
        <v>0</v>
      </c>
      <c r="Y41" s="1311">
        <v>0</v>
      </c>
      <c r="Z41" s="1313">
        <v>41587.800000000003</v>
      </c>
      <c r="AA41" s="1303"/>
      <c r="AB41" s="1299"/>
      <c r="AC41" s="1299"/>
      <c r="AD41" s="1299"/>
      <c r="AE41" s="1299"/>
      <c r="AF41" s="1304"/>
      <c r="AG41" s="1310">
        <v>0</v>
      </c>
      <c r="AH41" s="1311">
        <v>0</v>
      </c>
      <c r="AI41" s="1311">
        <v>497388.79999999999</v>
      </c>
      <c r="AJ41" s="1311">
        <v>464350.51</v>
      </c>
      <c r="AK41" s="1299"/>
      <c r="AL41" s="1313">
        <v>961739.31</v>
      </c>
    </row>
    <row r="42" spans="1:38" s="666" customFormat="1">
      <c r="A42" s="1308" t="s">
        <v>99</v>
      </c>
      <c r="B42" s="1309" t="s">
        <v>100</v>
      </c>
      <c r="C42" s="1148" t="s">
        <v>275</v>
      </c>
      <c r="D42" s="1291">
        <f t="shared" si="1"/>
        <v>129770.16999999998</v>
      </c>
      <c r="E42" s="1218">
        <f t="shared" si="2"/>
        <v>589493.98</v>
      </c>
      <c r="F42" s="1218">
        <f t="shared" si="3"/>
        <v>121572.56999999999</v>
      </c>
      <c r="G42" s="1218">
        <f t="shared" si="4"/>
        <v>121572.62</v>
      </c>
      <c r="H42" s="1305">
        <f t="shared" si="4"/>
        <v>-0.05</v>
      </c>
      <c r="I42" s="1310">
        <v>53867.63</v>
      </c>
      <c r="J42" s="1311">
        <v>0</v>
      </c>
      <c r="K42" s="1311">
        <v>53867.63</v>
      </c>
      <c r="L42" s="1311">
        <v>0</v>
      </c>
      <c r="M42" s="1311">
        <v>-0.05</v>
      </c>
      <c r="N42" s="1312">
        <v>107735.21</v>
      </c>
      <c r="O42" s="1310">
        <v>75902.539999999994</v>
      </c>
      <c r="P42" s="1311">
        <v>0</v>
      </c>
      <c r="Q42" s="1311">
        <v>75902.539999999994</v>
      </c>
      <c r="R42" s="1311">
        <v>0</v>
      </c>
      <c r="S42" s="1311">
        <v>0</v>
      </c>
      <c r="T42" s="1313">
        <v>151805.07999999999</v>
      </c>
      <c r="U42" s="1310">
        <v>0</v>
      </c>
      <c r="V42" s="1311">
        <v>0</v>
      </c>
      <c r="W42" s="1311">
        <v>6300</v>
      </c>
      <c r="X42" s="1311">
        <v>0</v>
      </c>
      <c r="Y42" s="1311">
        <v>0</v>
      </c>
      <c r="Z42" s="1313">
        <v>6300</v>
      </c>
      <c r="AA42" s="1303"/>
      <c r="AB42" s="1299"/>
      <c r="AC42" s="1299"/>
      <c r="AD42" s="1299"/>
      <c r="AE42" s="1299"/>
      <c r="AF42" s="1304"/>
      <c r="AG42" s="1310">
        <v>0</v>
      </c>
      <c r="AH42" s="1311">
        <v>0</v>
      </c>
      <c r="AI42" s="1311">
        <v>453423.81</v>
      </c>
      <c r="AJ42" s="1311">
        <v>121572.62</v>
      </c>
      <c r="AK42" s="1299"/>
      <c r="AL42" s="1313">
        <v>574996.43000000005</v>
      </c>
    </row>
    <row r="43" spans="1:38" s="666" customFormat="1">
      <c r="A43" s="1308" t="s">
        <v>101</v>
      </c>
      <c r="B43" s="1309" t="s">
        <v>102</v>
      </c>
      <c r="C43" s="1148" t="s">
        <v>274</v>
      </c>
      <c r="D43" s="1291">
        <f t="shared" si="1"/>
        <v>48256.05</v>
      </c>
      <c r="E43" s="1218">
        <f t="shared" si="2"/>
        <v>1006402.01</v>
      </c>
      <c r="F43" s="1218">
        <f t="shared" si="3"/>
        <v>495922.42</v>
      </c>
      <c r="G43" s="1218">
        <f t="shared" si="4"/>
        <v>495922.48</v>
      </c>
      <c r="H43" s="1305">
        <f t="shared" si="4"/>
        <v>-0.06</v>
      </c>
      <c r="I43" s="1310">
        <v>31459.05</v>
      </c>
      <c r="J43" s="1311">
        <v>0</v>
      </c>
      <c r="K43" s="1311">
        <v>31459.05</v>
      </c>
      <c r="L43" s="1311">
        <v>0</v>
      </c>
      <c r="M43" s="1311">
        <v>-0.06</v>
      </c>
      <c r="N43" s="1312">
        <v>62918.04</v>
      </c>
      <c r="O43" s="1310">
        <v>16797</v>
      </c>
      <c r="P43" s="1311">
        <v>0</v>
      </c>
      <c r="Q43" s="1311">
        <v>16797</v>
      </c>
      <c r="R43" s="1311">
        <v>0</v>
      </c>
      <c r="S43" s="1311">
        <v>0</v>
      </c>
      <c r="T43" s="1313">
        <v>33594</v>
      </c>
      <c r="U43" s="1310">
        <v>0</v>
      </c>
      <c r="V43" s="1311">
        <v>0</v>
      </c>
      <c r="W43" s="1311">
        <v>18677.89</v>
      </c>
      <c r="X43" s="1311">
        <v>0</v>
      </c>
      <c r="Y43" s="1311">
        <v>0</v>
      </c>
      <c r="Z43" s="1313">
        <v>18677.89</v>
      </c>
      <c r="AA43" s="1303"/>
      <c r="AB43" s="1299"/>
      <c r="AC43" s="1299"/>
      <c r="AD43" s="1299"/>
      <c r="AE43" s="1299"/>
      <c r="AF43" s="1304"/>
      <c r="AG43" s="1310">
        <v>0</v>
      </c>
      <c r="AH43" s="1311">
        <v>0</v>
      </c>
      <c r="AI43" s="1311">
        <v>939468.07</v>
      </c>
      <c r="AJ43" s="1311">
        <v>495922.48</v>
      </c>
      <c r="AK43" s="1299"/>
      <c r="AL43" s="1313">
        <v>1435390.55</v>
      </c>
    </row>
    <row r="44" spans="1:38" s="666" customFormat="1">
      <c r="A44" s="1308" t="s">
        <v>103</v>
      </c>
      <c r="B44" s="1309" t="s">
        <v>104</v>
      </c>
      <c r="C44" s="1148" t="s">
        <v>271</v>
      </c>
      <c r="D44" s="1291">
        <f t="shared" si="1"/>
        <v>76674.259999999995</v>
      </c>
      <c r="E44" s="1218">
        <f t="shared" si="2"/>
        <v>469668.03</v>
      </c>
      <c r="F44" s="1218">
        <f t="shared" si="3"/>
        <v>114074.65999999999</v>
      </c>
      <c r="G44" s="1218">
        <f t="shared" si="4"/>
        <v>114074.73</v>
      </c>
      <c r="H44" s="1305">
        <f t="shared" si="4"/>
        <v>-7.0000000000000007E-2</v>
      </c>
      <c r="I44" s="1310">
        <v>62252.29</v>
      </c>
      <c r="J44" s="1311">
        <v>0</v>
      </c>
      <c r="K44" s="1311">
        <v>62252.29</v>
      </c>
      <c r="L44" s="1311">
        <v>0</v>
      </c>
      <c r="M44" s="1311">
        <v>-7.0000000000000007E-2</v>
      </c>
      <c r="N44" s="1312">
        <v>124504.51</v>
      </c>
      <c r="O44" s="1310">
        <v>14421.97</v>
      </c>
      <c r="P44" s="1311">
        <v>0</v>
      </c>
      <c r="Q44" s="1311">
        <v>14421.97</v>
      </c>
      <c r="R44" s="1311">
        <v>0</v>
      </c>
      <c r="S44" s="1311">
        <v>0</v>
      </c>
      <c r="T44" s="1313">
        <v>28843.94</v>
      </c>
      <c r="U44" s="1303"/>
      <c r="V44" s="1299"/>
      <c r="W44" s="1299"/>
      <c r="X44" s="1299"/>
      <c r="Y44" s="1299"/>
      <c r="Z44" s="1304"/>
      <c r="AA44" s="1303"/>
      <c r="AB44" s="1299"/>
      <c r="AC44" s="1299"/>
      <c r="AD44" s="1299"/>
      <c r="AE44" s="1299"/>
      <c r="AF44" s="1304"/>
      <c r="AG44" s="1310">
        <v>0</v>
      </c>
      <c r="AH44" s="1311">
        <v>0</v>
      </c>
      <c r="AI44" s="1311">
        <v>392993.77</v>
      </c>
      <c r="AJ44" s="1311">
        <v>114074.73</v>
      </c>
      <c r="AK44" s="1299"/>
      <c r="AL44" s="1313">
        <v>507068.5</v>
      </c>
    </row>
    <row r="45" spans="1:38" s="666" customFormat="1">
      <c r="A45" s="1308" t="s">
        <v>105</v>
      </c>
      <c r="B45" s="1309" t="s">
        <v>331</v>
      </c>
      <c r="C45" s="1148" t="s">
        <v>272</v>
      </c>
      <c r="D45" s="1291">
        <f t="shared" si="1"/>
        <v>358322.79000000004</v>
      </c>
      <c r="E45" s="1218">
        <f t="shared" si="2"/>
        <v>2732366.31</v>
      </c>
      <c r="F45" s="1218">
        <f t="shared" si="3"/>
        <v>689265.03</v>
      </c>
      <c r="G45" s="1218">
        <f t="shared" si="4"/>
        <v>689281.24</v>
      </c>
      <c r="H45" s="1305">
        <f t="shared" si="4"/>
        <v>-16.210000000000004</v>
      </c>
      <c r="I45" s="1310">
        <v>192304.94</v>
      </c>
      <c r="J45" s="1311">
        <v>0</v>
      </c>
      <c r="K45" s="1311">
        <v>192304.94</v>
      </c>
      <c r="L45" s="1311">
        <v>0</v>
      </c>
      <c r="M45" s="1311">
        <v>-0.17</v>
      </c>
      <c r="N45" s="1312">
        <v>384609.71</v>
      </c>
      <c r="O45" s="1310">
        <v>161713.34</v>
      </c>
      <c r="P45" s="1311">
        <v>0</v>
      </c>
      <c r="Q45" s="1311">
        <v>161713.34</v>
      </c>
      <c r="R45" s="1311">
        <v>0</v>
      </c>
      <c r="S45" s="1311">
        <v>-16.03</v>
      </c>
      <c r="T45" s="1313">
        <v>323410.65000000002</v>
      </c>
      <c r="U45" s="1310">
        <v>4304.51</v>
      </c>
      <c r="V45" s="1311">
        <v>0</v>
      </c>
      <c r="W45" s="1311">
        <v>62615.33</v>
      </c>
      <c r="X45" s="1311">
        <v>0</v>
      </c>
      <c r="Y45" s="1311">
        <v>-0.01</v>
      </c>
      <c r="Z45" s="1313">
        <v>66919.83</v>
      </c>
      <c r="AA45" s="1303"/>
      <c r="AB45" s="1299"/>
      <c r="AC45" s="1299"/>
      <c r="AD45" s="1299"/>
      <c r="AE45" s="1299"/>
      <c r="AF45" s="1304"/>
      <c r="AG45" s="1310">
        <v>0</v>
      </c>
      <c r="AH45" s="1311">
        <v>0</v>
      </c>
      <c r="AI45" s="1311">
        <v>2315732.7000000002</v>
      </c>
      <c r="AJ45" s="1311">
        <v>689281.24</v>
      </c>
      <c r="AK45" s="1299"/>
      <c r="AL45" s="1313">
        <v>3005013.94</v>
      </c>
    </row>
    <row r="46" spans="1:38" s="666" customFormat="1">
      <c r="A46" s="1308" t="s">
        <v>109</v>
      </c>
      <c r="B46" s="1309" t="s">
        <v>110</v>
      </c>
      <c r="C46" s="1148" t="s">
        <v>273</v>
      </c>
      <c r="D46" s="1291">
        <f t="shared" si="1"/>
        <v>390557.27</v>
      </c>
      <c r="E46" s="1218">
        <f t="shared" si="2"/>
        <v>3481201.56</v>
      </c>
      <c r="F46" s="1218">
        <f t="shared" si="3"/>
        <v>2250917.5100000002</v>
      </c>
      <c r="G46" s="1218">
        <f t="shared" si="4"/>
        <v>2250917.7000000002</v>
      </c>
      <c r="H46" s="1305">
        <f t="shared" si="4"/>
        <v>-0.19</v>
      </c>
      <c r="I46" s="1310">
        <v>205083.16</v>
      </c>
      <c r="J46" s="1311">
        <v>0</v>
      </c>
      <c r="K46" s="1311">
        <v>205083.16</v>
      </c>
      <c r="L46" s="1311">
        <v>0</v>
      </c>
      <c r="M46" s="1311">
        <v>-0.18</v>
      </c>
      <c r="N46" s="1312">
        <v>410166.14</v>
      </c>
      <c r="O46" s="1310">
        <v>176127.39</v>
      </c>
      <c r="P46" s="1311">
        <v>0</v>
      </c>
      <c r="Q46" s="1311">
        <v>176127.39</v>
      </c>
      <c r="R46" s="1311">
        <v>0</v>
      </c>
      <c r="S46" s="1311">
        <v>-0.01</v>
      </c>
      <c r="T46" s="1313">
        <v>352254.77</v>
      </c>
      <c r="U46" s="1310">
        <v>9346.7199999999993</v>
      </c>
      <c r="V46" s="1311">
        <v>0</v>
      </c>
      <c r="W46" s="1311">
        <v>173187.8</v>
      </c>
      <c r="X46" s="1311">
        <v>0</v>
      </c>
      <c r="Y46" s="1311">
        <v>0</v>
      </c>
      <c r="Z46" s="1313">
        <v>182534.52</v>
      </c>
      <c r="AA46" s="1303"/>
      <c r="AB46" s="1299"/>
      <c r="AC46" s="1299"/>
      <c r="AD46" s="1299"/>
      <c r="AE46" s="1299"/>
      <c r="AF46" s="1304"/>
      <c r="AG46" s="1310">
        <v>0</v>
      </c>
      <c r="AH46" s="1311">
        <v>0</v>
      </c>
      <c r="AI46" s="1311">
        <v>2926803.21</v>
      </c>
      <c r="AJ46" s="1311">
        <v>2250917.7000000002</v>
      </c>
      <c r="AK46" s="1299"/>
      <c r="AL46" s="1313">
        <v>5177720.91</v>
      </c>
    </row>
    <row r="47" spans="1:38" s="666" customFormat="1">
      <c r="A47" s="1308" t="s">
        <v>111</v>
      </c>
      <c r="B47" s="1309" t="s">
        <v>112</v>
      </c>
      <c r="C47" s="1148" t="s">
        <v>273</v>
      </c>
      <c r="D47" s="1291">
        <f t="shared" si="1"/>
        <v>604651.97</v>
      </c>
      <c r="E47" s="1218">
        <f t="shared" si="2"/>
        <v>5062646.4399999995</v>
      </c>
      <c r="F47" s="1218">
        <f t="shared" si="3"/>
        <v>2247888.44</v>
      </c>
      <c r="G47" s="1218">
        <f t="shared" si="4"/>
        <v>2247888.6</v>
      </c>
      <c r="H47" s="1305">
        <f t="shared" si="4"/>
        <v>-0.16</v>
      </c>
      <c r="I47" s="1310">
        <v>201417</v>
      </c>
      <c r="J47" s="1311">
        <v>0</v>
      </c>
      <c r="K47" s="1311">
        <v>201417</v>
      </c>
      <c r="L47" s="1311">
        <v>0</v>
      </c>
      <c r="M47" s="1311">
        <v>-0.1</v>
      </c>
      <c r="N47" s="1312">
        <v>402833.9</v>
      </c>
      <c r="O47" s="1310">
        <v>365931.15</v>
      </c>
      <c r="P47" s="1311">
        <v>0</v>
      </c>
      <c r="Q47" s="1311">
        <v>365931.15</v>
      </c>
      <c r="R47" s="1311">
        <v>0</v>
      </c>
      <c r="S47" s="1311">
        <v>-0.06</v>
      </c>
      <c r="T47" s="1313">
        <v>731862.24</v>
      </c>
      <c r="U47" s="1310">
        <v>37303.82</v>
      </c>
      <c r="V47" s="1311">
        <v>0</v>
      </c>
      <c r="W47" s="1311">
        <v>748759.77</v>
      </c>
      <c r="X47" s="1311">
        <v>0</v>
      </c>
      <c r="Y47" s="1311">
        <v>0</v>
      </c>
      <c r="Z47" s="1313">
        <v>786063.59</v>
      </c>
      <c r="AA47" s="1303"/>
      <c r="AB47" s="1299"/>
      <c r="AC47" s="1299"/>
      <c r="AD47" s="1299"/>
      <c r="AE47" s="1299"/>
      <c r="AF47" s="1304"/>
      <c r="AG47" s="1310">
        <v>0</v>
      </c>
      <c r="AH47" s="1311">
        <v>0</v>
      </c>
      <c r="AI47" s="1311">
        <v>3746538.52</v>
      </c>
      <c r="AJ47" s="1311">
        <v>2247888.6</v>
      </c>
      <c r="AK47" s="1299"/>
      <c r="AL47" s="1313">
        <v>5994427.1200000001</v>
      </c>
    </row>
    <row r="48" spans="1:38" s="666" customFormat="1">
      <c r="A48" s="1308" t="s">
        <v>113</v>
      </c>
      <c r="B48" s="1309" t="s">
        <v>310</v>
      </c>
      <c r="C48" s="1148" t="s">
        <v>272</v>
      </c>
      <c r="D48" s="1291">
        <f t="shared" si="1"/>
        <v>459575.67</v>
      </c>
      <c r="E48" s="1218">
        <f t="shared" si="2"/>
        <v>1056516.3599999999</v>
      </c>
      <c r="F48" s="1218">
        <f t="shared" si="3"/>
        <v>195517.29</v>
      </c>
      <c r="G48" s="1218">
        <f t="shared" si="4"/>
        <v>195621.82</v>
      </c>
      <c r="H48" s="1305">
        <f t="shared" si="4"/>
        <v>-104.53</v>
      </c>
      <c r="I48" s="1310">
        <v>289256.61</v>
      </c>
      <c r="J48" s="1311">
        <v>0</v>
      </c>
      <c r="K48" s="1311">
        <v>289256.61</v>
      </c>
      <c r="L48" s="1311">
        <v>0</v>
      </c>
      <c r="M48" s="1311">
        <v>-104.53</v>
      </c>
      <c r="N48" s="1312">
        <v>578408.68999999994</v>
      </c>
      <c r="O48" s="1310">
        <v>160628.99</v>
      </c>
      <c r="P48" s="1311">
        <v>0</v>
      </c>
      <c r="Q48" s="1311">
        <v>160628.99</v>
      </c>
      <c r="R48" s="1311">
        <v>0</v>
      </c>
      <c r="S48" s="1311">
        <v>0</v>
      </c>
      <c r="T48" s="1313">
        <v>321257.98</v>
      </c>
      <c r="U48" s="1310">
        <v>9690.07</v>
      </c>
      <c r="V48" s="1311">
        <v>0</v>
      </c>
      <c r="W48" s="1311">
        <v>120173.51</v>
      </c>
      <c r="X48" s="1311">
        <v>0</v>
      </c>
      <c r="Y48" s="1311">
        <v>0</v>
      </c>
      <c r="Z48" s="1313">
        <v>129863.58</v>
      </c>
      <c r="AA48" s="1303"/>
      <c r="AB48" s="1299"/>
      <c r="AC48" s="1299"/>
      <c r="AD48" s="1299"/>
      <c r="AE48" s="1299"/>
      <c r="AF48" s="1304"/>
      <c r="AG48" s="1310">
        <v>0</v>
      </c>
      <c r="AH48" s="1311">
        <v>0</v>
      </c>
      <c r="AI48" s="1311">
        <v>486457.25</v>
      </c>
      <c r="AJ48" s="1311">
        <v>195621.82</v>
      </c>
      <c r="AK48" s="1299"/>
      <c r="AL48" s="1313">
        <v>682079.07</v>
      </c>
    </row>
    <row r="49" spans="1:38" s="666" customFormat="1">
      <c r="A49" s="1308" t="s">
        <v>115</v>
      </c>
      <c r="B49" s="1309" t="s">
        <v>116</v>
      </c>
      <c r="C49" s="1148" t="s">
        <v>272</v>
      </c>
      <c r="D49" s="1291">
        <f t="shared" si="1"/>
        <v>37961.65</v>
      </c>
      <c r="E49" s="1218">
        <f t="shared" si="2"/>
        <v>37961.65</v>
      </c>
      <c r="F49" s="1218">
        <f t="shared" si="3"/>
        <v>-0.05</v>
      </c>
      <c r="G49" s="1218">
        <f t="shared" si="4"/>
        <v>0</v>
      </c>
      <c r="H49" s="1305">
        <f t="shared" si="4"/>
        <v>-0.05</v>
      </c>
      <c r="I49" s="1310">
        <v>33589.9</v>
      </c>
      <c r="J49" s="1311">
        <v>0</v>
      </c>
      <c r="K49" s="1311">
        <v>33589.9</v>
      </c>
      <c r="L49" s="1311">
        <v>0</v>
      </c>
      <c r="M49" s="1311">
        <v>-0.05</v>
      </c>
      <c r="N49" s="1312">
        <v>67179.75</v>
      </c>
      <c r="O49" s="1310">
        <v>4371.75</v>
      </c>
      <c r="P49" s="1311">
        <v>0</v>
      </c>
      <c r="Q49" s="1311">
        <v>4371.75</v>
      </c>
      <c r="R49" s="1311">
        <v>0</v>
      </c>
      <c r="S49" s="1311">
        <v>0</v>
      </c>
      <c r="T49" s="1313">
        <v>8743.5</v>
      </c>
      <c r="U49" s="1303"/>
      <c r="V49" s="1299"/>
      <c r="W49" s="1299"/>
      <c r="X49" s="1299"/>
      <c r="Y49" s="1299"/>
      <c r="Z49" s="1304"/>
      <c r="AA49" s="1303"/>
      <c r="AB49" s="1299"/>
      <c r="AC49" s="1299"/>
      <c r="AD49" s="1299"/>
      <c r="AE49" s="1299"/>
      <c r="AF49" s="1304"/>
      <c r="AG49" s="1310">
        <v>0</v>
      </c>
      <c r="AH49" s="1311">
        <v>0</v>
      </c>
      <c r="AI49" s="1311">
        <v>0</v>
      </c>
      <c r="AJ49" s="1311">
        <v>0</v>
      </c>
      <c r="AK49" s="1299"/>
      <c r="AL49" s="1313">
        <v>0</v>
      </c>
    </row>
    <row r="50" spans="1:38" s="666" customFormat="1">
      <c r="A50" s="1308" t="s">
        <v>119</v>
      </c>
      <c r="B50" s="1309" t="s">
        <v>120</v>
      </c>
      <c r="C50" s="1148" t="s">
        <v>271</v>
      </c>
      <c r="D50" s="1291">
        <f t="shared" si="1"/>
        <v>108665.9</v>
      </c>
      <c r="E50" s="1218">
        <f t="shared" si="2"/>
        <v>500917.63</v>
      </c>
      <c r="F50" s="1218">
        <f t="shared" si="3"/>
        <v>197175.87</v>
      </c>
      <c r="G50" s="1218">
        <f t="shared" si="4"/>
        <v>195525.9</v>
      </c>
      <c r="H50" s="1305">
        <f t="shared" si="4"/>
        <v>1649.97</v>
      </c>
      <c r="I50" s="1310">
        <v>78415.66</v>
      </c>
      <c r="J50" s="1311">
        <v>0</v>
      </c>
      <c r="K50" s="1311">
        <v>78415.66</v>
      </c>
      <c r="L50" s="1311">
        <v>0</v>
      </c>
      <c r="M50" s="1311">
        <v>-0.02</v>
      </c>
      <c r="N50" s="1312">
        <v>156831.29999999999</v>
      </c>
      <c r="O50" s="1310">
        <v>30108.560000000001</v>
      </c>
      <c r="P50" s="1311">
        <v>0</v>
      </c>
      <c r="Q50" s="1311">
        <v>30108.560000000001</v>
      </c>
      <c r="R50" s="1311">
        <v>0</v>
      </c>
      <c r="S50" s="1311">
        <v>1649.99</v>
      </c>
      <c r="T50" s="1313">
        <v>61867.11</v>
      </c>
      <c r="U50" s="1310">
        <v>141.68</v>
      </c>
      <c r="V50" s="1311">
        <v>0</v>
      </c>
      <c r="W50" s="1311">
        <v>53253.32</v>
      </c>
      <c r="X50" s="1311">
        <v>0</v>
      </c>
      <c r="Y50" s="1311">
        <v>0</v>
      </c>
      <c r="Z50" s="1313">
        <v>53395</v>
      </c>
      <c r="AA50" s="1303"/>
      <c r="AB50" s="1299"/>
      <c r="AC50" s="1299"/>
      <c r="AD50" s="1299"/>
      <c r="AE50" s="1299"/>
      <c r="AF50" s="1304"/>
      <c r="AG50" s="1310">
        <v>0</v>
      </c>
      <c r="AH50" s="1311">
        <v>0</v>
      </c>
      <c r="AI50" s="1311">
        <v>339140.09</v>
      </c>
      <c r="AJ50" s="1311">
        <v>195525.9</v>
      </c>
      <c r="AK50" s="1299"/>
      <c r="AL50" s="1313">
        <v>534665.99</v>
      </c>
    </row>
    <row r="51" spans="1:38" s="666" customFormat="1">
      <c r="A51" s="1308" t="s">
        <v>121</v>
      </c>
      <c r="B51" s="1309" t="s">
        <v>122</v>
      </c>
      <c r="C51" s="1148" t="s">
        <v>271</v>
      </c>
      <c r="D51" s="1291">
        <f t="shared" si="1"/>
        <v>324725.34999999998</v>
      </c>
      <c r="E51" s="1218">
        <f t="shared" si="2"/>
        <v>1036251.43</v>
      </c>
      <c r="F51" s="1218">
        <f t="shared" si="3"/>
        <v>250470.53</v>
      </c>
      <c r="G51" s="1218">
        <f t="shared" si="4"/>
        <v>251110.62</v>
      </c>
      <c r="H51" s="1305">
        <f t="shared" si="4"/>
        <v>-640.08999999999992</v>
      </c>
      <c r="I51" s="1310">
        <v>41282.76</v>
      </c>
      <c r="J51" s="1311">
        <v>0</v>
      </c>
      <c r="K51" s="1311">
        <v>41282.76</v>
      </c>
      <c r="L51" s="1311">
        <v>0</v>
      </c>
      <c r="M51" s="1311">
        <v>-640.04999999999995</v>
      </c>
      <c r="N51" s="1312">
        <v>81925.47</v>
      </c>
      <c r="O51" s="1310">
        <v>267830.98</v>
      </c>
      <c r="P51" s="1311">
        <v>0</v>
      </c>
      <c r="Q51" s="1311">
        <v>267830.98</v>
      </c>
      <c r="R51" s="1311">
        <v>0</v>
      </c>
      <c r="S51" s="1311">
        <v>-0.03</v>
      </c>
      <c r="T51" s="1313">
        <v>535661.93000000005</v>
      </c>
      <c r="U51" s="1310">
        <v>15611.61</v>
      </c>
      <c r="V51" s="1311">
        <v>0</v>
      </c>
      <c r="W51" s="1311">
        <v>400111.59</v>
      </c>
      <c r="X51" s="1311">
        <v>0</v>
      </c>
      <c r="Y51" s="1311">
        <v>-0.01</v>
      </c>
      <c r="Z51" s="1313">
        <v>415723.19</v>
      </c>
      <c r="AA51" s="1303"/>
      <c r="AB51" s="1299"/>
      <c r="AC51" s="1299"/>
      <c r="AD51" s="1299"/>
      <c r="AE51" s="1299"/>
      <c r="AF51" s="1304"/>
      <c r="AG51" s="1310">
        <v>0</v>
      </c>
      <c r="AH51" s="1311">
        <v>0</v>
      </c>
      <c r="AI51" s="1311">
        <v>327026.09999999998</v>
      </c>
      <c r="AJ51" s="1311">
        <v>251110.62</v>
      </c>
      <c r="AK51" s="1299"/>
      <c r="AL51" s="1313">
        <v>578136.72</v>
      </c>
    </row>
    <row r="52" spans="1:38" s="666" customFormat="1">
      <c r="A52" s="1308" t="s">
        <v>123</v>
      </c>
      <c r="B52" s="1309" t="s">
        <v>278</v>
      </c>
      <c r="C52" s="1148" t="s">
        <v>273</v>
      </c>
      <c r="D52" s="1291">
        <f t="shared" si="1"/>
        <v>117989.84</v>
      </c>
      <c r="E52" s="1218">
        <f t="shared" si="2"/>
        <v>689605.13</v>
      </c>
      <c r="F52" s="1218">
        <f t="shared" si="3"/>
        <v>221124</v>
      </c>
      <c r="G52" s="1218">
        <f t="shared" si="4"/>
        <v>221052.29</v>
      </c>
      <c r="H52" s="1305">
        <f t="shared" si="4"/>
        <v>71.709999999999994</v>
      </c>
      <c r="I52" s="1310">
        <v>93675.27</v>
      </c>
      <c r="J52" s="1311">
        <v>0</v>
      </c>
      <c r="K52" s="1311">
        <v>93675.27</v>
      </c>
      <c r="L52" s="1311">
        <v>0</v>
      </c>
      <c r="M52" s="1311">
        <v>0</v>
      </c>
      <c r="N52" s="1312">
        <v>187350.54</v>
      </c>
      <c r="O52" s="1310">
        <v>24314.57</v>
      </c>
      <c r="P52" s="1311">
        <v>0</v>
      </c>
      <c r="Q52" s="1311">
        <v>24314.57</v>
      </c>
      <c r="R52" s="1311">
        <v>0</v>
      </c>
      <c r="S52" s="1311">
        <v>0</v>
      </c>
      <c r="T52" s="1313">
        <v>48629.14</v>
      </c>
      <c r="U52" s="1310">
        <v>0</v>
      </c>
      <c r="V52" s="1311">
        <v>0</v>
      </c>
      <c r="W52" s="1311">
        <v>84300</v>
      </c>
      <c r="X52" s="1311">
        <v>0</v>
      </c>
      <c r="Y52" s="1311">
        <v>71.709999999999994</v>
      </c>
      <c r="Z52" s="1313">
        <v>84371.71</v>
      </c>
      <c r="AA52" s="1303"/>
      <c r="AB52" s="1299"/>
      <c r="AC52" s="1299"/>
      <c r="AD52" s="1299"/>
      <c r="AE52" s="1299"/>
      <c r="AF52" s="1304"/>
      <c r="AG52" s="1310">
        <v>0</v>
      </c>
      <c r="AH52" s="1311">
        <v>0</v>
      </c>
      <c r="AI52" s="1311">
        <v>487315.29</v>
      </c>
      <c r="AJ52" s="1311">
        <v>221052.29</v>
      </c>
      <c r="AK52" s="1299"/>
      <c r="AL52" s="1313">
        <v>708367.58</v>
      </c>
    </row>
    <row r="53" spans="1:38" s="666" customFormat="1">
      <c r="A53" s="1308" t="s">
        <v>125</v>
      </c>
      <c r="B53" s="1309" t="s">
        <v>126</v>
      </c>
      <c r="C53" s="1148" t="s">
        <v>274</v>
      </c>
      <c r="D53" s="1291">
        <f t="shared" si="1"/>
        <v>98743.03</v>
      </c>
      <c r="E53" s="1218">
        <f t="shared" si="2"/>
        <v>1540952.55</v>
      </c>
      <c r="F53" s="1218">
        <f t="shared" si="3"/>
        <v>871612.03</v>
      </c>
      <c r="G53" s="1218">
        <f t="shared" si="4"/>
        <v>871612.03</v>
      </c>
      <c r="H53" s="1305">
        <f t="shared" si="4"/>
        <v>0</v>
      </c>
      <c r="I53" s="1310">
        <v>62670.38</v>
      </c>
      <c r="J53" s="1311">
        <v>0</v>
      </c>
      <c r="K53" s="1311">
        <v>62670.38</v>
      </c>
      <c r="L53" s="1311">
        <v>0</v>
      </c>
      <c r="M53" s="1311">
        <v>0</v>
      </c>
      <c r="N53" s="1312">
        <v>125340.76</v>
      </c>
      <c r="O53" s="1310">
        <v>35930.75</v>
      </c>
      <c r="P53" s="1311">
        <v>0</v>
      </c>
      <c r="Q53" s="1311">
        <v>35930.75</v>
      </c>
      <c r="R53" s="1311">
        <v>0</v>
      </c>
      <c r="S53" s="1311">
        <v>0</v>
      </c>
      <c r="T53" s="1313">
        <v>71861.5</v>
      </c>
      <c r="U53" s="1310">
        <v>141.9</v>
      </c>
      <c r="V53" s="1311">
        <v>0</v>
      </c>
      <c r="W53" s="1311">
        <v>21308.1</v>
      </c>
      <c r="X53" s="1311">
        <v>0</v>
      </c>
      <c r="Y53" s="1311">
        <v>0</v>
      </c>
      <c r="Z53" s="1313">
        <v>21450</v>
      </c>
      <c r="AA53" s="1303"/>
      <c r="AB53" s="1299"/>
      <c r="AC53" s="1299"/>
      <c r="AD53" s="1299"/>
      <c r="AE53" s="1299"/>
      <c r="AF53" s="1304"/>
      <c r="AG53" s="1310">
        <v>0</v>
      </c>
      <c r="AH53" s="1311">
        <v>0</v>
      </c>
      <c r="AI53" s="1311">
        <v>1421043.32</v>
      </c>
      <c r="AJ53" s="1311">
        <v>871612.03</v>
      </c>
      <c r="AK53" s="1299"/>
      <c r="AL53" s="1313">
        <v>2292655.35</v>
      </c>
    </row>
    <row r="54" spans="1:38" s="666" customFormat="1">
      <c r="A54" s="1308" t="s">
        <v>127</v>
      </c>
      <c r="B54" s="1309" t="s">
        <v>128</v>
      </c>
      <c r="C54" s="1148" t="s">
        <v>273</v>
      </c>
      <c r="D54" s="1291">
        <f t="shared" si="1"/>
        <v>58030.9</v>
      </c>
      <c r="E54" s="1218">
        <f t="shared" si="2"/>
        <v>289916.10000000003</v>
      </c>
      <c r="F54" s="1218">
        <f t="shared" si="3"/>
        <v>132118.74</v>
      </c>
      <c r="G54" s="1218">
        <f t="shared" si="4"/>
        <v>132118.74</v>
      </c>
      <c r="H54" s="1305">
        <f t="shared" si="4"/>
        <v>0</v>
      </c>
      <c r="I54" s="1310">
        <v>5782.9</v>
      </c>
      <c r="J54" s="1311">
        <v>0</v>
      </c>
      <c r="K54" s="1311">
        <v>5782.9</v>
      </c>
      <c r="L54" s="1311">
        <v>0</v>
      </c>
      <c r="M54" s="1311">
        <v>0</v>
      </c>
      <c r="N54" s="1312">
        <v>11565.8</v>
      </c>
      <c r="O54" s="1310">
        <v>52248</v>
      </c>
      <c r="P54" s="1311">
        <v>0</v>
      </c>
      <c r="Q54" s="1311">
        <v>52248</v>
      </c>
      <c r="R54" s="1311">
        <v>0</v>
      </c>
      <c r="S54" s="1311">
        <v>0</v>
      </c>
      <c r="T54" s="1313">
        <v>104496</v>
      </c>
      <c r="U54" s="1303"/>
      <c r="V54" s="1299"/>
      <c r="W54" s="1299"/>
      <c r="X54" s="1299"/>
      <c r="Y54" s="1299"/>
      <c r="Z54" s="1304"/>
      <c r="AA54" s="1303"/>
      <c r="AB54" s="1299"/>
      <c r="AC54" s="1299"/>
      <c r="AD54" s="1299"/>
      <c r="AE54" s="1299"/>
      <c r="AF54" s="1304"/>
      <c r="AG54" s="1310">
        <v>0</v>
      </c>
      <c r="AH54" s="1311">
        <v>0</v>
      </c>
      <c r="AI54" s="1311">
        <v>231885.2</v>
      </c>
      <c r="AJ54" s="1311">
        <v>132118.74</v>
      </c>
      <c r="AK54" s="1299"/>
      <c r="AL54" s="1313">
        <v>364003.94</v>
      </c>
    </row>
    <row r="55" spans="1:38" s="666" customFormat="1">
      <c r="A55" s="1308" t="s">
        <v>129</v>
      </c>
      <c r="B55" s="1309" t="s">
        <v>130</v>
      </c>
      <c r="C55" s="1148" t="s">
        <v>273</v>
      </c>
      <c r="D55" s="1291">
        <f t="shared" si="1"/>
        <v>28117.46</v>
      </c>
      <c r="E55" s="1218">
        <f t="shared" si="2"/>
        <v>472929.62</v>
      </c>
      <c r="F55" s="1218">
        <f t="shared" si="3"/>
        <v>257532.94</v>
      </c>
      <c r="G55" s="1218">
        <f t="shared" si="4"/>
        <v>250300.22</v>
      </c>
      <c r="H55" s="1305">
        <f t="shared" si="4"/>
        <v>7232.72</v>
      </c>
      <c r="I55" s="1310">
        <v>9956.49</v>
      </c>
      <c r="J55" s="1311">
        <v>0</v>
      </c>
      <c r="K55" s="1311">
        <v>9956.49</v>
      </c>
      <c r="L55" s="1311">
        <v>0</v>
      </c>
      <c r="M55" s="1311">
        <v>6707.79</v>
      </c>
      <c r="N55" s="1312">
        <v>26620.77</v>
      </c>
      <c r="O55" s="1310">
        <v>2100</v>
      </c>
      <c r="P55" s="1311">
        <v>0</v>
      </c>
      <c r="Q55" s="1311">
        <v>2100</v>
      </c>
      <c r="R55" s="1311">
        <v>0</v>
      </c>
      <c r="S55" s="1311">
        <v>525</v>
      </c>
      <c r="T55" s="1313">
        <v>4725</v>
      </c>
      <c r="U55" s="1310">
        <v>16060.97</v>
      </c>
      <c r="V55" s="1311">
        <v>0</v>
      </c>
      <c r="W55" s="1311">
        <v>192918.06</v>
      </c>
      <c r="X55" s="1311">
        <v>0</v>
      </c>
      <c r="Y55" s="1311">
        <v>-7.0000000000000007E-2</v>
      </c>
      <c r="Z55" s="1313">
        <v>208978.96</v>
      </c>
      <c r="AA55" s="1303"/>
      <c r="AB55" s="1299"/>
      <c r="AC55" s="1299"/>
      <c r="AD55" s="1299"/>
      <c r="AE55" s="1299"/>
      <c r="AF55" s="1304"/>
      <c r="AG55" s="1310">
        <v>0</v>
      </c>
      <c r="AH55" s="1311">
        <v>0</v>
      </c>
      <c r="AI55" s="1311">
        <v>267955.07</v>
      </c>
      <c r="AJ55" s="1311">
        <v>250300.22</v>
      </c>
      <c r="AK55" s="1299"/>
      <c r="AL55" s="1313">
        <v>518255.29</v>
      </c>
    </row>
    <row r="56" spans="1:38" s="666" customFormat="1">
      <c r="A56" s="1308" t="s">
        <v>131</v>
      </c>
      <c r="B56" s="1309" t="s">
        <v>132</v>
      </c>
      <c r="C56" s="1148" t="s">
        <v>275</v>
      </c>
      <c r="D56" s="1291">
        <f t="shared" si="1"/>
        <v>618007.88</v>
      </c>
      <c r="E56" s="1218">
        <f t="shared" si="2"/>
        <v>1575263.7</v>
      </c>
      <c r="F56" s="1218">
        <f t="shared" si="3"/>
        <v>162323.76999999999</v>
      </c>
      <c r="G56" s="1218">
        <f t="shared" si="4"/>
        <v>159698.9</v>
      </c>
      <c r="H56" s="1305">
        <f t="shared" si="4"/>
        <v>2624.8700000000003</v>
      </c>
      <c r="I56" s="1310">
        <v>219969.29</v>
      </c>
      <c r="J56" s="1311">
        <v>0</v>
      </c>
      <c r="K56" s="1311">
        <v>219969.29</v>
      </c>
      <c r="L56" s="1311">
        <v>0</v>
      </c>
      <c r="M56" s="1311">
        <v>2624.9</v>
      </c>
      <c r="N56" s="1312">
        <v>442563.48</v>
      </c>
      <c r="O56" s="1310">
        <v>383754.02</v>
      </c>
      <c r="P56" s="1311">
        <v>0</v>
      </c>
      <c r="Q56" s="1311">
        <v>383754.02</v>
      </c>
      <c r="R56" s="1311">
        <v>0</v>
      </c>
      <c r="S56" s="1311">
        <v>-0.04</v>
      </c>
      <c r="T56" s="1313">
        <v>767508</v>
      </c>
      <c r="U56" s="1310">
        <v>14284.57</v>
      </c>
      <c r="V56" s="1311">
        <v>0</v>
      </c>
      <c r="W56" s="1311">
        <v>422693.41</v>
      </c>
      <c r="X56" s="1311">
        <v>0</v>
      </c>
      <c r="Y56" s="1311">
        <v>0.01</v>
      </c>
      <c r="Z56" s="1313">
        <v>436977.99</v>
      </c>
      <c r="AA56" s="1303"/>
      <c r="AB56" s="1299"/>
      <c r="AC56" s="1299"/>
      <c r="AD56" s="1299"/>
      <c r="AE56" s="1299"/>
      <c r="AF56" s="1304"/>
      <c r="AG56" s="1310">
        <v>0</v>
      </c>
      <c r="AH56" s="1311">
        <v>0</v>
      </c>
      <c r="AI56" s="1311">
        <v>548846.98</v>
      </c>
      <c r="AJ56" s="1311">
        <v>159698.9</v>
      </c>
      <c r="AK56" s="1299"/>
      <c r="AL56" s="1313">
        <v>708545.88</v>
      </c>
    </row>
    <row r="57" spans="1:38" s="666" customFormat="1">
      <c r="A57" s="1308" t="s">
        <v>133</v>
      </c>
      <c r="B57" s="1309" t="s">
        <v>134</v>
      </c>
      <c r="C57" s="1148" t="s">
        <v>274</v>
      </c>
      <c r="D57" s="1291">
        <f t="shared" si="1"/>
        <v>344143.51999999996</v>
      </c>
      <c r="E57" s="1218">
        <f t="shared" si="2"/>
        <v>3608289.3</v>
      </c>
      <c r="F57" s="1218">
        <f t="shared" si="3"/>
        <v>2540347.1399999997</v>
      </c>
      <c r="G57" s="1218">
        <f t="shared" si="4"/>
        <v>2540347.38</v>
      </c>
      <c r="H57" s="1305">
        <f t="shared" si="4"/>
        <v>-0.24000000000000002</v>
      </c>
      <c r="I57" s="1310">
        <v>119657.11</v>
      </c>
      <c r="J57" s="1311">
        <v>0</v>
      </c>
      <c r="K57" s="1311">
        <v>119657.11</v>
      </c>
      <c r="L57" s="1311">
        <v>0</v>
      </c>
      <c r="M57" s="1311">
        <v>-0.2</v>
      </c>
      <c r="N57" s="1312">
        <v>239314.02</v>
      </c>
      <c r="O57" s="1310">
        <v>211610.55</v>
      </c>
      <c r="P57" s="1311">
        <v>0</v>
      </c>
      <c r="Q57" s="1311">
        <v>211610.55</v>
      </c>
      <c r="R57" s="1311">
        <v>0</v>
      </c>
      <c r="S57" s="1311">
        <v>-0.03</v>
      </c>
      <c r="T57" s="1313">
        <v>423221.07</v>
      </c>
      <c r="U57" s="1310">
        <v>12875.86</v>
      </c>
      <c r="V57" s="1311">
        <v>0</v>
      </c>
      <c r="W57" s="1311">
        <v>398824.34</v>
      </c>
      <c r="X57" s="1311">
        <v>0</v>
      </c>
      <c r="Y57" s="1311">
        <v>-0.01</v>
      </c>
      <c r="Z57" s="1313">
        <v>411700.19</v>
      </c>
      <c r="AA57" s="1303"/>
      <c r="AB57" s="1299"/>
      <c r="AC57" s="1299"/>
      <c r="AD57" s="1299"/>
      <c r="AE57" s="1299"/>
      <c r="AF57" s="1304"/>
      <c r="AG57" s="1310">
        <v>0</v>
      </c>
      <c r="AH57" s="1311">
        <v>0</v>
      </c>
      <c r="AI57" s="1311">
        <v>2878197.3</v>
      </c>
      <c r="AJ57" s="1311">
        <v>2540347.38</v>
      </c>
      <c r="AK57" s="1299"/>
      <c r="AL57" s="1313">
        <v>5418544.6799999997</v>
      </c>
    </row>
    <row r="58" spans="1:38" s="666" customFormat="1">
      <c r="A58" s="1308" t="s">
        <v>135</v>
      </c>
      <c r="B58" s="1309" t="s">
        <v>136</v>
      </c>
      <c r="C58" s="1148" t="s">
        <v>274</v>
      </c>
      <c r="D58" s="1291">
        <f t="shared" si="1"/>
        <v>346532.77999999997</v>
      </c>
      <c r="E58" s="1218">
        <f t="shared" si="2"/>
        <v>1903723.45</v>
      </c>
      <c r="F58" s="1218">
        <f t="shared" si="3"/>
        <v>778687.33</v>
      </c>
      <c r="G58" s="1218">
        <f t="shared" si="4"/>
        <v>778687.59</v>
      </c>
      <c r="H58" s="1305">
        <f t="shared" si="4"/>
        <v>-0.26</v>
      </c>
      <c r="I58" s="1310">
        <v>192941.44</v>
      </c>
      <c r="J58" s="1311">
        <v>0</v>
      </c>
      <c r="K58" s="1311">
        <v>192941.44</v>
      </c>
      <c r="L58" s="1311">
        <v>0</v>
      </c>
      <c r="M58" s="1311">
        <v>-0.14000000000000001</v>
      </c>
      <c r="N58" s="1312">
        <v>385882.74</v>
      </c>
      <c r="O58" s="1310">
        <v>149760.29</v>
      </c>
      <c r="P58" s="1311">
        <v>0</v>
      </c>
      <c r="Q58" s="1311">
        <v>149760.29</v>
      </c>
      <c r="R58" s="1311">
        <v>0</v>
      </c>
      <c r="S58" s="1311">
        <v>-0.08</v>
      </c>
      <c r="T58" s="1313">
        <v>299520.5</v>
      </c>
      <c r="U58" s="1310">
        <v>3831.05</v>
      </c>
      <c r="V58" s="1311">
        <v>0</v>
      </c>
      <c r="W58" s="1311">
        <v>520581.19</v>
      </c>
      <c r="X58" s="1311">
        <v>0</v>
      </c>
      <c r="Y58" s="1311">
        <v>-0.04</v>
      </c>
      <c r="Z58" s="1313">
        <v>524412.19999999995</v>
      </c>
      <c r="AA58" s="1303"/>
      <c r="AB58" s="1299"/>
      <c r="AC58" s="1299"/>
      <c r="AD58" s="1299"/>
      <c r="AE58" s="1299"/>
      <c r="AF58" s="1304"/>
      <c r="AG58" s="1310">
        <v>0</v>
      </c>
      <c r="AH58" s="1311">
        <v>0</v>
      </c>
      <c r="AI58" s="1311">
        <v>1040440.53</v>
      </c>
      <c r="AJ58" s="1311">
        <v>778687.59</v>
      </c>
      <c r="AK58" s="1299"/>
      <c r="AL58" s="1313">
        <v>1819128.12</v>
      </c>
    </row>
    <row r="59" spans="1:38" s="666" customFormat="1">
      <c r="A59" s="1308" t="s">
        <v>137</v>
      </c>
      <c r="B59" s="1309" t="s">
        <v>138</v>
      </c>
      <c r="C59" s="1148" t="s">
        <v>273</v>
      </c>
      <c r="D59" s="1291">
        <f t="shared" si="1"/>
        <v>90079.18</v>
      </c>
      <c r="E59" s="1218">
        <f t="shared" si="2"/>
        <v>1257985.96</v>
      </c>
      <c r="F59" s="1218">
        <f t="shared" si="3"/>
        <v>185931.9</v>
      </c>
      <c r="G59" s="1218">
        <f t="shared" si="4"/>
        <v>185932</v>
      </c>
      <c r="H59" s="1305">
        <f t="shared" si="4"/>
        <v>-0.1</v>
      </c>
      <c r="I59" s="1310">
        <v>73927.899999999994</v>
      </c>
      <c r="J59" s="1311">
        <v>0</v>
      </c>
      <c r="K59" s="1311">
        <v>73927.899999999994</v>
      </c>
      <c r="L59" s="1311">
        <v>0</v>
      </c>
      <c r="M59" s="1311">
        <v>-0.1</v>
      </c>
      <c r="N59" s="1312">
        <v>147855.70000000001</v>
      </c>
      <c r="O59" s="1310">
        <v>16151.28</v>
      </c>
      <c r="P59" s="1311">
        <v>0</v>
      </c>
      <c r="Q59" s="1311">
        <v>16151.28</v>
      </c>
      <c r="R59" s="1311">
        <v>0</v>
      </c>
      <c r="S59" s="1311">
        <v>0</v>
      </c>
      <c r="T59" s="1313">
        <v>32302.560000000001</v>
      </c>
      <c r="U59" s="1310">
        <v>0</v>
      </c>
      <c r="V59" s="1311">
        <v>0</v>
      </c>
      <c r="W59" s="1311">
        <v>5328</v>
      </c>
      <c r="X59" s="1311">
        <v>0</v>
      </c>
      <c r="Y59" s="1311">
        <v>0</v>
      </c>
      <c r="Z59" s="1313">
        <v>5328</v>
      </c>
      <c r="AA59" s="1303"/>
      <c r="AB59" s="1299"/>
      <c r="AC59" s="1299"/>
      <c r="AD59" s="1299"/>
      <c r="AE59" s="1299"/>
      <c r="AF59" s="1304"/>
      <c r="AG59" s="1310">
        <v>0</v>
      </c>
      <c r="AH59" s="1311">
        <v>0</v>
      </c>
      <c r="AI59" s="1311">
        <v>1162578.78</v>
      </c>
      <c r="AJ59" s="1311">
        <v>185932</v>
      </c>
      <c r="AK59" s="1299"/>
      <c r="AL59" s="1313">
        <v>1348510.78</v>
      </c>
    </row>
    <row r="60" spans="1:38" s="666" customFormat="1">
      <c r="A60" s="1308" t="s">
        <v>141</v>
      </c>
      <c r="B60" s="1309" t="s">
        <v>142</v>
      </c>
      <c r="C60" s="1148" t="s">
        <v>274</v>
      </c>
      <c r="D60" s="1291">
        <f t="shared" si="1"/>
        <v>113268.38</v>
      </c>
      <c r="E60" s="1218">
        <f t="shared" si="2"/>
        <v>1610283.24</v>
      </c>
      <c r="F60" s="1218">
        <f t="shared" si="3"/>
        <v>627299.54</v>
      </c>
      <c r="G60" s="1218">
        <f t="shared" si="4"/>
        <v>627299.64</v>
      </c>
      <c r="H60" s="1305">
        <f t="shared" si="4"/>
        <v>-0.1</v>
      </c>
      <c r="I60" s="1310">
        <v>103803.41</v>
      </c>
      <c r="J60" s="1311">
        <v>0</v>
      </c>
      <c r="K60" s="1311">
        <v>103803.41</v>
      </c>
      <c r="L60" s="1311">
        <v>0</v>
      </c>
      <c r="M60" s="1311">
        <v>-0.1</v>
      </c>
      <c r="N60" s="1312">
        <v>207606.72</v>
      </c>
      <c r="O60" s="1310">
        <v>9464.9699999999993</v>
      </c>
      <c r="P60" s="1311">
        <v>0</v>
      </c>
      <c r="Q60" s="1311">
        <v>9464.9699999999993</v>
      </c>
      <c r="R60" s="1311">
        <v>0</v>
      </c>
      <c r="S60" s="1311">
        <v>0</v>
      </c>
      <c r="T60" s="1313">
        <v>18929.939999999999</v>
      </c>
      <c r="U60" s="1310">
        <v>0</v>
      </c>
      <c r="V60" s="1311">
        <v>0</v>
      </c>
      <c r="W60" s="1311">
        <v>58039.6</v>
      </c>
      <c r="X60" s="1311">
        <v>0</v>
      </c>
      <c r="Y60" s="1311">
        <v>0</v>
      </c>
      <c r="Z60" s="1313">
        <v>58039.6</v>
      </c>
      <c r="AA60" s="1303"/>
      <c r="AB60" s="1299"/>
      <c r="AC60" s="1299"/>
      <c r="AD60" s="1299"/>
      <c r="AE60" s="1299"/>
      <c r="AF60" s="1304"/>
      <c r="AG60" s="1310">
        <v>0</v>
      </c>
      <c r="AH60" s="1311">
        <v>0</v>
      </c>
      <c r="AI60" s="1311">
        <v>1438975.26</v>
      </c>
      <c r="AJ60" s="1311">
        <v>627299.64</v>
      </c>
      <c r="AK60" s="1299"/>
      <c r="AL60" s="1313">
        <v>2066274.9</v>
      </c>
    </row>
    <row r="61" spans="1:38" s="666" customFormat="1">
      <c r="A61" s="1308" t="s">
        <v>147</v>
      </c>
      <c r="B61" s="1309" t="s">
        <v>148</v>
      </c>
      <c r="C61" s="1148" t="s">
        <v>271</v>
      </c>
      <c r="D61" s="1291">
        <f t="shared" si="1"/>
        <v>52224.69</v>
      </c>
      <c r="E61" s="1218">
        <f t="shared" si="2"/>
        <v>371721.54</v>
      </c>
      <c r="F61" s="1218">
        <f t="shared" si="3"/>
        <v>185442.23</v>
      </c>
      <c r="G61" s="1218">
        <f t="shared" si="4"/>
        <v>185347.28</v>
      </c>
      <c r="H61" s="1305">
        <f t="shared" si="4"/>
        <v>94.95</v>
      </c>
      <c r="I61" s="1310">
        <v>31770.14</v>
      </c>
      <c r="J61" s="1311">
        <v>0</v>
      </c>
      <c r="K61" s="1311">
        <v>31770.14</v>
      </c>
      <c r="L61" s="1311">
        <v>0</v>
      </c>
      <c r="M61" s="1311">
        <v>94.97</v>
      </c>
      <c r="N61" s="1312">
        <v>63635.25</v>
      </c>
      <c r="O61" s="1310">
        <v>20454.55</v>
      </c>
      <c r="P61" s="1311">
        <v>0</v>
      </c>
      <c r="Q61" s="1311">
        <v>20454.55</v>
      </c>
      <c r="R61" s="1311">
        <v>0</v>
      </c>
      <c r="S61" s="1311">
        <v>-0.02</v>
      </c>
      <c r="T61" s="1313">
        <v>40909.08</v>
      </c>
      <c r="U61" s="1310">
        <v>0</v>
      </c>
      <c r="V61" s="1311">
        <v>0</v>
      </c>
      <c r="W61" s="1311">
        <v>72976.61</v>
      </c>
      <c r="X61" s="1311">
        <v>0</v>
      </c>
      <c r="Y61" s="1311">
        <v>0</v>
      </c>
      <c r="Z61" s="1313">
        <v>72976.61</v>
      </c>
      <c r="AA61" s="1303"/>
      <c r="AB61" s="1299"/>
      <c r="AC61" s="1299"/>
      <c r="AD61" s="1299"/>
      <c r="AE61" s="1299"/>
      <c r="AF61" s="1304"/>
      <c r="AG61" s="1310">
        <v>0</v>
      </c>
      <c r="AH61" s="1311">
        <v>0</v>
      </c>
      <c r="AI61" s="1311">
        <v>246520.24</v>
      </c>
      <c r="AJ61" s="1311">
        <v>185347.28</v>
      </c>
      <c r="AK61" s="1299"/>
      <c r="AL61" s="1313">
        <v>431867.52</v>
      </c>
    </row>
    <row r="62" spans="1:38" s="666" customFormat="1">
      <c r="A62" s="1308" t="s">
        <v>149</v>
      </c>
      <c r="B62" s="1309" t="s">
        <v>150</v>
      </c>
      <c r="C62" s="1148" t="s">
        <v>272</v>
      </c>
      <c r="D62" s="1291">
        <f t="shared" si="1"/>
        <v>117906.81</v>
      </c>
      <c r="E62" s="1218">
        <f t="shared" si="2"/>
        <v>874473.87000000011</v>
      </c>
      <c r="F62" s="1218">
        <f t="shared" si="3"/>
        <v>209529.96000000002</v>
      </c>
      <c r="G62" s="1218">
        <f t="shared" si="4"/>
        <v>209530.07</v>
      </c>
      <c r="H62" s="1305">
        <f t="shared" si="4"/>
        <v>-0.11</v>
      </c>
      <c r="I62" s="1310">
        <v>39312.29</v>
      </c>
      <c r="J62" s="1311">
        <v>0</v>
      </c>
      <c r="K62" s="1311">
        <v>39312.29</v>
      </c>
      <c r="L62" s="1311">
        <v>0</v>
      </c>
      <c r="M62" s="1311">
        <v>-0.1</v>
      </c>
      <c r="N62" s="1312">
        <v>78624.479999999996</v>
      </c>
      <c r="O62" s="1310">
        <v>78523.02</v>
      </c>
      <c r="P62" s="1311">
        <v>0</v>
      </c>
      <c r="Q62" s="1311">
        <v>78523.02</v>
      </c>
      <c r="R62" s="1311">
        <v>0</v>
      </c>
      <c r="S62" s="1311">
        <v>-0.01</v>
      </c>
      <c r="T62" s="1313">
        <v>157046.03</v>
      </c>
      <c r="U62" s="1310">
        <v>71.5</v>
      </c>
      <c r="V62" s="1311">
        <v>0</v>
      </c>
      <c r="W62" s="1311">
        <v>13178.5</v>
      </c>
      <c r="X62" s="1311">
        <v>0</v>
      </c>
      <c r="Y62" s="1311">
        <v>0</v>
      </c>
      <c r="Z62" s="1313">
        <v>13250</v>
      </c>
      <c r="AA62" s="1303"/>
      <c r="AB62" s="1299"/>
      <c r="AC62" s="1299"/>
      <c r="AD62" s="1299"/>
      <c r="AE62" s="1299"/>
      <c r="AF62" s="1304"/>
      <c r="AG62" s="1310">
        <v>0</v>
      </c>
      <c r="AH62" s="1311">
        <v>0</v>
      </c>
      <c r="AI62" s="1311">
        <v>743460.06</v>
      </c>
      <c r="AJ62" s="1311">
        <v>209530.07</v>
      </c>
      <c r="AK62" s="1299"/>
      <c r="AL62" s="1313">
        <v>952990.13</v>
      </c>
    </row>
    <row r="63" spans="1:38" s="666" customFormat="1">
      <c r="A63" s="1308" t="s">
        <v>151</v>
      </c>
      <c r="B63" s="1309" t="s">
        <v>152</v>
      </c>
      <c r="C63" s="1148" t="s">
        <v>273</v>
      </c>
      <c r="D63" s="1291">
        <f t="shared" si="1"/>
        <v>76333.62</v>
      </c>
      <c r="E63" s="1218">
        <f t="shared" si="2"/>
        <v>362182.41</v>
      </c>
      <c r="F63" s="1218">
        <f t="shared" si="3"/>
        <v>143417.15000000002</v>
      </c>
      <c r="G63" s="1218">
        <f t="shared" si="4"/>
        <v>143417.20000000001</v>
      </c>
      <c r="H63" s="1305">
        <f t="shared" si="4"/>
        <v>-0.05</v>
      </c>
      <c r="I63" s="1310">
        <v>4342.53</v>
      </c>
      <c r="J63" s="1311">
        <v>0</v>
      </c>
      <c r="K63" s="1311">
        <v>4342.53</v>
      </c>
      <c r="L63" s="1311">
        <v>0</v>
      </c>
      <c r="M63" s="1311">
        <v>0</v>
      </c>
      <c r="N63" s="1312">
        <v>8685.06</v>
      </c>
      <c r="O63" s="1310">
        <v>71298.09</v>
      </c>
      <c r="P63" s="1311">
        <v>0</v>
      </c>
      <c r="Q63" s="1311">
        <v>71298.09</v>
      </c>
      <c r="R63" s="1311">
        <v>0</v>
      </c>
      <c r="S63" s="1311">
        <v>-0.05</v>
      </c>
      <c r="T63" s="1313">
        <v>142596.13</v>
      </c>
      <c r="U63" s="1310">
        <v>693</v>
      </c>
      <c r="V63" s="1311">
        <v>0</v>
      </c>
      <c r="W63" s="1311">
        <v>97045.24</v>
      </c>
      <c r="X63" s="1311">
        <v>0</v>
      </c>
      <c r="Y63" s="1311">
        <v>0</v>
      </c>
      <c r="Z63" s="1313">
        <v>97738.240000000005</v>
      </c>
      <c r="AA63" s="1303"/>
      <c r="AB63" s="1299"/>
      <c r="AC63" s="1299"/>
      <c r="AD63" s="1299"/>
      <c r="AE63" s="1299"/>
      <c r="AF63" s="1304"/>
      <c r="AG63" s="1310">
        <v>0</v>
      </c>
      <c r="AH63" s="1311">
        <v>0</v>
      </c>
      <c r="AI63" s="1311">
        <v>189496.55</v>
      </c>
      <c r="AJ63" s="1311">
        <v>143417.20000000001</v>
      </c>
      <c r="AK63" s="1299"/>
      <c r="AL63" s="1313">
        <v>332913.75</v>
      </c>
    </row>
    <row r="64" spans="1:38" s="666" customFormat="1">
      <c r="A64" s="1308" t="s">
        <v>153</v>
      </c>
      <c r="B64" s="1309" t="s">
        <v>154</v>
      </c>
      <c r="C64" s="1148" t="s">
        <v>275</v>
      </c>
      <c r="D64" s="1291">
        <f t="shared" si="1"/>
        <v>547767.69999999995</v>
      </c>
      <c r="E64" s="1218">
        <f t="shared" si="2"/>
        <v>2127959.81</v>
      </c>
      <c r="F64" s="1218">
        <f t="shared" si="3"/>
        <v>539666.73</v>
      </c>
      <c r="G64" s="1218">
        <f t="shared" si="4"/>
        <v>539666.93999999994</v>
      </c>
      <c r="H64" s="1305">
        <f t="shared" si="4"/>
        <v>-0.21000000000000002</v>
      </c>
      <c r="I64" s="1310">
        <v>345874.4</v>
      </c>
      <c r="J64" s="1311">
        <v>0</v>
      </c>
      <c r="K64" s="1311">
        <v>345874.4</v>
      </c>
      <c r="L64" s="1311">
        <v>0</v>
      </c>
      <c r="M64" s="1311">
        <v>-0.2</v>
      </c>
      <c r="N64" s="1312">
        <v>691748.6</v>
      </c>
      <c r="O64" s="1310">
        <v>191693.32</v>
      </c>
      <c r="P64" s="1311">
        <v>0</v>
      </c>
      <c r="Q64" s="1311">
        <v>191693.32</v>
      </c>
      <c r="R64" s="1311">
        <v>0</v>
      </c>
      <c r="S64" s="1311">
        <v>-0.01</v>
      </c>
      <c r="T64" s="1313">
        <v>383386.63</v>
      </c>
      <c r="U64" s="1310">
        <v>10199.98</v>
      </c>
      <c r="V64" s="1311">
        <v>0</v>
      </c>
      <c r="W64" s="1311">
        <v>232117.28</v>
      </c>
      <c r="X64" s="1311">
        <v>0</v>
      </c>
      <c r="Y64" s="1311">
        <v>0</v>
      </c>
      <c r="Z64" s="1313">
        <v>242317.26</v>
      </c>
      <c r="AA64" s="1303"/>
      <c r="AB64" s="1299"/>
      <c r="AC64" s="1299"/>
      <c r="AD64" s="1299"/>
      <c r="AE64" s="1299"/>
      <c r="AF64" s="1304"/>
      <c r="AG64" s="1310">
        <v>0</v>
      </c>
      <c r="AH64" s="1311">
        <v>0</v>
      </c>
      <c r="AI64" s="1311">
        <v>1358274.81</v>
      </c>
      <c r="AJ64" s="1311">
        <v>539666.93999999994</v>
      </c>
      <c r="AK64" s="1299"/>
      <c r="AL64" s="1313">
        <v>1897941.75</v>
      </c>
    </row>
    <row r="65" spans="1:38" s="666" customFormat="1">
      <c r="A65" s="1308" t="s">
        <v>155</v>
      </c>
      <c r="B65" s="1309" t="s">
        <v>156</v>
      </c>
      <c r="C65" s="1148" t="s">
        <v>272</v>
      </c>
      <c r="D65" s="1291">
        <f t="shared" si="1"/>
        <v>3479.88</v>
      </c>
      <c r="E65" s="1218">
        <f t="shared" si="2"/>
        <v>445583.08</v>
      </c>
      <c r="F65" s="1218">
        <f t="shared" si="3"/>
        <v>198322.81</v>
      </c>
      <c r="G65" s="1218">
        <f t="shared" si="4"/>
        <v>198322.85</v>
      </c>
      <c r="H65" s="1305">
        <f t="shared" si="4"/>
        <v>-0.04</v>
      </c>
      <c r="I65" s="1310">
        <v>3479.88</v>
      </c>
      <c r="J65" s="1311">
        <v>0</v>
      </c>
      <c r="K65" s="1311">
        <v>3479.88</v>
      </c>
      <c r="L65" s="1311">
        <v>0</v>
      </c>
      <c r="M65" s="1311">
        <v>-0.04</v>
      </c>
      <c r="N65" s="1312">
        <v>6959.72</v>
      </c>
      <c r="O65" s="1303"/>
      <c r="P65" s="1299"/>
      <c r="Q65" s="1299"/>
      <c r="R65" s="1299"/>
      <c r="S65" s="1299"/>
      <c r="T65" s="1304"/>
      <c r="U65" s="1303"/>
      <c r="V65" s="1299"/>
      <c r="W65" s="1299"/>
      <c r="X65" s="1299"/>
      <c r="Y65" s="1299"/>
      <c r="Z65" s="1304"/>
      <c r="AA65" s="1303"/>
      <c r="AB65" s="1299"/>
      <c r="AC65" s="1299"/>
      <c r="AD65" s="1299"/>
      <c r="AE65" s="1299"/>
      <c r="AF65" s="1304"/>
      <c r="AG65" s="1310">
        <v>0</v>
      </c>
      <c r="AH65" s="1311">
        <v>0</v>
      </c>
      <c r="AI65" s="1311">
        <v>442103.2</v>
      </c>
      <c r="AJ65" s="1311">
        <v>198322.85</v>
      </c>
      <c r="AK65" s="1299"/>
      <c r="AL65" s="1313">
        <v>640426.05000000005</v>
      </c>
    </row>
    <row r="66" spans="1:38" s="666" customFormat="1">
      <c r="A66" s="1308" t="s">
        <v>157</v>
      </c>
      <c r="B66" s="1309" t="s">
        <v>158</v>
      </c>
      <c r="C66" s="1148" t="s">
        <v>273</v>
      </c>
      <c r="D66" s="1291">
        <f t="shared" si="1"/>
        <v>39980.22</v>
      </c>
      <c r="E66" s="1218">
        <f t="shared" si="2"/>
        <v>412048.25</v>
      </c>
      <c r="F66" s="1218">
        <f t="shared" si="3"/>
        <v>283407.59999999998</v>
      </c>
      <c r="G66" s="1218">
        <f t="shared" si="4"/>
        <v>283407.61</v>
      </c>
      <c r="H66" s="1305">
        <f t="shared" si="4"/>
        <v>-0.01</v>
      </c>
      <c r="I66" s="1310">
        <v>4876.9399999999996</v>
      </c>
      <c r="J66" s="1311">
        <v>0</v>
      </c>
      <c r="K66" s="1311">
        <v>4876.9399999999996</v>
      </c>
      <c r="L66" s="1311">
        <v>0</v>
      </c>
      <c r="M66" s="1311">
        <v>-0.01</v>
      </c>
      <c r="N66" s="1312">
        <v>9753.8700000000008</v>
      </c>
      <c r="O66" s="1310">
        <v>34427</v>
      </c>
      <c r="P66" s="1311">
        <v>0</v>
      </c>
      <c r="Q66" s="1311">
        <v>34427</v>
      </c>
      <c r="R66" s="1311">
        <v>0</v>
      </c>
      <c r="S66" s="1311">
        <v>0</v>
      </c>
      <c r="T66" s="1313">
        <v>68854</v>
      </c>
      <c r="U66" s="1310">
        <v>676.28</v>
      </c>
      <c r="V66" s="1311">
        <v>0</v>
      </c>
      <c r="W66" s="1311">
        <v>20477.72</v>
      </c>
      <c r="X66" s="1311">
        <v>0</v>
      </c>
      <c r="Y66" s="1311">
        <v>0</v>
      </c>
      <c r="Z66" s="1313">
        <v>21154</v>
      </c>
      <c r="AA66" s="1303"/>
      <c r="AB66" s="1299"/>
      <c r="AC66" s="1299"/>
      <c r="AD66" s="1299"/>
      <c r="AE66" s="1299"/>
      <c r="AF66" s="1304"/>
      <c r="AG66" s="1310">
        <v>0</v>
      </c>
      <c r="AH66" s="1311">
        <v>0</v>
      </c>
      <c r="AI66" s="1311">
        <v>352266.59</v>
      </c>
      <c r="AJ66" s="1311">
        <v>283407.61</v>
      </c>
      <c r="AK66" s="1299"/>
      <c r="AL66" s="1313">
        <v>635674.19999999995</v>
      </c>
    </row>
    <row r="67" spans="1:38" s="666" customFormat="1">
      <c r="A67" s="1308" t="s">
        <v>163</v>
      </c>
      <c r="B67" s="1309" t="s">
        <v>164</v>
      </c>
      <c r="C67" s="1148" t="s">
        <v>271</v>
      </c>
      <c r="D67" s="1291">
        <f t="shared" si="1"/>
        <v>110819.45</v>
      </c>
      <c r="E67" s="1218">
        <f t="shared" si="2"/>
        <v>543482.64999999991</v>
      </c>
      <c r="F67" s="1218">
        <f t="shared" si="3"/>
        <v>106414.8</v>
      </c>
      <c r="G67" s="1218">
        <f t="shared" si="4"/>
        <v>106414.83</v>
      </c>
      <c r="H67" s="1305">
        <f t="shared" si="4"/>
        <v>-0.03</v>
      </c>
      <c r="I67" s="1310">
        <v>102923.69</v>
      </c>
      <c r="J67" s="1311">
        <v>0</v>
      </c>
      <c r="K67" s="1311">
        <v>102923.69</v>
      </c>
      <c r="L67" s="1311">
        <v>0</v>
      </c>
      <c r="M67" s="1311">
        <v>-0.03</v>
      </c>
      <c r="N67" s="1312">
        <v>205847.35</v>
      </c>
      <c r="O67" s="1310">
        <v>7895.76</v>
      </c>
      <c r="P67" s="1311">
        <v>0</v>
      </c>
      <c r="Q67" s="1311">
        <v>7895.76</v>
      </c>
      <c r="R67" s="1311">
        <v>0</v>
      </c>
      <c r="S67" s="1311">
        <v>0</v>
      </c>
      <c r="T67" s="1313">
        <v>15791.52</v>
      </c>
      <c r="U67" s="1310">
        <v>0</v>
      </c>
      <c r="V67" s="1311">
        <v>0</v>
      </c>
      <c r="W67" s="1311">
        <v>15105.23</v>
      </c>
      <c r="X67" s="1311">
        <v>0</v>
      </c>
      <c r="Y67" s="1311">
        <v>0</v>
      </c>
      <c r="Z67" s="1313">
        <v>15105.23</v>
      </c>
      <c r="AA67" s="1303"/>
      <c r="AB67" s="1299"/>
      <c r="AC67" s="1299"/>
      <c r="AD67" s="1299"/>
      <c r="AE67" s="1299"/>
      <c r="AF67" s="1304"/>
      <c r="AG67" s="1310">
        <v>0</v>
      </c>
      <c r="AH67" s="1311">
        <v>0</v>
      </c>
      <c r="AI67" s="1311">
        <v>417557.97</v>
      </c>
      <c r="AJ67" s="1311">
        <v>106414.83</v>
      </c>
      <c r="AK67" s="1299"/>
      <c r="AL67" s="1313">
        <v>523972.8</v>
      </c>
    </row>
    <row r="68" spans="1:38" s="666" customFormat="1">
      <c r="A68" s="1308" t="s">
        <v>165</v>
      </c>
      <c r="B68" s="1309" t="s">
        <v>166</v>
      </c>
      <c r="C68" s="1148" t="s">
        <v>273</v>
      </c>
      <c r="D68" s="1291">
        <f t="shared" si="1"/>
        <v>54545.93</v>
      </c>
      <c r="E68" s="1218">
        <f t="shared" si="2"/>
        <v>216117.59</v>
      </c>
      <c r="F68" s="1218">
        <f t="shared" si="3"/>
        <v>50144.33</v>
      </c>
      <c r="G68" s="1218">
        <f t="shared" si="4"/>
        <v>50144.36</v>
      </c>
      <c r="H68" s="1305">
        <f t="shared" si="4"/>
        <v>-0.03</v>
      </c>
      <c r="I68" s="1310">
        <v>34310.74</v>
      </c>
      <c r="J68" s="1311">
        <v>0</v>
      </c>
      <c r="K68" s="1311">
        <v>34310.74</v>
      </c>
      <c r="L68" s="1311">
        <v>0</v>
      </c>
      <c r="M68" s="1311">
        <v>-0.03</v>
      </c>
      <c r="N68" s="1312">
        <v>68621.45</v>
      </c>
      <c r="O68" s="1310">
        <v>19128.18</v>
      </c>
      <c r="P68" s="1311">
        <v>0</v>
      </c>
      <c r="Q68" s="1311">
        <v>19128.18</v>
      </c>
      <c r="R68" s="1311">
        <v>0</v>
      </c>
      <c r="S68" s="1311">
        <v>0</v>
      </c>
      <c r="T68" s="1313">
        <v>38256.36</v>
      </c>
      <c r="U68" s="1310">
        <v>1107.01</v>
      </c>
      <c r="V68" s="1311">
        <v>0</v>
      </c>
      <c r="W68" s="1311">
        <v>61454.83</v>
      </c>
      <c r="X68" s="1311">
        <v>0</v>
      </c>
      <c r="Y68" s="1311">
        <v>0</v>
      </c>
      <c r="Z68" s="1313">
        <v>62561.84</v>
      </c>
      <c r="AA68" s="1303"/>
      <c r="AB68" s="1299"/>
      <c r="AC68" s="1299"/>
      <c r="AD68" s="1299"/>
      <c r="AE68" s="1299"/>
      <c r="AF68" s="1304"/>
      <c r="AG68" s="1310">
        <v>0</v>
      </c>
      <c r="AH68" s="1311">
        <v>0</v>
      </c>
      <c r="AI68" s="1311">
        <v>101223.84</v>
      </c>
      <c r="AJ68" s="1311">
        <v>50144.36</v>
      </c>
      <c r="AK68" s="1299"/>
      <c r="AL68" s="1313">
        <v>151368.20000000001</v>
      </c>
    </row>
    <row r="69" spans="1:38" s="666" customFormat="1">
      <c r="A69" s="1308" t="s">
        <v>169</v>
      </c>
      <c r="B69" s="1309" t="s">
        <v>170</v>
      </c>
      <c r="C69" s="1148" t="s">
        <v>273</v>
      </c>
      <c r="D69" s="1291">
        <f t="shared" si="1"/>
        <v>42200.52</v>
      </c>
      <c r="E69" s="1218">
        <f t="shared" si="2"/>
        <v>507304.70999999996</v>
      </c>
      <c r="F69" s="1218">
        <f t="shared" si="3"/>
        <v>203526.30000000002</v>
      </c>
      <c r="G69" s="1218">
        <f t="shared" si="4"/>
        <v>203526.32</v>
      </c>
      <c r="H69" s="1305">
        <f t="shared" si="4"/>
        <v>-0.02</v>
      </c>
      <c r="I69" s="1310">
        <v>14442.41</v>
      </c>
      <c r="J69" s="1311">
        <v>0</v>
      </c>
      <c r="K69" s="1311">
        <v>14442.41</v>
      </c>
      <c r="L69" s="1311">
        <v>0</v>
      </c>
      <c r="M69" s="1311">
        <v>-0.02</v>
      </c>
      <c r="N69" s="1312">
        <v>28884.799999999999</v>
      </c>
      <c r="O69" s="1310">
        <v>27396.32</v>
      </c>
      <c r="P69" s="1311">
        <v>0</v>
      </c>
      <c r="Q69" s="1311">
        <v>27396.32</v>
      </c>
      <c r="R69" s="1311">
        <v>0</v>
      </c>
      <c r="S69" s="1311">
        <v>0</v>
      </c>
      <c r="T69" s="1313">
        <v>54792.639999999999</v>
      </c>
      <c r="U69" s="1310">
        <v>361.79</v>
      </c>
      <c r="V69" s="1311">
        <v>0</v>
      </c>
      <c r="W69" s="1311">
        <v>12023.19</v>
      </c>
      <c r="X69" s="1311">
        <v>0</v>
      </c>
      <c r="Y69" s="1311">
        <v>0</v>
      </c>
      <c r="Z69" s="1313">
        <v>12384.98</v>
      </c>
      <c r="AA69" s="1303"/>
      <c r="AB69" s="1299"/>
      <c r="AC69" s="1299"/>
      <c r="AD69" s="1299"/>
      <c r="AE69" s="1299"/>
      <c r="AF69" s="1304"/>
      <c r="AG69" s="1310">
        <v>0</v>
      </c>
      <c r="AH69" s="1311">
        <v>0</v>
      </c>
      <c r="AI69" s="1311">
        <v>453442.79</v>
      </c>
      <c r="AJ69" s="1311">
        <v>203526.32</v>
      </c>
      <c r="AK69" s="1299"/>
      <c r="AL69" s="1313">
        <v>656969.11</v>
      </c>
    </row>
    <row r="70" spans="1:38" s="666" customFormat="1">
      <c r="A70" s="1308" t="s">
        <v>171</v>
      </c>
      <c r="B70" s="1309" t="s">
        <v>172</v>
      </c>
      <c r="C70" s="1148" t="s">
        <v>274</v>
      </c>
      <c r="D70" s="1291">
        <f t="shared" ref="D70:D124" si="5">+I70+J70+O70+P70+U70+V70+AA70+AB70+AG70+AH70</f>
        <v>259597.72999999998</v>
      </c>
      <c r="E70" s="1218">
        <f t="shared" ref="E70:E124" si="6">+K70+Q70+W70+AC70+AI70</f>
        <v>1747866.69</v>
      </c>
      <c r="F70" s="1218">
        <f t="shared" ref="F70:F124" si="7">+G70+H70</f>
        <v>794356.02</v>
      </c>
      <c r="G70" s="1218">
        <f t="shared" ref="G70:H124" si="8">+L70+R70+X70+AD70+AJ70</f>
        <v>791756.12</v>
      </c>
      <c r="H70" s="1305">
        <f t="shared" si="8"/>
        <v>2599.8999999999996</v>
      </c>
      <c r="I70" s="1310">
        <v>120628.81</v>
      </c>
      <c r="J70" s="1311">
        <v>0</v>
      </c>
      <c r="K70" s="1311">
        <v>120628.81</v>
      </c>
      <c r="L70" s="1311">
        <v>0</v>
      </c>
      <c r="M70" s="1311">
        <v>-0.05</v>
      </c>
      <c r="N70" s="1312">
        <v>241257.57</v>
      </c>
      <c r="O70" s="1310">
        <v>129001.73</v>
      </c>
      <c r="P70" s="1311">
        <v>0</v>
      </c>
      <c r="Q70" s="1311">
        <v>129001.73</v>
      </c>
      <c r="R70" s="1311">
        <v>0</v>
      </c>
      <c r="S70" s="1311">
        <v>2599.96</v>
      </c>
      <c r="T70" s="1313">
        <v>260603.42</v>
      </c>
      <c r="U70" s="1310">
        <v>9967.19</v>
      </c>
      <c r="V70" s="1311">
        <v>0</v>
      </c>
      <c r="W70" s="1311">
        <v>183491.55</v>
      </c>
      <c r="X70" s="1311">
        <v>0</v>
      </c>
      <c r="Y70" s="1311">
        <v>-0.01</v>
      </c>
      <c r="Z70" s="1313">
        <v>193458.73</v>
      </c>
      <c r="AA70" s="1303"/>
      <c r="AB70" s="1299"/>
      <c r="AC70" s="1299"/>
      <c r="AD70" s="1299"/>
      <c r="AE70" s="1299"/>
      <c r="AF70" s="1304"/>
      <c r="AG70" s="1310">
        <v>0</v>
      </c>
      <c r="AH70" s="1311">
        <v>0</v>
      </c>
      <c r="AI70" s="1311">
        <v>1314744.6000000001</v>
      </c>
      <c r="AJ70" s="1311">
        <v>791756.12</v>
      </c>
      <c r="AK70" s="1299"/>
      <c r="AL70" s="1313">
        <v>2106500.7200000002</v>
      </c>
    </row>
    <row r="71" spans="1:38" s="666" customFormat="1">
      <c r="A71" s="1308" t="s">
        <v>173</v>
      </c>
      <c r="B71" s="1309" t="s">
        <v>174</v>
      </c>
      <c r="C71" s="1148" t="s">
        <v>274</v>
      </c>
      <c r="D71" s="1291">
        <f t="shared" si="5"/>
        <v>91892.029999999984</v>
      </c>
      <c r="E71" s="1218">
        <f t="shared" si="6"/>
        <v>884847.22</v>
      </c>
      <c r="F71" s="1218">
        <f t="shared" si="7"/>
        <v>254806.11</v>
      </c>
      <c r="G71" s="1218">
        <f t="shared" si="8"/>
        <v>254806.24</v>
      </c>
      <c r="H71" s="1305">
        <f t="shared" si="8"/>
        <v>-0.13</v>
      </c>
      <c r="I71" s="1310">
        <v>29973.919999999998</v>
      </c>
      <c r="J71" s="1311">
        <v>0</v>
      </c>
      <c r="K71" s="1311">
        <v>29973.919999999998</v>
      </c>
      <c r="L71" s="1311">
        <v>0</v>
      </c>
      <c r="M71" s="1311">
        <v>-0.06</v>
      </c>
      <c r="N71" s="1312">
        <v>59947.78</v>
      </c>
      <c r="O71" s="1310">
        <v>59544.85</v>
      </c>
      <c r="P71" s="1311">
        <v>0</v>
      </c>
      <c r="Q71" s="1311">
        <v>59544.85</v>
      </c>
      <c r="R71" s="1311">
        <v>0</v>
      </c>
      <c r="S71" s="1311">
        <v>-0.05</v>
      </c>
      <c r="T71" s="1313">
        <v>119089.65</v>
      </c>
      <c r="U71" s="1310">
        <v>2373.2600000000002</v>
      </c>
      <c r="V71" s="1311">
        <v>0</v>
      </c>
      <c r="W71" s="1311">
        <v>96558.82</v>
      </c>
      <c r="X71" s="1311">
        <v>0</v>
      </c>
      <c r="Y71" s="1311">
        <v>-0.02</v>
      </c>
      <c r="Z71" s="1313">
        <v>98932.06</v>
      </c>
      <c r="AA71" s="1303"/>
      <c r="AB71" s="1299"/>
      <c r="AC71" s="1299"/>
      <c r="AD71" s="1299"/>
      <c r="AE71" s="1299"/>
      <c r="AF71" s="1304"/>
      <c r="AG71" s="1310">
        <v>0</v>
      </c>
      <c r="AH71" s="1311">
        <v>0</v>
      </c>
      <c r="AI71" s="1311">
        <v>698769.63</v>
      </c>
      <c r="AJ71" s="1311">
        <v>254806.24</v>
      </c>
      <c r="AK71" s="1299"/>
      <c r="AL71" s="1313">
        <v>953575.87</v>
      </c>
    </row>
    <row r="72" spans="1:38" s="666" customFormat="1">
      <c r="A72" s="1308" t="s">
        <v>175</v>
      </c>
      <c r="B72" s="1309" t="s">
        <v>176</v>
      </c>
      <c r="C72" s="1148" t="s">
        <v>275</v>
      </c>
      <c r="D72" s="1291">
        <f t="shared" si="5"/>
        <v>592.5600000000004</v>
      </c>
      <c r="E72" s="1218">
        <f t="shared" si="6"/>
        <v>44672.71</v>
      </c>
      <c r="F72" s="1218">
        <f t="shared" si="7"/>
        <v>12877.49</v>
      </c>
      <c r="G72" s="1218">
        <f t="shared" si="8"/>
        <v>12877.43</v>
      </c>
      <c r="H72" s="1305">
        <f t="shared" si="8"/>
        <v>0.06</v>
      </c>
      <c r="I72" s="1310">
        <v>-2628.24</v>
      </c>
      <c r="J72" s="1311">
        <v>0</v>
      </c>
      <c r="K72" s="1311">
        <v>-2628.24</v>
      </c>
      <c r="L72" s="1311">
        <v>0</v>
      </c>
      <c r="M72" s="1311">
        <v>0.06</v>
      </c>
      <c r="N72" s="1312">
        <v>-5256.42</v>
      </c>
      <c r="O72" s="1310">
        <v>3220.8</v>
      </c>
      <c r="P72" s="1311">
        <v>0</v>
      </c>
      <c r="Q72" s="1311">
        <v>3220.8</v>
      </c>
      <c r="R72" s="1311">
        <v>0</v>
      </c>
      <c r="S72" s="1311">
        <v>0</v>
      </c>
      <c r="T72" s="1313">
        <v>6441.6</v>
      </c>
      <c r="U72" s="1310">
        <v>0</v>
      </c>
      <c r="V72" s="1311">
        <v>0</v>
      </c>
      <c r="W72" s="1311">
        <v>3085.8</v>
      </c>
      <c r="X72" s="1311">
        <v>0</v>
      </c>
      <c r="Y72" s="1311">
        <v>0</v>
      </c>
      <c r="Z72" s="1313">
        <v>3085.8</v>
      </c>
      <c r="AA72" s="1303"/>
      <c r="AB72" s="1299"/>
      <c r="AC72" s="1299"/>
      <c r="AD72" s="1299"/>
      <c r="AE72" s="1299"/>
      <c r="AF72" s="1304"/>
      <c r="AG72" s="1310">
        <v>0</v>
      </c>
      <c r="AH72" s="1311">
        <v>0</v>
      </c>
      <c r="AI72" s="1311">
        <v>40994.35</v>
      </c>
      <c r="AJ72" s="1311">
        <v>12877.43</v>
      </c>
      <c r="AK72" s="1299"/>
      <c r="AL72" s="1313">
        <v>53871.78</v>
      </c>
    </row>
    <row r="73" spans="1:38" s="666" customFormat="1">
      <c r="A73" s="1308" t="s">
        <v>179</v>
      </c>
      <c r="B73" s="1309" t="s">
        <v>180</v>
      </c>
      <c r="C73" s="1148" t="s">
        <v>272</v>
      </c>
      <c r="D73" s="1291">
        <f t="shared" si="5"/>
        <v>87495.810000000012</v>
      </c>
      <c r="E73" s="1218">
        <f t="shared" si="6"/>
        <v>2899292.9699999997</v>
      </c>
      <c r="F73" s="1218">
        <f t="shared" si="7"/>
        <v>853277.74</v>
      </c>
      <c r="G73" s="1218">
        <f t="shared" si="8"/>
        <v>853277.77</v>
      </c>
      <c r="H73" s="1305">
        <f t="shared" si="8"/>
        <v>-0.03</v>
      </c>
      <c r="I73" s="1310">
        <v>38371.26</v>
      </c>
      <c r="J73" s="1311">
        <v>0</v>
      </c>
      <c r="K73" s="1311">
        <v>38371.26</v>
      </c>
      <c r="L73" s="1311">
        <v>0</v>
      </c>
      <c r="M73" s="1311">
        <v>-0.03</v>
      </c>
      <c r="N73" s="1312">
        <v>76742.490000000005</v>
      </c>
      <c r="O73" s="1310">
        <v>47463</v>
      </c>
      <c r="P73" s="1311">
        <v>0</v>
      </c>
      <c r="Q73" s="1311">
        <v>47463</v>
      </c>
      <c r="R73" s="1311">
        <v>0</v>
      </c>
      <c r="S73" s="1311">
        <v>0</v>
      </c>
      <c r="T73" s="1313">
        <v>94926</v>
      </c>
      <c r="U73" s="1310">
        <v>1661.55</v>
      </c>
      <c r="V73" s="1311">
        <v>0</v>
      </c>
      <c r="W73" s="1311">
        <v>85508.45</v>
      </c>
      <c r="X73" s="1311">
        <v>0</v>
      </c>
      <c r="Y73" s="1311">
        <v>0</v>
      </c>
      <c r="Z73" s="1313">
        <v>87170</v>
      </c>
      <c r="AA73" s="1303"/>
      <c r="AB73" s="1299"/>
      <c r="AC73" s="1299"/>
      <c r="AD73" s="1299"/>
      <c r="AE73" s="1299"/>
      <c r="AF73" s="1304"/>
      <c r="AG73" s="1310">
        <v>0</v>
      </c>
      <c r="AH73" s="1311">
        <v>0</v>
      </c>
      <c r="AI73" s="1311">
        <v>2727950.26</v>
      </c>
      <c r="AJ73" s="1311">
        <v>853277.77</v>
      </c>
      <c r="AK73" s="1299"/>
      <c r="AL73" s="1313">
        <v>3581228.03</v>
      </c>
    </row>
    <row r="74" spans="1:38" s="666" customFormat="1">
      <c r="A74" s="1308" t="s">
        <v>183</v>
      </c>
      <c r="B74" s="1309" t="s">
        <v>184</v>
      </c>
      <c r="C74" s="1148" t="s">
        <v>273</v>
      </c>
      <c r="D74" s="1291">
        <f t="shared" si="5"/>
        <v>71271.12</v>
      </c>
      <c r="E74" s="1218">
        <f t="shared" si="6"/>
        <v>909205.02</v>
      </c>
      <c r="F74" s="1218">
        <f t="shared" si="7"/>
        <v>636290.42999999993</v>
      </c>
      <c r="G74" s="1218">
        <f t="shared" si="8"/>
        <v>635700.57999999996</v>
      </c>
      <c r="H74" s="1305">
        <f t="shared" si="8"/>
        <v>589.85</v>
      </c>
      <c r="I74" s="1310">
        <v>56132.12</v>
      </c>
      <c r="J74" s="1311">
        <v>0</v>
      </c>
      <c r="K74" s="1311">
        <v>56132.12</v>
      </c>
      <c r="L74" s="1311">
        <v>0</v>
      </c>
      <c r="M74" s="1311">
        <v>589.85</v>
      </c>
      <c r="N74" s="1312">
        <v>112854.09</v>
      </c>
      <c r="O74" s="1310">
        <v>15139</v>
      </c>
      <c r="P74" s="1311">
        <v>0</v>
      </c>
      <c r="Q74" s="1311">
        <v>15139</v>
      </c>
      <c r="R74" s="1311">
        <v>0</v>
      </c>
      <c r="S74" s="1311">
        <v>0</v>
      </c>
      <c r="T74" s="1313">
        <v>30278</v>
      </c>
      <c r="U74" s="1303"/>
      <c r="V74" s="1299"/>
      <c r="W74" s="1299"/>
      <c r="X74" s="1299"/>
      <c r="Y74" s="1299"/>
      <c r="Z74" s="1304"/>
      <c r="AA74" s="1303"/>
      <c r="AB74" s="1299"/>
      <c r="AC74" s="1299"/>
      <c r="AD74" s="1299"/>
      <c r="AE74" s="1299"/>
      <c r="AF74" s="1304"/>
      <c r="AG74" s="1310">
        <v>0</v>
      </c>
      <c r="AH74" s="1311">
        <v>0</v>
      </c>
      <c r="AI74" s="1311">
        <v>837933.9</v>
      </c>
      <c r="AJ74" s="1311">
        <v>635700.57999999996</v>
      </c>
      <c r="AK74" s="1299"/>
      <c r="AL74" s="1313">
        <v>1473634.48</v>
      </c>
    </row>
    <row r="75" spans="1:38" s="666" customFormat="1">
      <c r="A75" s="1308" t="s">
        <v>185</v>
      </c>
      <c r="B75" s="1309" t="s">
        <v>186</v>
      </c>
      <c r="C75" s="1148" t="s">
        <v>273</v>
      </c>
      <c r="D75" s="1291">
        <f t="shared" si="5"/>
        <v>122761.42000000001</v>
      </c>
      <c r="E75" s="1218">
        <f t="shared" si="6"/>
        <v>855510.12</v>
      </c>
      <c r="F75" s="1218">
        <f t="shared" si="7"/>
        <v>149627.03999999998</v>
      </c>
      <c r="G75" s="1218">
        <f t="shared" si="8"/>
        <v>149627.10999999999</v>
      </c>
      <c r="H75" s="1305">
        <f t="shared" si="8"/>
        <v>-7.0000000000000007E-2</v>
      </c>
      <c r="I75" s="1310">
        <v>44314.1</v>
      </c>
      <c r="J75" s="1311">
        <v>0</v>
      </c>
      <c r="K75" s="1311">
        <v>44314.1</v>
      </c>
      <c r="L75" s="1311">
        <v>0</v>
      </c>
      <c r="M75" s="1311">
        <v>-0.05</v>
      </c>
      <c r="N75" s="1312">
        <v>88628.15</v>
      </c>
      <c r="O75" s="1310">
        <v>77092.66</v>
      </c>
      <c r="P75" s="1311">
        <v>0</v>
      </c>
      <c r="Q75" s="1311">
        <v>77092.66</v>
      </c>
      <c r="R75" s="1311">
        <v>0</v>
      </c>
      <c r="S75" s="1311">
        <v>0</v>
      </c>
      <c r="T75" s="1313">
        <v>154185.32</v>
      </c>
      <c r="U75" s="1310">
        <v>1354.66</v>
      </c>
      <c r="V75" s="1311">
        <v>0</v>
      </c>
      <c r="W75" s="1311">
        <v>178508.89</v>
      </c>
      <c r="X75" s="1311">
        <v>0</v>
      </c>
      <c r="Y75" s="1311">
        <v>-0.02</v>
      </c>
      <c r="Z75" s="1313">
        <v>179863.53</v>
      </c>
      <c r="AA75" s="1303"/>
      <c r="AB75" s="1299"/>
      <c r="AC75" s="1299"/>
      <c r="AD75" s="1299"/>
      <c r="AE75" s="1299"/>
      <c r="AF75" s="1304"/>
      <c r="AG75" s="1310">
        <v>0</v>
      </c>
      <c r="AH75" s="1311">
        <v>0</v>
      </c>
      <c r="AI75" s="1311">
        <v>555594.47</v>
      </c>
      <c r="AJ75" s="1311">
        <v>149627.10999999999</v>
      </c>
      <c r="AK75" s="1299"/>
      <c r="AL75" s="1313">
        <v>705221.58</v>
      </c>
    </row>
    <row r="76" spans="1:38" s="666" customFormat="1">
      <c r="A76" s="1308" t="s">
        <v>187</v>
      </c>
      <c r="B76" s="1309" t="s">
        <v>188</v>
      </c>
      <c r="C76" s="1148" t="s">
        <v>271</v>
      </c>
      <c r="D76" s="1291">
        <f t="shared" si="5"/>
        <v>79507.209999999992</v>
      </c>
      <c r="E76" s="1218">
        <f t="shared" si="6"/>
        <v>758777.98</v>
      </c>
      <c r="F76" s="1218">
        <f t="shared" si="7"/>
        <v>408447.44</v>
      </c>
      <c r="G76" s="1218">
        <f t="shared" si="8"/>
        <v>408447.46</v>
      </c>
      <c r="H76" s="1305">
        <f t="shared" si="8"/>
        <v>-0.02</v>
      </c>
      <c r="I76" s="1310">
        <v>53539.21</v>
      </c>
      <c r="J76" s="1311">
        <v>0</v>
      </c>
      <c r="K76" s="1311">
        <v>53539.21</v>
      </c>
      <c r="L76" s="1311">
        <v>0</v>
      </c>
      <c r="M76" s="1311">
        <v>-0.02</v>
      </c>
      <c r="N76" s="1312">
        <v>107078.39999999999</v>
      </c>
      <c r="O76" s="1310">
        <v>25968</v>
      </c>
      <c r="P76" s="1311">
        <v>0</v>
      </c>
      <c r="Q76" s="1311">
        <v>25968</v>
      </c>
      <c r="R76" s="1311">
        <v>0</v>
      </c>
      <c r="S76" s="1311">
        <v>0</v>
      </c>
      <c r="T76" s="1313">
        <v>51936</v>
      </c>
      <c r="U76" s="1310">
        <v>0</v>
      </c>
      <c r="V76" s="1311">
        <v>0</v>
      </c>
      <c r="W76" s="1311">
        <v>7311</v>
      </c>
      <c r="X76" s="1311">
        <v>0</v>
      </c>
      <c r="Y76" s="1311">
        <v>0</v>
      </c>
      <c r="Z76" s="1313">
        <v>7311</v>
      </c>
      <c r="AA76" s="1303"/>
      <c r="AB76" s="1299"/>
      <c r="AC76" s="1299"/>
      <c r="AD76" s="1299"/>
      <c r="AE76" s="1299"/>
      <c r="AF76" s="1304"/>
      <c r="AG76" s="1310">
        <v>0</v>
      </c>
      <c r="AH76" s="1311">
        <v>0</v>
      </c>
      <c r="AI76" s="1311">
        <v>671959.77</v>
      </c>
      <c r="AJ76" s="1311">
        <v>408447.46</v>
      </c>
      <c r="AK76" s="1299"/>
      <c r="AL76" s="1313">
        <v>1080407.23</v>
      </c>
    </row>
    <row r="77" spans="1:38" s="666" customFormat="1">
      <c r="A77" s="1308" t="s">
        <v>189</v>
      </c>
      <c r="B77" s="1309" t="s">
        <v>190</v>
      </c>
      <c r="C77" s="1148" t="s">
        <v>274</v>
      </c>
      <c r="D77" s="1291">
        <f t="shared" si="5"/>
        <v>730782.04</v>
      </c>
      <c r="E77" s="1218">
        <f t="shared" si="6"/>
        <v>6946480.1299999999</v>
      </c>
      <c r="F77" s="1218">
        <f t="shared" si="7"/>
        <v>2813981.15</v>
      </c>
      <c r="G77" s="1218">
        <f t="shared" si="8"/>
        <v>2813981.36</v>
      </c>
      <c r="H77" s="1305">
        <f t="shared" si="8"/>
        <v>-0.21000000000000002</v>
      </c>
      <c r="I77" s="1310">
        <v>275166.21999999997</v>
      </c>
      <c r="J77" s="1311">
        <v>0</v>
      </c>
      <c r="K77" s="1311">
        <v>275166.21999999997</v>
      </c>
      <c r="L77" s="1311">
        <v>0</v>
      </c>
      <c r="M77" s="1311">
        <v>-0.16</v>
      </c>
      <c r="N77" s="1312">
        <v>550332.28</v>
      </c>
      <c r="O77" s="1310">
        <v>422050.13</v>
      </c>
      <c r="P77" s="1311">
        <v>0</v>
      </c>
      <c r="Q77" s="1311">
        <v>422050.13</v>
      </c>
      <c r="R77" s="1311">
        <v>0</v>
      </c>
      <c r="S77" s="1311">
        <v>-0.05</v>
      </c>
      <c r="T77" s="1313">
        <v>844100.21</v>
      </c>
      <c r="U77" s="1310">
        <v>33565.69</v>
      </c>
      <c r="V77" s="1311">
        <v>0</v>
      </c>
      <c r="W77" s="1311">
        <v>662715.73</v>
      </c>
      <c r="X77" s="1311">
        <v>0</v>
      </c>
      <c r="Y77" s="1311">
        <v>0</v>
      </c>
      <c r="Z77" s="1313">
        <v>696281.42</v>
      </c>
      <c r="AA77" s="1303"/>
      <c r="AB77" s="1299"/>
      <c r="AC77" s="1299"/>
      <c r="AD77" s="1299"/>
      <c r="AE77" s="1299"/>
      <c r="AF77" s="1304"/>
      <c r="AG77" s="1310">
        <v>0</v>
      </c>
      <c r="AH77" s="1311">
        <v>0</v>
      </c>
      <c r="AI77" s="1311">
        <v>5586548.0499999998</v>
      </c>
      <c r="AJ77" s="1311">
        <v>2813981.36</v>
      </c>
      <c r="AK77" s="1299"/>
      <c r="AL77" s="1313">
        <v>8400529.4100000001</v>
      </c>
    </row>
    <row r="78" spans="1:38" s="666" customFormat="1">
      <c r="A78" s="1308" t="s">
        <v>191</v>
      </c>
      <c r="B78" s="1309" t="s">
        <v>192</v>
      </c>
      <c r="C78" s="1148" t="s">
        <v>275</v>
      </c>
      <c r="D78" s="1291">
        <f t="shared" si="5"/>
        <v>841342.77</v>
      </c>
      <c r="E78" s="1218">
        <f t="shared" si="6"/>
        <v>3880081.9299999997</v>
      </c>
      <c r="F78" s="1218">
        <f t="shared" si="7"/>
        <v>1169309.3299999998</v>
      </c>
      <c r="G78" s="1218">
        <f t="shared" si="8"/>
        <v>1169309.67</v>
      </c>
      <c r="H78" s="1305">
        <f t="shared" si="8"/>
        <v>-0.34</v>
      </c>
      <c r="I78" s="1310">
        <v>733264.72</v>
      </c>
      <c r="J78" s="1311">
        <v>0</v>
      </c>
      <c r="K78" s="1311">
        <v>733264.72</v>
      </c>
      <c r="L78" s="1311">
        <v>0</v>
      </c>
      <c r="M78" s="1311">
        <v>-0.33</v>
      </c>
      <c r="N78" s="1312">
        <v>1466529.11</v>
      </c>
      <c r="O78" s="1310">
        <v>96984.99</v>
      </c>
      <c r="P78" s="1311">
        <v>0</v>
      </c>
      <c r="Q78" s="1311">
        <v>96984.99</v>
      </c>
      <c r="R78" s="1311">
        <v>0</v>
      </c>
      <c r="S78" s="1311">
        <v>-0.01</v>
      </c>
      <c r="T78" s="1313">
        <v>193969.97</v>
      </c>
      <c r="U78" s="1310">
        <v>11093.06</v>
      </c>
      <c r="V78" s="1311">
        <v>0</v>
      </c>
      <c r="W78" s="1311">
        <v>174182.44</v>
      </c>
      <c r="X78" s="1311">
        <v>0</v>
      </c>
      <c r="Y78" s="1311">
        <v>0</v>
      </c>
      <c r="Z78" s="1313">
        <v>185275.5</v>
      </c>
      <c r="AA78" s="1303"/>
      <c r="AB78" s="1299"/>
      <c r="AC78" s="1299"/>
      <c r="AD78" s="1299"/>
      <c r="AE78" s="1299"/>
      <c r="AF78" s="1304"/>
      <c r="AG78" s="1310">
        <v>0</v>
      </c>
      <c r="AH78" s="1311">
        <v>0</v>
      </c>
      <c r="AI78" s="1311">
        <v>2875649.78</v>
      </c>
      <c r="AJ78" s="1311">
        <v>1169309.67</v>
      </c>
      <c r="AK78" s="1299"/>
      <c r="AL78" s="1313">
        <v>4044959.45</v>
      </c>
    </row>
    <row r="79" spans="1:38" s="666" customFormat="1">
      <c r="A79" s="1308" t="s">
        <v>195</v>
      </c>
      <c r="B79" s="1309" t="s">
        <v>196</v>
      </c>
      <c r="C79" s="1148" t="s">
        <v>274</v>
      </c>
      <c r="D79" s="1291">
        <f t="shared" si="5"/>
        <v>86873.35</v>
      </c>
      <c r="E79" s="1218">
        <f t="shared" si="6"/>
        <v>740834.09000000008</v>
      </c>
      <c r="F79" s="1218">
        <f t="shared" si="7"/>
        <v>450152.06</v>
      </c>
      <c r="G79" s="1218">
        <f t="shared" si="8"/>
        <v>450152.08</v>
      </c>
      <c r="H79" s="1305">
        <f t="shared" si="8"/>
        <v>-0.02</v>
      </c>
      <c r="I79" s="1310">
        <v>82218.64</v>
      </c>
      <c r="J79" s="1311">
        <v>0</v>
      </c>
      <c r="K79" s="1311">
        <v>82218.64</v>
      </c>
      <c r="L79" s="1311">
        <v>0</v>
      </c>
      <c r="M79" s="1311">
        <v>-0.02</v>
      </c>
      <c r="N79" s="1312">
        <v>164437.26</v>
      </c>
      <c r="O79" s="1310">
        <v>4532.5</v>
      </c>
      <c r="P79" s="1311">
        <v>0</v>
      </c>
      <c r="Q79" s="1311">
        <v>4532.5</v>
      </c>
      <c r="R79" s="1311">
        <v>0</v>
      </c>
      <c r="S79" s="1311">
        <v>0</v>
      </c>
      <c r="T79" s="1313">
        <v>9065</v>
      </c>
      <c r="U79" s="1310">
        <v>122.21</v>
      </c>
      <c r="V79" s="1311">
        <v>0</v>
      </c>
      <c r="W79" s="1311">
        <v>7813.79</v>
      </c>
      <c r="X79" s="1311">
        <v>0</v>
      </c>
      <c r="Y79" s="1311">
        <v>0</v>
      </c>
      <c r="Z79" s="1313">
        <v>7936</v>
      </c>
      <c r="AA79" s="1303"/>
      <c r="AB79" s="1299"/>
      <c r="AC79" s="1299"/>
      <c r="AD79" s="1299"/>
      <c r="AE79" s="1299"/>
      <c r="AF79" s="1304"/>
      <c r="AG79" s="1310">
        <v>0</v>
      </c>
      <c r="AH79" s="1311">
        <v>0</v>
      </c>
      <c r="AI79" s="1311">
        <v>646269.16</v>
      </c>
      <c r="AJ79" s="1311">
        <v>450152.08</v>
      </c>
      <c r="AK79" s="1299"/>
      <c r="AL79" s="1313">
        <v>1096421.24</v>
      </c>
    </row>
    <row r="80" spans="1:38" s="666" customFormat="1">
      <c r="A80" s="1308" t="s">
        <v>199</v>
      </c>
      <c r="B80" s="1309" t="s">
        <v>200</v>
      </c>
      <c r="C80" s="1148" t="s">
        <v>273</v>
      </c>
      <c r="D80" s="1291">
        <f t="shared" si="5"/>
        <v>9559.68</v>
      </c>
      <c r="E80" s="1218">
        <f t="shared" si="6"/>
        <v>172040.28999999998</v>
      </c>
      <c r="F80" s="1218">
        <f t="shared" si="7"/>
        <v>65917.75</v>
      </c>
      <c r="G80" s="1218">
        <f t="shared" si="8"/>
        <v>65917.759999999995</v>
      </c>
      <c r="H80" s="1305">
        <f t="shared" si="8"/>
        <v>-0.01</v>
      </c>
      <c r="I80" s="1310">
        <v>6409.68</v>
      </c>
      <c r="J80" s="1311">
        <v>0</v>
      </c>
      <c r="K80" s="1311">
        <v>6409.68</v>
      </c>
      <c r="L80" s="1311">
        <v>0</v>
      </c>
      <c r="M80" s="1311">
        <v>-0.01</v>
      </c>
      <c r="N80" s="1312">
        <v>12819.35</v>
      </c>
      <c r="O80" s="1310">
        <v>3150</v>
      </c>
      <c r="P80" s="1311">
        <v>0</v>
      </c>
      <c r="Q80" s="1311">
        <v>3150</v>
      </c>
      <c r="R80" s="1311">
        <v>0</v>
      </c>
      <c r="S80" s="1311">
        <v>0</v>
      </c>
      <c r="T80" s="1313">
        <v>6300</v>
      </c>
      <c r="U80" s="1310">
        <v>0</v>
      </c>
      <c r="V80" s="1311">
        <v>0</v>
      </c>
      <c r="W80" s="1311">
        <v>15420</v>
      </c>
      <c r="X80" s="1311">
        <v>0</v>
      </c>
      <c r="Y80" s="1311">
        <v>0</v>
      </c>
      <c r="Z80" s="1313">
        <v>15420</v>
      </c>
      <c r="AA80" s="1303"/>
      <c r="AB80" s="1299"/>
      <c r="AC80" s="1299"/>
      <c r="AD80" s="1299"/>
      <c r="AE80" s="1299"/>
      <c r="AF80" s="1304"/>
      <c r="AG80" s="1310">
        <v>0</v>
      </c>
      <c r="AH80" s="1311">
        <v>0</v>
      </c>
      <c r="AI80" s="1311">
        <v>147060.60999999999</v>
      </c>
      <c r="AJ80" s="1311">
        <v>65917.759999999995</v>
      </c>
      <c r="AK80" s="1299"/>
      <c r="AL80" s="1313">
        <v>212978.37</v>
      </c>
    </row>
    <row r="81" spans="1:38" s="666" customFormat="1">
      <c r="A81" s="1308" t="s">
        <v>203</v>
      </c>
      <c r="B81" s="1309" t="s">
        <v>204</v>
      </c>
      <c r="C81" s="1148" t="s">
        <v>272</v>
      </c>
      <c r="D81" s="1291">
        <f t="shared" si="5"/>
        <v>572512.7300000001</v>
      </c>
      <c r="E81" s="1218">
        <f t="shared" si="6"/>
        <v>4769946.6899999995</v>
      </c>
      <c r="F81" s="1218">
        <f t="shared" si="7"/>
        <v>2381082.4700000002</v>
      </c>
      <c r="G81" s="1218">
        <f t="shared" si="8"/>
        <v>2381082.6800000002</v>
      </c>
      <c r="H81" s="1305">
        <f t="shared" si="8"/>
        <v>-0.21</v>
      </c>
      <c r="I81" s="1310">
        <v>276463.78000000003</v>
      </c>
      <c r="J81" s="1311">
        <v>0</v>
      </c>
      <c r="K81" s="1311">
        <v>276463.78000000003</v>
      </c>
      <c r="L81" s="1311">
        <v>0</v>
      </c>
      <c r="M81" s="1311">
        <v>-0.15</v>
      </c>
      <c r="N81" s="1312">
        <v>552927.41</v>
      </c>
      <c r="O81" s="1310">
        <v>273561.02</v>
      </c>
      <c r="P81" s="1311">
        <v>0</v>
      </c>
      <c r="Q81" s="1311">
        <v>273561.02</v>
      </c>
      <c r="R81" s="1311">
        <v>0</v>
      </c>
      <c r="S81" s="1311">
        <v>-0.06</v>
      </c>
      <c r="T81" s="1313">
        <v>547121.98</v>
      </c>
      <c r="U81" s="1310">
        <v>22487.93</v>
      </c>
      <c r="V81" s="1311">
        <v>0</v>
      </c>
      <c r="W81" s="1311">
        <v>865947.34</v>
      </c>
      <c r="X81" s="1311">
        <v>0</v>
      </c>
      <c r="Y81" s="1311">
        <v>0</v>
      </c>
      <c r="Z81" s="1313">
        <v>888435.27</v>
      </c>
      <c r="AA81" s="1303"/>
      <c r="AB81" s="1299"/>
      <c r="AC81" s="1299"/>
      <c r="AD81" s="1299"/>
      <c r="AE81" s="1299"/>
      <c r="AF81" s="1304"/>
      <c r="AG81" s="1310">
        <v>0</v>
      </c>
      <c r="AH81" s="1311">
        <v>0</v>
      </c>
      <c r="AI81" s="1311">
        <v>3353974.55</v>
      </c>
      <c r="AJ81" s="1311">
        <v>2381082.6800000002</v>
      </c>
      <c r="AK81" s="1299"/>
      <c r="AL81" s="1313">
        <v>5735057.2300000004</v>
      </c>
    </row>
    <row r="82" spans="1:38" s="666" customFormat="1">
      <c r="A82" s="1308" t="s">
        <v>205</v>
      </c>
      <c r="B82" s="1309" t="s">
        <v>206</v>
      </c>
      <c r="C82" s="1148" t="s">
        <v>272</v>
      </c>
      <c r="D82" s="1291">
        <f t="shared" si="5"/>
        <v>107255.08</v>
      </c>
      <c r="E82" s="1218">
        <f t="shared" si="6"/>
        <v>2385527.0499999998</v>
      </c>
      <c r="F82" s="1218">
        <f t="shared" si="7"/>
        <v>706409</v>
      </c>
      <c r="G82" s="1218">
        <f t="shared" si="8"/>
        <v>706409.04</v>
      </c>
      <c r="H82" s="1305">
        <f t="shared" si="8"/>
        <v>-0.04</v>
      </c>
      <c r="I82" s="1310">
        <v>32201.440000000002</v>
      </c>
      <c r="J82" s="1311">
        <v>0</v>
      </c>
      <c r="K82" s="1311">
        <v>32201.440000000002</v>
      </c>
      <c r="L82" s="1311">
        <v>0</v>
      </c>
      <c r="M82" s="1311">
        <v>-0.03</v>
      </c>
      <c r="N82" s="1312">
        <v>64402.85</v>
      </c>
      <c r="O82" s="1310">
        <v>75053.64</v>
      </c>
      <c r="P82" s="1311">
        <v>0</v>
      </c>
      <c r="Q82" s="1311">
        <v>75053.64</v>
      </c>
      <c r="R82" s="1311">
        <v>0</v>
      </c>
      <c r="S82" s="1311">
        <v>-0.01</v>
      </c>
      <c r="T82" s="1313">
        <v>150107.27000000002</v>
      </c>
      <c r="U82" s="1310">
        <v>0</v>
      </c>
      <c r="V82" s="1311">
        <v>0</v>
      </c>
      <c r="W82" s="1311">
        <v>47727</v>
      </c>
      <c r="X82" s="1311">
        <v>0</v>
      </c>
      <c r="Y82" s="1311">
        <v>0</v>
      </c>
      <c r="Z82" s="1313">
        <v>47727</v>
      </c>
      <c r="AA82" s="1303"/>
      <c r="AB82" s="1299"/>
      <c r="AC82" s="1299"/>
      <c r="AD82" s="1299"/>
      <c r="AE82" s="1299"/>
      <c r="AF82" s="1304"/>
      <c r="AG82" s="1310">
        <v>0</v>
      </c>
      <c r="AH82" s="1311">
        <v>0</v>
      </c>
      <c r="AI82" s="1311">
        <v>2230544.9699999997</v>
      </c>
      <c r="AJ82" s="1311">
        <v>706409.04</v>
      </c>
      <c r="AK82" s="1299"/>
      <c r="AL82" s="1313">
        <v>2936954.0100000002</v>
      </c>
    </row>
    <row r="83" spans="1:38" s="666" customFormat="1">
      <c r="A83" s="1308" t="s">
        <v>207</v>
      </c>
      <c r="B83" s="1309" t="s">
        <v>208</v>
      </c>
      <c r="C83" s="1148" t="s">
        <v>274</v>
      </c>
      <c r="D83" s="1291">
        <f t="shared" si="5"/>
        <v>1674474.74</v>
      </c>
      <c r="E83" s="1218">
        <f t="shared" si="6"/>
        <v>8814739.3399999999</v>
      </c>
      <c r="F83" s="1218">
        <f t="shared" si="7"/>
        <v>3078950.22</v>
      </c>
      <c r="G83" s="1218">
        <f t="shared" si="8"/>
        <v>3078950.35</v>
      </c>
      <c r="H83" s="1305">
        <f t="shared" si="8"/>
        <v>-0.13</v>
      </c>
      <c r="I83" s="1310">
        <v>893476.6399999999</v>
      </c>
      <c r="J83" s="1311">
        <v>0</v>
      </c>
      <c r="K83" s="1311">
        <v>893476.6399999999</v>
      </c>
      <c r="L83" s="1311">
        <v>0</v>
      </c>
      <c r="M83" s="1311">
        <v>-7.0000000000000007E-2</v>
      </c>
      <c r="N83" s="1312">
        <v>1786953.21</v>
      </c>
      <c r="O83" s="1310">
        <v>676317.28</v>
      </c>
      <c r="P83" s="1311">
        <v>0</v>
      </c>
      <c r="Q83" s="1311">
        <v>676317.28</v>
      </c>
      <c r="R83" s="1311">
        <v>0</v>
      </c>
      <c r="S83" s="1311">
        <v>-0.06</v>
      </c>
      <c r="T83" s="1313">
        <v>1352634.5</v>
      </c>
      <c r="U83" s="1310">
        <v>104680.82</v>
      </c>
      <c r="V83" s="1311">
        <v>0</v>
      </c>
      <c r="W83" s="1311">
        <v>1630178.8</v>
      </c>
      <c r="X83" s="1311">
        <v>0</v>
      </c>
      <c r="Y83" s="1311">
        <v>0</v>
      </c>
      <c r="Z83" s="1313">
        <v>1734859.62</v>
      </c>
      <c r="AA83" s="1303"/>
      <c r="AB83" s="1299"/>
      <c r="AC83" s="1299"/>
      <c r="AD83" s="1299"/>
      <c r="AE83" s="1299"/>
      <c r="AF83" s="1304"/>
      <c r="AG83" s="1310">
        <v>0</v>
      </c>
      <c r="AH83" s="1311">
        <v>0</v>
      </c>
      <c r="AI83" s="1311">
        <v>5614766.6200000001</v>
      </c>
      <c r="AJ83" s="1311">
        <v>3078950.35</v>
      </c>
      <c r="AK83" s="1299"/>
      <c r="AL83" s="1313">
        <v>8693716.9700000007</v>
      </c>
    </row>
    <row r="84" spans="1:38" s="666" customFormat="1">
      <c r="A84" s="1308" t="s">
        <v>209</v>
      </c>
      <c r="B84" s="1309" t="s">
        <v>210</v>
      </c>
      <c r="C84" s="1148" t="s">
        <v>275</v>
      </c>
      <c r="D84" s="1291">
        <f t="shared" si="5"/>
        <v>610103.07999999996</v>
      </c>
      <c r="E84" s="1218">
        <f t="shared" si="6"/>
        <v>1897032.47</v>
      </c>
      <c r="F84" s="1218">
        <f t="shared" si="7"/>
        <v>296511.40999999997</v>
      </c>
      <c r="G84" s="1218">
        <f t="shared" si="8"/>
        <v>296511.75</v>
      </c>
      <c r="H84" s="1305">
        <f t="shared" si="8"/>
        <v>-0.33999999999999997</v>
      </c>
      <c r="I84" s="1310">
        <v>317993.78000000003</v>
      </c>
      <c r="J84" s="1311">
        <v>0</v>
      </c>
      <c r="K84" s="1311">
        <v>317993.78000000003</v>
      </c>
      <c r="L84" s="1311">
        <v>0</v>
      </c>
      <c r="M84" s="1311">
        <v>-0.3</v>
      </c>
      <c r="N84" s="1312">
        <v>635987.26</v>
      </c>
      <c r="O84" s="1310">
        <v>291523.21999999997</v>
      </c>
      <c r="P84" s="1311">
        <v>0</v>
      </c>
      <c r="Q84" s="1311">
        <v>291523.21999999997</v>
      </c>
      <c r="R84" s="1311">
        <v>0</v>
      </c>
      <c r="S84" s="1311">
        <v>-0.04</v>
      </c>
      <c r="T84" s="1313">
        <v>583046.40000000002</v>
      </c>
      <c r="U84" s="1310">
        <v>586.08000000000004</v>
      </c>
      <c r="V84" s="1311">
        <v>0</v>
      </c>
      <c r="W84" s="1311">
        <v>81268.990000000005</v>
      </c>
      <c r="X84" s="1311">
        <v>0</v>
      </c>
      <c r="Y84" s="1311">
        <v>0</v>
      </c>
      <c r="Z84" s="1313">
        <v>81855.070000000007</v>
      </c>
      <c r="AA84" s="1303"/>
      <c r="AB84" s="1299"/>
      <c r="AC84" s="1299"/>
      <c r="AD84" s="1299"/>
      <c r="AE84" s="1299"/>
      <c r="AF84" s="1304"/>
      <c r="AG84" s="1310">
        <v>0</v>
      </c>
      <c r="AH84" s="1311">
        <v>0</v>
      </c>
      <c r="AI84" s="1311">
        <v>1206246.48</v>
      </c>
      <c r="AJ84" s="1311">
        <v>296511.75</v>
      </c>
      <c r="AK84" s="1299"/>
      <c r="AL84" s="1313">
        <v>1502758.23</v>
      </c>
    </row>
    <row r="85" spans="1:38" s="666" customFormat="1">
      <c r="A85" s="1308" t="s">
        <v>211</v>
      </c>
      <c r="B85" s="1309" t="s">
        <v>212</v>
      </c>
      <c r="C85" s="1148" t="s">
        <v>275</v>
      </c>
      <c r="D85" s="1291">
        <f t="shared" si="5"/>
        <v>359353.28</v>
      </c>
      <c r="E85" s="1218">
        <f t="shared" si="6"/>
        <v>1016658.8200000001</v>
      </c>
      <c r="F85" s="1218">
        <f t="shared" si="7"/>
        <v>249727.83000000002</v>
      </c>
      <c r="G85" s="1218">
        <f t="shared" si="8"/>
        <v>249727.89</v>
      </c>
      <c r="H85" s="1305">
        <f t="shared" si="8"/>
        <v>-0.06</v>
      </c>
      <c r="I85" s="1310">
        <v>232016.78</v>
      </c>
      <c r="J85" s="1311">
        <v>0</v>
      </c>
      <c r="K85" s="1311">
        <v>232016.78</v>
      </c>
      <c r="L85" s="1311">
        <v>0</v>
      </c>
      <c r="M85" s="1311">
        <v>-0.06</v>
      </c>
      <c r="N85" s="1312">
        <v>464033.5</v>
      </c>
      <c r="O85" s="1310">
        <v>126643.5</v>
      </c>
      <c r="P85" s="1311">
        <v>0</v>
      </c>
      <c r="Q85" s="1311">
        <v>126643.5</v>
      </c>
      <c r="R85" s="1311">
        <v>0</v>
      </c>
      <c r="S85" s="1311">
        <v>0</v>
      </c>
      <c r="T85" s="1313">
        <v>253287</v>
      </c>
      <c r="U85" s="1310">
        <v>693</v>
      </c>
      <c r="V85" s="1311">
        <v>0</v>
      </c>
      <c r="W85" s="1311">
        <v>94933.08</v>
      </c>
      <c r="X85" s="1311">
        <v>0</v>
      </c>
      <c r="Y85" s="1311">
        <v>0</v>
      </c>
      <c r="Z85" s="1313">
        <v>95626.08</v>
      </c>
      <c r="AA85" s="1303"/>
      <c r="AB85" s="1299"/>
      <c r="AC85" s="1299"/>
      <c r="AD85" s="1299"/>
      <c r="AE85" s="1299"/>
      <c r="AF85" s="1304"/>
      <c r="AG85" s="1310">
        <v>0</v>
      </c>
      <c r="AH85" s="1311">
        <v>0</v>
      </c>
      <c r="AI85" s="1311">
        <v>563065.46</v>
      </c>
      <c r="AJ85" s="1311">
        <v>249727.89</v>
      </c>
      <c r="AK85" s="1299"/>
      <c r="AL85" s="1313">
        <v>812793.35</v>
      </c>
    </row>
    <row r="86" spans="1:38" s="666" customFormat="1">
      <c r="A86" s="1308" t="s">
        <v>213</v>
      </c>
      <c r="B86" s="1309" t="s">
        <v>214</v>
      </c>
      <c r="C86" s="1148" t="s">
        <v>274</v>
      </c>
      <c r="D86" s="1291">
        <f t="shared" si="5"/>
        <v>262392.14999999997</v>
      </c>
      <c r="E86" s="1218">
        <f t="shared" si="6"/>
        <v>2124544.9300000002</v>
      </c>
      <c r="F86" s="1218">
        <f t="shared" si="7"/>
        <v>760573.95000000007</v>
      </c>
      <c r="G86" s="1218">
        <f t="shared" si="8"/>
        <v>760574.03</v>
      </c>
      <c r="H86" s="1305">
        <f t="shared" si="8"/>
        <v>-0.08</v>
      </c>
      <c r="I86" s="1310">
        <v>215029.05</v>
      </c>
      <c r="J86" s="1311">
        <v>0</v>
      </c>
      <c r="K86" s="1311">
        <v>215029.05</v>
      </c>
      <c r="L86" s="1311">
        <v>0</v>
      </c>
      <c r="M86" s="1311">
        <v>-0.06</v>
      </c>
      <c r="N86" s="1312">
        <v>430058.04</v>
      </c>
      <c r="O86" s="1310">
        <v>35783.120000000003</v>
      </c>
      <c r="P86" s="1311">
        <v>0</v>
      </c>
      <c r="Q86" s="1311">
        <v>35783.120000000003</v>
      </c>
      <c r="R86" s="1311">
        <v>0</v>
      </c>
      <c r="S86" s="1311">
        <v>-0.02</v>
      </c>
      <c r="T86" s="1313">
        <v>71566.22</v>
      </c>
      <c r="U86" s="1310">
        <v>11579.98</v>
      </c>
      <c r="V86" s="1311">
        <v>0</v>
      </c>
      <c r="W86" s="1311">
        <v>341601.21</v>
      </c>
      <c r="X86" s="1311">
        <v>0</v>
      </c>
      <c r="Y86" s="1311">
        <v>0</v>
      </c>
      <c r="Z86" s="1313">
        <v>353181.19</v>
      </c>
      <c r="AA86" s="1303"/>
      <c r="AB86" s="1299"/>
      <c r="AC86" s="1299"/>
      <c r="AD86" s="1299"/>
      <c r="AE86" s="1299"/>
      <c r="AF86" s="1304"/>
      <c r="AG86" s="1310">
        <v>0</v>
      </c>
      <c r="AH86" s="1311">
        <v>0</v>
      </c>
      <c r="AI86" s="1311">
        <v>1532131.55</v>
      </c>
      <c r="AJ86" s="1311">
        <v>760574.03</v>
      </c>
      <c r="AK86" s="1299"/>
      <c r="AL86" s="1313">
        <v>2292705.58</v>
      </c>
    </row>
    <row r="87" spans="1:38" s="666" customFormat="1">
      <c r="A87" s="1308" t="s">
        <v>215</v>
      </c>
      <c r="B87" s="1309" t="s">
        <v>216</v>
      </c>
      <c r="C87" s="1148" t="s">
        <v>275</v>
      </c>
      <c r="D87" s="1291">
        <f t="shared" si="5"/>
        <v>149250.64000000001</v>
      </c>
      <c r="E87" s="1218">
        <f t="shared" si="6"/>
        <v>688140.26</v>
      </c>
      <c r="F87" s="1218">
        <f t="shared" si="7"/>
        <v>118896.26000000001</v>
      </c>
      <c r="G87" s="1218">
        <f t="shared" si="8"/>
        <v>118896.32000000001</v>
      </c>
      <c r="H87" s="1305">
        <f t="shared" si="8"/>
        <v>-0.06</v>
      </c>
      <c r="I87" s="1310">
        <v>59241.56</v>
      </c>
      <c r="J87" s="1311">
        <v>0</v>
      </c>
      <c r="K87" s="1311">
        <v>59241.56</v>
      </c>
      <c r="L87" s="1311">
        <v>0</v>
      </c>
      <c r="M87" s="1311">
        <v>-0.04</v>
      </c>
      <c r="N87" s="1312">
        <v>118483.08</v>
      </c>
      <c r="O87" s="1310">
        <v>87788.96</v>
      </c>
      <c r="P87" s="1311">
        <v>0</v>
      </c>
      <c r="Q87" s="1311">
        <v>87788.96</v>
      </c>
      <c r="R87" s="1311">
        <v>0</v>
      </c>
      <c r="S87" s="1311">
        <v>-0.02</v>
      </c>
      <c r="T87" s="1313">
        <v>175577.9</v>
      </c>
      <c r="U87" s="1310">
        <v>2220.12</v>
      </c>
      <c r="V87" s="1311">
        <v>0</v>
      </c>
      <c r="W87" s="1311">
        <v>48795.38</v>
      </c>
      <c r="X87" s="1311">
        <v>0</v>
      </c>
      <c r="Y87" s="1311">
        <v>0</v>
      </c>
      <c r="Z87" s="1313">
        <v>51015.5</v>
      </c>
      <c r="AA87" s="1303"/>
      <c r="AB87" s="1299"/>
      <c r="AC87" s="1299"/>
      <c r="AD87" s="1299"/>
      <c r="AE87" s="1299"/>
      <c r="AF87" s="1304"/>
      <c r="AG87" s="1310">
        <v>0</v>
      </c>
      <c r="AH87" s="1311">
        <v>0</v>
      </c>
      <c r="AI87" s="1311">
        <v>492314.36</v>
      </c>
      <c r="AJ87" s="1311">
        <v>118896.32000000001</v>
      </c>
      <c r="AK87" s="1299"/>
      <c r="AL87" s="1313">
        <v>611210.68000000005</v>
      </c>
    </row>
    <row r="88" spans="1:38" s="666" customFormat="1">
      <c r="A88" s="1308" t="s">
        <v>217</v>
      </c>
      <c r="B88" s="1309" t="s">
        <v>218</v>
      </c>
      <c r="C88" s="1148" t="s">
        <v>271</v>
      </c>
      <c r="D88" s="1291">
        <f t="shared" si="5"/>
        <v>64669.43</v>
      </c>
      <c r="E88" s="1218">
        <f t="shared" si="6"/>
        <v>396982.61</v>
      </c>
      <c r="F88" s="1218">
        <f t="shared" si="7"/>
        <v>165735.97</v>
      </c>
      <c r="G88" s="1218">
        <f t="shared" si="8"/>
        <v>162056.98000000001</v>
      </c>
      <c r="H88" s="1305">
        <f t="shared" si="8"/>
        <v>3678.99</v>
      </c>
      <c r="I88" s="1310">
        <v>30951.93</v>
      </c>
      <c r="J88" s="1311">
        <v>0</v>
      </c>
      <c r="K88" s="1311">
        <v>30951.93</v>
      </c>
      <c r="L88" s="1311">
        <v>0</v>
      </c>
      <c r="M88" s="1311">
        <v>-0.01</v>
      </c>
      <c r="N88" s="1312">
        <v>61903.85</v>
      </c>
      <c r="O88" s="1310">
        <v>33717.5</v>
      </c>
      <c r="P88" s="1311">
        <v>0</v>
      </c>
      <c r="Q88" s="1311">
        <v>33717.5</v>
      </c>
      <c r="R88" s="1311">
        <v>0</v>
      </c>
      <c r="S88" s="1311">
        <v>3679</v>
      </c>
      <c r="T88" s="1313">
        <v>71114</v>
      </c>
      <c r="U88" s="1303"/>
      <c r="V88" s="1299"/>
      <c r="W88" s="1299"/>
      <c r="X88" s="1299"/>
      <c r="Y88" s="1299"/>
      <c r="Z88" s="1304"/>
      <c r="AA88" s="1303"/>
      <c r="AB88" s="1299"/>
      <c r="AC88" s="1299"/>
      <c r="AD88" s="1299"/>
      <c r="AE88" s="1299"/>
      <c r="AF88" s="1304"/>
      <c r="AG88" s="1310">
        <v>0</v>
      </c>
      <c r="AH88" s="1311">
        <v>0</v>
      </c>
      <c r="AI88" s="1311">
        <v>332313.18</v>
      </c>
      <c r="AJ88" s="1311">
        <v>162056.98000000001</v>
      </c>
      <c r="AK88" s="1299"/>
      <c r="AL88" s="1313">
        <v>494370.16</v>
      </c>
    </row>
    <row r="89" spans="1:38" s="666" customFormat="1">
      <c r="A89" s="1308" t="s">
        <v>219</v>
      </c>
      <c r="B89" s="1309" t="s">
        <v>220</v>
      </c>
      <c r="C89" s="1148" t="s">
        <v>274</v>
      </c>
      <c r="D89" s="1291">
        <f t="shared" si="5"/>
        <v>557524.26</v>
      </c>
      <c r="E89" s="1218">
        <f t="shared" si="6"/>
        <v>4597248.3499999996</v>
      </c>
      <c r="F89" s="1218">
        <f t="shared" si="7"/>
        <v>3039371.65</v>
      </c>
      <c r="G89" s="1218">
        <f t="shared" si="8"/>
        <v>3039371.9</v>
      </c>
      <c r="H89" s="1305">
        <f t="shared" si="8"/>
        <v>-0.25</v>
      </c>
      <c r="I89" s="1310">
        <v>336027.59</v>
      </c>
      <c r="J89" s="1311">
        <v>0</v>
      </c>
      <c r="K89" s="1311">
        <v>336027.59</v>
      </c>
      <c r="L89" s="1311">
        <v>0</v>
      </c>
      <c r="M89" s="1311">
        <v>-0.24</v>
      </c>
      <c r="N89" s="1312">
        <v>672054.94</v>
      </c>
      <c r="O89" s="1310">
        <v>220956.57</v>
      </c>
      <c r="P89" s="1311">
        <v>0</v>
      </c>
      <c r="Q89" s="1311">
        <v>220956.57</v>
      </c>
      <c r="R89" s="1311">
        <v>0</v>
      </c>
      <c r="S89" s="1311">
        <v>-0.01</v>
      </c>
      <c r="T89" s="1313">
        <v>441913.13</v>
      </c>
      <c r="U89" s="1310">
        <v>540.1</v>
      </c>
      <c r="V89" s="1311">
        <v>0</v>
      </c>
      <c r="W89" s="1311">
        <v>558875.68999999994</v>
      </c>
      <c r="X89" s="1311">
        <v>0</v>
      </c>
      <c r="Y89" s="1311">
        <v>0</v>
      </c>
      <c r="Z89" s="1313">
        <v>559415.79</v>
      </c>
      <c r="AA89" s="1303"/>
      <c r="AB89" s="1299"/>
      <c r="AC89" s="1299"/>
      <c r="AD89" s="1299"/>
      <c r="AE89" s="1299"/>
      <c r="AF89" s="1304"/>
      <c r="AG89" s="1310">
        <v>0</v>
      </c>
      <c r="AH89" s="1311">
        <v>0</v>
      </c>
      <c r="AI89" s="1311">
        <v>3481388.5</v>
      </c>
      <c r="AJ89" s="1311">
        <v>3039371.9</v>
      </c>
      <c r="AK89" s="1299"/>
      <c r="AL89" s="1313">
        <v>6520760.4000000004</v>
      </c>
    </row>
    <row r="90" spans="1:38" s="666" customFormat="1">
      <c r="A90" s="1308" t="s">
        <v>221</v>
      </c>
      <c r="B90" s="1309" t="s">
        <v>222</v>
      </c>
      <c r="C90" s="1148" t="s">
        <v>274</v>
      </c>
      <c r="D90" s="1291">
        <f t="shared" si="5"/>
        <v>427067.67</v>
      </c>
      <c r="E90" s="1218">
        <f t="shared" si="6"/>
        <v>3483052.09</v>
      </c>
      <c r="F90" s="1218">
        <f t="shared" si="7"/>
        <v>1919140.93</v>
      </c>
      <c r="G90" s="1218">
        <f t="shared" si="8"/>
        <v>1919140.94</v>
      </c>
      <c r="H90" s="1305">
        <f t="shared" si="8"/>
        <v>-0.01</v>
      </c>
      <c r="I90" s="1310">
        <v>61649.81</v>
      </c>
      <c r="J90" s="1311">
        <v>0</v>
      </c>
      <c r="K90" s="1311">
        <v>61649.81</v>
      </c>
      <c r="L90" s="1311">
        <v>0</v>
      </c>
      <c r="M90" s="1311">
        <v>-0.01</v>
      </c>
      <c r="N90" s="1312">
        <v>123299.61</v>
      </c>
      <c r="O90" s="1310">
        <v>337306.5</v>
      </c>
      <c r="P90" s="1311">
        <v>0</v>
      </c>
      <c r="Q90" s="1311">
        <v>337306.5</v>
      </c>
      <c r="R90" s="1311">
        <v>0</v>
      </c>
      <c r="S90" s="1311">
        <v>0</v>
      </c>
      <c r="T90" s="1313">
        <v>674613</v>
      </c>
      <c r="U90" s="1310">
        <v>28111.360000000001</v>
      </c>
      <c r="V90" s="1311">
        <v>0</v>
      </c>
      <c r="W90" s="1311">
        <v>613881.73</v>
      </c>
      <c r="X90" s="1311">
        <v>0</v>
      </c>
      <c r="Y90" s="1311">
        <v>0</v>
      </c>
      <c r="Z90" s="1313">
        <v>641993.09</v>
      </c>
      <c r="AA90" s="1303"/>
      <c r="AB90" s="1299"/>
      <c r="AC90" s="1299"/>
      <c r="AD90" s="1299"/>
      <c r="AE90" s="1299"/>
      <c r="AF90" s="1304"/>
      <c r="AG90" s="1310">
        <v>0</v>
      </c>
      <c r="AH90" s="1311">
        <v>0</v>
      </c>
      <c r="AI90" s="1311">
        <v>2470214.0499999998</v>
      </c>
      <c r="AJ90" s="1311">
        <v>1919140.94</v>
      </c>
      <c r="AK90" s="1299"/>
      <c r="AL90" s="1313">
        <v>4389354.99</v>
      </c>
    </row>
    <row r="91" spans="1:38" s="666" customFormat="1">
      <c r="A91" s="1308" t="s">
        <v>225</v>
      </c>
      <c r="B91" s="1309" t="s">
        <v>226</v>
      </c>
      <c r="C91" s="1148" t="s">
        <v>271</v>
      </c>
      <c r="D91" s="1291">
        <f t="shared" si="5"/>
        <v>735.25</v>
      </c>
      <c r="E91" s="1218">
        <f t="shared" si="6"/>
        <v>85849.86</v>
      </c>
      <c r="F91" s="1218">
        <f t="shared" si="7"/>
        <v>59352.67</v>
      </c>
      <c r="G91" s="1218">
        <f t="shared" si="8"/>
        <v>59352.67</v>
      </c>
      <c r="H91" s="1305">
        <f t="shared" si="8"/>
        <v>0</v>
      </c>
      <c r="I91" s="1310">
        <v>-2414.75</v>
      </c>
      <c r="J91" s="1311">
        <v>0</v>
      </c>
      <c r="K91" s="1311">
        <v>-2414.75</v>
      </c>
      <c r="L91" s="1311">
        <v>0</v>
      </c>
      <c r="M91" s="1311">
        <v>0</v>
      </c>
      <c r="N91" s="1312">
        <v>-4829.5</v>
      </c>
      <c r="O91" s="1310">
        <v>3150</v>
      </c>
      <c r="P91" s="1311">
        <v>0</v>
      </c>
      <c r="Q91" s="1311">
        <v>3150</v>
      </c>
      <c r="R91" s="1311">
        <v>0</v>
      </c>
      <c r="S91" s="1311">
        <v>0</v>
      </c>
      <c r="T91" s="1313">
        <v>6300</v>
      </c>
      <c r="U91" s="1303"/>
      <c r="V91" s="1299"/>
      <c r="W91" s="1299"/>
      <c r="X91" s="1299"/>
      <c r="Y91" s="1299"/>
      <c r="Z91" s="1304"/>
      <c r="AA91" s="1303"/>
      <c r="AB91" s="1299"/>
      <c r="AC91" s="1299"/>
      <c r="AD91" s="1299"/>
      <c r="AE91" s="1299"/>
      <c r="AF91" s="1304"/>
      <c r="AG91" s="1310">
        <v>0</v>
      </c>
      <c r="AH91" s="1311">
        <v>0</v>
      </c>
      <c r="AI91" s="1311">
        <v>85114.61</v>
      </c>
      <c r="AJ91" s="1311">
        <v>59352.67</v>
      </c>
      <c r="AK91" s="1299"/>
      <c r="AL91" s="1313">
        <v>144467.28</v>
      </c>
    </row>
    <row r="92" spans="1:38" s="666" customFormat="1">
      <c r="A92" s="1308" t="s">
        <v>227</v>
      </c>
      <c r="B92" s="1309" t="s">
        <v>228</v>
      </c>
      <c r="C92" s="1148" t="s">
        <v>271</v>
      </c>
      <c r="D92" s="1291">
        <f t="shared" si="5"/>
        <v>77234.200000000012</v>
      </c>
      <c r="E92" s="1218">
        <f t="shared" si="6"/>
        <v>520272.75</v>
      </c>
      <c r="F92" s="1218">
        <f t="shared" si="7"/>
        <v>126143.16</v>
      </c>
      <c r="G92" s="1218">
        <f t="shared" si="8"/>
        <v>126143.21</v>
      </c>
      <c r="H92" s="1305">
        <f t="shared" si="8"/>
        <v>-0.05</v>
      </c>
      <c r="I92" s="1310">
        <v>60575.35</v>
      </c>
      <c r="J92" s="1311">
        <v>0</v>
      </c>
      <c r="K92" s="1311">
        <v>60575.35</v>
      </c>
      <c r="L92" s="1311">
        <v>0</v>
      </c>
      <c r="M92" s="1311">
        <v>-0.05</v>
      </c>
      <c r="N92" s="1312">
        <v>121150.65</v>
      </c>
      <c r="O92" s="1310">
        <v>15984</v>
      </c>
      <c r="P92" s="1311">
        <v>0</v>
      </c>
      <c r="Q92" s="1311">
        <v>15984</v>
      </c>
      <c r="R92" s="1311">
        <v>0</v>
      </c>
      <c r="S92" s="1311">
        <v>0</v>
      </c>
      <c r="T92" s="1313">
        <v>31968</v>
      </c>
      <c r="U92" s="1310">
        <v>674.85</v>
      </c>
      <c r="V92" s="1311">
        <v>0</v>
      </c>
      <c r="W92" s="1311">
        <v>31522.15</v>
      </c>
      <c r="X92" s="1311">
        <v>0</v>
      </c>
      <c r="Y92" s="1311">
        <v>0</v>
      </c>
      <c r="Z92" s="1313">
        <v>32197</v>
      </c>
      <c r="AA92" s="1303"/>
      <c r="AB92" s="1299"/>
      <c r="AC92" s="1299"/>
      <c r="AD92" s="1299"/>
      <c r="AE92" s="1299"/>
      <c r="AF92" s="1304"/>
      <c r="AG92" s="1310">
        <v>0</v>
      </c>
      <c r="AH92" s="1311">
        <v>0</v>
      </c>
      <c r="AI92" s="1311">
        <v>412191.25</v>
      </c>
      <c r="AJ92" s="1311">
        <v>126143.21</v>
      </c>
      <c r="AK92" s="1299"/>
      <c r="AL92" s="1313">
        <v>538334.46</v>
      </c>
    </row>
    <row r="93" spans="1:38" s="666" customFormat="1">
      <c r="A93" s="1308" t="s">
        <v>229</v>
      </c>
      <c r="B93" s="1309" t="s">
        <v>230</v>
      </c>
      <c r="C93" s="1148" t="s">
        <v>275</v>
      </c>
      <c r="D93" s="1291">
        <f t="shared" si="5"/>
        <v>720985.89</v>
      </c>
      <c r="E93" s="1218">
        <f t="shared" si="6"/>
        <v>2749892.7</v>
      </c>
      <c r="F93" s="1218">
        <f t="shared" si="7"/>
        <v>439581.13999999996</v>
      </c>
      <c r="G93" s="1218">
        <f t="shared" si="8"/>
        <v>439581.41</v>
      </c>
      <c r="H93" s="1305">
        <f t="shared" si="8"/>
        <v>-0.27</v>
      </c>
      <c r="I93" s="1310">
        <v>377495.1</v>
      </c>
      <c r="J93" s="1311">
        <v>0</v>
      </c>
      <c r="K93" s="1311">
        <v>377495.1</v>
      </c>
      <c r="L93" s="1311">
        <v>0</v>
      </c>
      <c r="M93" s="1311">
        <v>-0.24</v>
      </c>
      <c r="N93" s="1312">
        <v>754989.96</v>
      </c>
      <c r="O93" s="1310">
        <v>331211.01</v>
      </c>
      <c r="P93" s="1311">
        <v>0</v>
      </c>
      <c r="Q93" s="1311">
        <v>331211.01</v>
      </c>
      <c r="R93" s="1311">
        <v>0</v>
      </c>
      <c r="S93" s="1311">
        <v>-0.02</v>
      </c>
      <c r="T93" s="1313">
        <v>662422</v>
      </c>
      <c r="U93" s="1310">
        <v>12279.78</v>
      </c>
      <c r="V93" s="1311">
        <v>0</v>
      </c>
      <c r="W93" s="1311">
        <v>554368.51</v>
      </c>
      <c r="X93" s="1311">
        <v>0</v>
      </c>
      <c r="Y93" s="1311">
        <v>-0.01</v>
      </c>
      <c r="Z93" s="1313">
        <v>566648.28</v>
      </c>
      <c r="AA93" s="1303"/>
      <c r="AB93" s="1299"/>
      <c r="AC93" s="1299"/>
      <c r="AD93" s="1299"/>
      <c r="AE93" s="1299"/>
      <c r="AF93" s="1304"/>
      <c r="AG93" s="1310">
        <v>0</v>
      </c>
      <c r="AH93" s="1311">
        <v>0</v>
      </c>
      <c r="AI93" s="1311">
        <v>1486818.08</v>
      </c>
      <c r="AJ93" s="1311">
        <v>439581.41</v>
      </c>
      <c r="AK93" s="1299"/>
      <c r="AL93" s="1313">
        <v>1926399.49</v>
      </c>
    </row>
    <row r="94" spans="1:38" s="666" customFormat="1">
      <c r="A94" s="1308" t="s">
        <v>233</v>
      </c>
      <c r="B94" s="1309" t="s">
        <v>234</v>
      </c>
      <c r="C94" s="1148" t="s">
        <v>274</v>
      </c>
      <c r="D94" s="1291">
        <f t="shared" si="5"/>
        <v>305451.38</v>
      </c>
      <c r="E94" s="1218">
        <f t="shared" si="6"/>
        <v>1971527.8499999999</v>
      </c>
      <c r="F94" s="1218">
        <f t="shared" si="7"/>
        <v>750087.76</v>
      </c>
      <c r="G94" s="1218">
        <f t="shared" si="8"/>
        <v>750088.01</v>
      </c>
      <c r="H94" s="1305">
        <f t="shared" si="8"/>
        <v>-0.25</v>
      </c>
      <c r="I94" s="1310">
        <v>118786.51</v>
      </c>
      <c r="J94" s="1311">
        <v>0</v>
      </c>
      <c r="K94" s="1311">
        <v>118786.51</v>
      </c>
      <c r="L94" s="1311">
        <v>0</v>
      </c>
      <c r="M94" s="1311">
        <v>-0.19</v>
      </c>
      <c r="N94" s="1312">
        <v>237572.83</v>
      </c>
      <c r="O94" s="1310">
        <v>154893.18</v>
      </c>
      <c r="P94" s="1311">
        <v>0</v>
      </c>
      <c r="Q94" s="1311">
        <v>154893.18</v>
      </c>
      <c r="R94" s="1311">
        <v>0</v>
      </c>
      <c r="S94" s="1311">
        <v>-0.06</v>
      </c>
      <c r="T94" s="1313">
        <v>309786.3</v>
      </c>
      <c r="U94" s="1310">
        <v>31771.69</v>
      </c>
      <c r="V94" s="1311">
        <v>0</v>
      </c>
      <c r="W94" s="1311">
        <v>474301.77</v>
      </c>
      <c r="X94" s="1311">
        <v>0</v>
      </c>
      <c r="Y94" s="1311">
        <v>0</v>
      </c>
      <c r="Z94" s="1313">
        <v>506073.46</v>
      </c>
      <c r="AA94" s="1303"/>
      <c r="AB94" s="1299"/>
      <c r="AC94" s="1299"/>
      <c r="AD94" s="1299"/>
      <c r="AE94" s="1299"/>
      <c r="AF94" s="1304"/>
      <c r="AG94" s="1310">
        <v>0</v>
      </c>
      <c r="AH94" s="1311">
        <v>0</v>
      </c>
      <c r="AI94" s="1311">
        <v>1223546.3899999999</v>
      </c>
      <c r="AJ94" s="1311">
        <v>750088.01</v>
      </c>
      <c r="AK94" s="1299"/>
      <c r="AL94" s="1313">
        <v>1973634.4</v>
      </c>
    </row>
    <row r="95" spans="1:38" s="666" customFormat="1">
      <c r="A95" s="1308" t="s">
        <v>235</v>
      </c>
      <c r="B95" s="1309" t="s">
        <v>236</v>
      </c>
      <c r="C95" s="1148" t="s">
        <v>275</v>
      </c>
      <c r="D95" s="1291">
        <f t="shared" si="5"/>
        <v>376918.26</v>
      </c>
      <c r="E95" s="1218">
        <f t="shared" si="6"/>
        <v>1210138.42</v>
      </c>
      <c r="F95" s="1218">
        <f t="shared" si="7"/>
        <v>276654.93</v>
      </c>
      <c r="G95" s="1218">
        <f t="shared" si="8"/>
        <v>268264.53999999998</v>
      </c>
      <c r="H95" s="1305">
        <f t="shared" si="8"/>
        <v>8390.39</v>
      </c>
      <c r="I95" s="1310">
        <v>179430</v>
      </c>
      <c r="J95" s="1311">
        <v>0</v>
      </c>
      <c r="K95" s="1311">
        <v>179430</v>
      </c>
      <c r="L95" s="1311">
        <v>0</v>
      </c>
      <c r="M95" s="1311">
        <v>-0.18</v>
      </c>
      <c r="N95" s="1312">
        <v>358859.82</v>
      </c>
      <c r="O95" s="1310">
        <v>196812.02</v>
      </c>
      <c r="P95" s="1311">
        <v>0</v>
      </c>
      <c r="Q95" s="1311">
        <v>196812.02</v>
      </c>
      <c r="R95" s="1311">
        <v>0</v>
      </c>
      <c r="S95" s="1311">
        <v>8390.57</v>
      </c>
      <c r="T95" s="1313">
        <v>402014.61</v>
      </c>
      <c r="U95" s="1310">
        <v>676.24</v>
      </c>
      <c r="V95" s="1311">
        <v>0</v>
      </c>
      <c r="W95" s="1311">
        <v>99204.78</v>
      </c>
      <c r="X95" s="1311">
        <v>0</v>
      </c>
      <c r="Y95" s="1311">
        <v>0</v>
      </c>
      <c r="Z95" s="1313">
        <v>99881.02</v>
      </c>
      <c r="AA95" s="1303"/>
      <c r="AB95" s="1299"/>
      <c r="AC95" s="1299"/>
      <c r="AD95" s="1299"/>
      <c r="AE95" s="1299"/>
      <c r="AF95" s="1304"/>
      <c r="AG95" s="1310">
        <v>0</v>
      </c>
      <c r="AH95" s="1311">
        <v>0</v>
      </c>
      <c r="AI95" s="1311">
        <v>734691.62</v>
      </c>
      <c r="AJ95" s="1311">
        <v>268264.53999999998</v>
      </c>
      <c r="AK95" s="1299"/>
      <c r="AL95" s="1313">
        <v>1002956.16</v>
      </c>
    </row>
    <row r="96" spans="1:38" s="666" customFormat="1">
      <c r="A96" s="1308" t="s">
        <v>237</v>
      </c>
      <c r="B96" s="1309" t="s">
        <v>238</v>
      </c>
      <c r="C96" s="1148" t="s">
        <v>273</v>
      </c>
      <c r="D96" s="1291">
        <f t="shared" si="5"/>
        <v>28232.5</v>
      </c>
      <c r="E96" s="1218">
        <f t="shared" si="6"/>
        <v>758189.84000000008</v>
      </c>
      <c r="F96" s="1218">
        <f t="shared" si="7"/>
        <v>314570.51999999996</v>
      </c>
      <c r="G96" s="1218">
        <f t="shared" si="8"/>
        <v>314570.53999999998</v>
      </c>
      <c r="H96" s="1305">
        <f t="shared" si="8"/>
        <v>-0.02</v>
      </c>
      <c r="I96" s="1310">
        <v>9435.4</v>
      </c>
      <c r="J96" s="1311">
        <v>0</v>
      </c>
      <c r="K96" s="1311">
        <v>9435.4</v>
      </c>
      <c r="L96" s="1311">
        <v>0</v>
      </c>
      <c r="M96" s="1311">
        <v>-0.02</v>
      </c>
      <c r="N96" s="1312">
        <v>18870.78</v>
      </c>
      <c r="O96" s="1310">
        <v>18147</v>
      </c>
      <c r="P96" s="1311">
        <v>0</v>
      </c>
      <c r="Q96" s="1311">
        <v>18147</v>
      </c>
      <c r="R96" s="1311">
        <v>0</v>
      </c>
      <c r="S96" s="1311">
        <v>0</v>
      </c>
      <c r="T96" s="1313">
        <v>36294</v>
      </c>
      <c r="U96" s="1310">
        <v>650.1</v>
      </c>
      <c r="V96" s="1311">
        <v>0</v>
      </c>
      <c r="W96" s="1311">
        <v>35682.9</v>
      </c>
      <c r="X96" s="1311">
        <v>0</v>
      </c>
      <c r="Y96" s="1311">
        <v>0</v>
      </c>
      <c r="Z96" s="1313">
        <v>36333</v>
      </c>
      <c r="AA96" s="1303"/>
      <c r="AB96" s="1299"/>
      <c r="AC96" s="1299"/>
      <c r="AD96" s="1299"/>
      <c r="AE96" s="1299"/>
      <c r="AF96" s="1304"/>
      <c r="AG96" s="1310">
        <v>0</v>
      </c>
      <c r="AH96" s="1311">
        <v>0</v>
      </c>
      <c r="AI96" s="1311">
        <v>694924.54</v>
      </c>
      <c r="AJ96" s="1311">
        <v>314570.53999999998</v>
      </c>
      <c r="AK96" s="1299"/>
      <c r="AL96" s="1313">
        <v>1009495.08</v>
      </c>
    </row>
    <row r="97" spans="1:38" s="666" customFormat="1">
      <c r="A97" s="1308" t="s">
        <v>243</v>
      </c>
      <c r="B97" s="1309" t="s">
        <v>244</v>
      </c>
      <c r="C97" s="1148" t="s">
        <v>275</v>
      </c>
      <c r="D97" s="1291">
        <f t="shared" si="5"/>
        <v>682490.17</v>
      </c>
      <c r="E97" s="1218">
        <f t="shared" si="6"/>
        <v>2231206.11</v>
      </c>
      <c r="F97" s="1218">
        <f t="shared" si="7"/>
        <v>456135.78</v>
      </c>
      <c r="G97" s="1218">
        <f t="shared" si="8"/>
        <v>456135.96</v>
      </c>
      <c r="H97" s="1305">
        <f t="shared" si="8"/>
        <v>-0.18000000000000002</v>
      </c>
      <c r="I97" s="1310">
        <v>262966.26</v>
      </c>
      <c r="J97" s="1311">
        <v>0</v>
      </c>
      <c r="K97" s="1311">
        <v>262966.26</v>
      </c>
      <c r="L97" s="1311">
        <v>0</v>
      </c>
      <c r="M97" s="1311">
        <v>-0.14000000000000001</v>
      </c>
      <c r="N97" s="1312">
        <v>525932.38</v>
      </c>
      <c r="O97" s="1310">
        <v>407527.85</v>
      </c>
      <c r="P97" s="1311">
        <v>0</v>
      </c>
      <c r="Q97" s="1311">
        <v>407527.85</v>
      </c>
      <c r="R97" s="1311">
        <v>0</v>
      </c>
      <c r="S97" s="1311">
        <v>-0.04</v>
      </c>
      <c r="T97" s="1313">
        <v>815055.66</v>
      </c>
      <c r="U97" s="1310">
        <v>11996.06</v>
      </c>
      <c r="V97" s="1311">
        <v>0</v>
      </c>
      <c r="W97" s="1311">
        <v>256960.75</v>
      </c>
      <c r="X97" s="1311">
        <v>0</v>
      </c>
      <c r="Y97" s="1311">
        <v>0</v>
      </c>
      <c r="Z97" s="1313">
        <v>268956.81</v>
      </c>
      <c r="AA97" s="1303"/>
      <c r="AB97" s="1299"/>
      <c r="AC97" s="1299"/>
      <c r="AD97" s="1299"/>
      <c r="AE97" s="1299"/>
      <c r="AF97" s="1304"/>
      <c r="AG97" s="1310">
        <v>0</v>
      </c>
      <c r="AH97" s="1311">
        <v>0</v>
      </c>
      <c r="AI97" s="1311">
        <v>1303751.25</v>
      </c>
      <c r="AJ97" s="1311">
        <v>456135.96</v>
      </c>
      <c r="AK97" s="1299"/>
      <c r="AL97" s="1313">
        <v>1759887.21</v>
      </c>
    </row>
    <row r="98" spans="1:38" s="666" customFormat="1">
      <c r="A98" s="1308" t="s">
        <v>245</v>
      </c>
      <c r="B98" s="1309" t="s">
        <v>246</v>
      </c>
      <c r="C98" s="1148" t="s">
        <v>275</v>
      </c>
      <c r="D98" s="1291">
        <f t="shared" si="5"/>
        <v>489358.99</v>
      </c>
      <c r="E98" s="1218">
        <f t="shared" si="6"/>
        <v>2483798.79</v>
      </c>
      <c r="F98" s="1218">
        <f t="shared" si="7"/>
        <v>677931.45</v>
      </c>
      <c r="G98" s="1218">
        <f t="shared" si="8"/>
        <v>677931.72</v>
      </c>
      <c r="H98" s="1305">
        <f t="shared" si="8"/>
        <v>-0.27</v>
      </c>
      <c r="I98" s="1310">
        <v>327248.59999999998</v>
      </c>
      <c r="J98" s="1311">
        <v>0</v>
      </c>
      <c r="K98" s="1311">
        <v>327248.59999999998</v>
      </c>
      <c r="L98" s="1311">
        <v>0</v>
      </c>
      <c r="M98" s="1311">
        <v>-0.26</v>
      </c>
      <c r="N98" s="1312">
        <v>654496.93999999994</v>
      </c>
      <c r="O98" s="1310">
        <v>158774.53</v>
      </c>
      <c r="P98" s="1311">
        <v>0</v>
      </c>
      <c r="Q98" s="1311">
        <v>158774.53</v>
      </c>
      <c r="R98" s="1311">
        <v>0</v>
      </c>
      <c r="S98" s="1311">
        <v>-0.01</v>
      </c>
      <c r="T98" s="1313">
        <v>317549.05</v>
      </c>
      <c r="U98" s="1310">
        <v>3335.86</v>
      </c>
      <c r="V98" s="1311">
        <v>0</v>
      </c>
      <c r="W98" s="1311">
        <v>141135.45000000001</v>
      </c>
      <c r="X98" s="1311">
        <v>0</v>
      </c>
      <c r="Y98" s="1311">
        <v>0</v>
      </c>
      <c r="Z98" s="1313">
        <v>144471.31</v>
      </c>
      <c r="AA98" s="1303"/>
      <c r="AB98" s="1299"/>
      <c r="AC98" s="1299"/>
      <c r="AD98" s="1299"/>
      <c r="AE98" s="1299"/>
      <c r="AF98" s="1304"/>
      <c r="AG98" s="1310">
        <v>0</v>
      </c>
      <c r="AH98" s="1311">
        <v>0</v>
      </c>
      <c r="AI98" s="1311">
        <v>1856640.21</v>
      </c>
      <c r="AJ98" s="1311">
        <v>677931.72</v>
      </c>
      <c r="AK98" s="1299"/>
      <c r="AL98" s="1313">
        <v>2534571.9300000002</v>
      </c>
    </row>
    <row r="99" spans="1:38" s="666" customFormat="1">
      <c r="A99" s="1308" t="s">
        <v>247</v>
      </c>
      <c r="B99" s="1309" t="s">
        <v>332</v>
      </c>
      <c r="C99" s="1148" t="s">
        <v>271</v>
      </c>
      <c r="D99" s="1291">
        <f t="shared" si="5"/>
        <v>141473.76</v>
      </c>
      <c r="E99" s="1218">
        <f t="shared" si="6"/>
        <v>785175.6100000001</v>
      </c>
      <c r="F99" s="1218">
        <f t="shared" si="7"/>
        <v>317625.39999999997</v>
      </c>
      <c r="G99" s="1218">
        <f t="shared" si="8"/>
        <v>317342.86</v>
      </c>
      <c r="H99" s="1305">
        <f t="shared" si="8"/>
        <v>282.54000000000002</v>
      </c>
      <c r="I99" s="1310">
        <v>46172.29</v>
      </c>
      <c r="J99" s="1311">
        <v>0</v>
      </c>
      <c r="K99" s="1311">
        <v>46172.29</v>
      </c>
      <c r="L99" s="1311">
        <v>0</v>
      </c>
      <c r="M99" s="1311">
        <v>-0.09</v>
      </c>
      <c r="N99" s="1312">
        <v>92344.49</v>
      </c>
      <c r="O99" s="1310">
        <v>94861.25</v>
      </c>
      <c r="P99" s="1311">
        <v>0</v>
      </c>
      <c r="Q99" s="1311">
        <v>94861.25</v>
      </c>
      <c r="R99" s="1311">
        <v>0</v>
      </c>
      <c r="S99" s="1311">
        <v>0</v>
      </c>
      <c r="T99" s="1313">
        <v>189722.5</v>
      </c>
      <c r="U99" s="1310">
        <v>440.22</v>
      </c>
      <c r="V99" s="1311">
        <v>0</v>
      </c>
      <c r="W99" s="1311">
        <v>64684.78</v>
      </c>
      <c r="X99" s="1311">
        <v>0</v>
      </c>
      <c r="Y99" s="1311">
        <v>282.63</v>
      </c>
      <c r="Z99" s="1313">
        <v>65407.63</v>
      </c>
      <c r="AA99" s="1303"/>
      <c r="AB99" s="1299"/>
      <c r="AC99" s="1299"/>
      <c r="AD99" s="1299"/>
      <c r="AE99" s="1299"/>
      <c r="AF99" s="1304"/>
      <c r="AG99" s="1310">
        <v>0</v>
      </c>
      <c r="AH99" s="1311">
        <v>0</v>
      </c>
      <c r="AI99" s="1311">
        <v>579457.29</v>
      </c>
      <c r="AJ99" s="1311">
        <v>317342.86</v>
      </c>
      <c r="AK99" s="1299"/>
      <c r="AL99" s="1313">
        <v>896800.15</v>
      </c>
    </row>
    <row r="100" spans="1:38" s="666" customFormat="1">
      <c r="A100" s="1308" t="s">
        <v>14</v>
      </c>
      <c r="B100" s="1309" t="s">
        <v>15</v>
      </c>
      <c r="C100" s="1148" t="s">
        <v>274</v>
      </c>
      <c r="D100" s="1291">
        <f t="shared" si="5"/>
        <v>1599937.82</v>
      </c>
      <c r="E100" s="1218">
        <f t="shared" si="6"/>
        <v>7694012.5899999999</v>
      </c>
      <c r="F100" s="1218">
        <f t="shared" si="7"/>
        <v>4750340.57</v>
      </c>
      <c r="G100" s="1218">
        <f t="shared" si="8"/>
        <v>4738723.9800000004</v>
      </c>
      <c r="H100" s="1305">
        <f t="shared" si="8"/>
        <v>11616.59</v>
      </c>
      <c r="I100" s="1310">
        <v>718330.62</v>
      </c>
      <c r="J100" s="1311">
        <v>0</v>
      </c>
      <c r="K100" s="1311">
        <v>718330.62</v>
      </c>
      <c r="L100" s="1311">
        <v>0</v>
      </c>
      <c r="M100" s="1311">
        <v>-0.28000000000000003</v>
      </c>
      <c r="N100" s="1312">
        <v>1436660.96</v>
      </c>
      <c r="O100" s="1310">
        <v>758153.09</v>
      </c>
      <c r="P100" s="1311">
        <v>0</v>
      </c>
      <c r="Q100" s="1311">
        <v>758153.09</v>
      </c>
      <c r="R100" s="1311">
        <v>0</v>
      </c>
      <c r="S100" s="1311">
        <v>0.01</v>
      </c>
      <c r="T100" s="1313">
        <v>1516306.19</v>
      </c>
      <c r="U100" s="1310">
        <v>123454.11</v>
      </c>
      <c r="V100" s="1311">
        <v>0</v>
      </c>
      <c r="W100" s="1311">
        <v>1690668.9</v>
      </c>
      <c r="X100" s="1311">
        <v>0</v>
      </c>
      <c r="Y100" s="1311">
        <v>11616.86</v>
      </c>
      <c r="Z100" s="1313">
        <v>1825739.87</v>
      </c>
      <c r="AA100" s="1303"/>
      <c r="AB100" s="1299"/>
      <c r="AC100" s="1299"/>
      <c r="AD100" s="1299"/>
      <c r="AE100" s="1299"/>
      <c r="AF100" s="1304"/>
      <c r="AG100" s="1310">
        <v>0</v>
      </c>
      <c r="AH100" s="1311">
        <v>0</v>
      </c>
      <c r="AI100" s="1311">
        <v>4526859.9800000004</v>
      </c>
      <c r="AJ100" s="1311">
        <v>4738723.9800000004</v>
      </c>
      <c r="AK100" s="1299"/>
      <c r="AL100" s="1313">
        <v>9265583.9600000009</v>
      </c>
    </row>
    <row r="101" spans="1:38" s="666" customFormat="1">
      <c r="A101" s="1308" t="s">
        <v>35</v>
      </c>
      <c r="B101" s="1309" t="s">
        <v>36</v>
      </c>
      <c r="C101" s="1148" t="s">
        <v>275</v>
      </c>
      <c r="D101" s="1291">
        <f t="shared" si="5"/>
        <v>498887.79</v>
      </c>
      <c r="E101" s="1218">
        <f t="shared" si="6"/>
        <v>1574348.83</v>
      </c>
      <c r="F101" s="1218">
        <f t="shared" si="7"/>
        <v>344641.25</v>
      </c>
      <c r="G101" s="1218">
        <f t="shared" si="8"/>
        <v>344641.41</v>
      </c>
      <c r="H101" s="1305">
        <f t="shared" si="8"/>
        <v>-0.16</v>
      </c>
      <c r="I101" s="1310">
        <v>385283.04</v>
      </c>
      <c r="J101" s="1311">
        <v>0</v>
      </c>
      <c r="K101" s="1311">
        <v>385283.04</v>
      </c>
      <c r="L101" s="1311">
        <v>0</v>
      </c>
      <c r="M101" s="1311">
        <v>-0.16</v>
      </c>
      <c r="N101" s="1312">
        <v>770565.92</v>
      </c>
      <c r="O101" s="1310">
        <v>113400.7</v>
      </c>
      <c r="P101" s="1311">
        <v>0</v>
      </c>
      <c r="Q101" s="1311">
        <v>113400.7</v>
      </c>
      <c r="R101" s="1311">
        <v>0</v>
      </c>
      <c r="S101" s="1311">
        <v>0</v>
      </c>
      <c r="T101" s="1313">
        <v>226801.4</v>
      </c>
      <c r="U101" s="1310">
        <v>204.05</v>
      </c>
      <c r="V101" s="1311">
        <v>0</v>
      </c>
      <c r="W101" s="1311">
        <v>115218.46</v>
      </c>
      <c r="X101" s="1311">
        <v>0</v>
      </c>
      <c r="Y101" s="1311">
        <v>0</v>
      </c>
      <c r="Z101" s="1313">
        <v>115422.51</v>
      </c>
      <c r="AA101" s="1303"/>
      <c r="AB101" s="1299"/>
      <c r="AC101" s="1299"/>
      <c r="AD101" s="1299"/>
      <c r="AE101" s="1299"/>
      <c r="AF101" s="1304"/>
      <c r="AG101" s="1310">
        <v>0</v>
      </c>
      <c r="AH101" s="1311">
        <v>0</v>
      </c>
      <c r="AI101" s="1311">
        <v>960446.63</v>
      </c>
      <c r="AJ101" s="1311">
        <v>344641.41</v>
      </c>
      <c r="AK101" s="1299"/>
      <c r="AL101" s="1313">
        <v>1305088.04</v>
      </c>
    </row>
    <row r="102" spans="1:38" s="666" customFormat="1">
      <c r="A102" s="1308" t="s">
        <v>53</v>
      </c>
      <c r="B102" s="1309" t="s">
        <v>54</v>
      </c>
      <c r="C102" s="1148" t="s">
        <v>272</v>
      </c>
      <c r="D102" s="1291">
        <f t="shared" si="5"/>
        <v>1347083.33</v>
      </c>
      <c r="E102" s="1218">
        <f t="shared" si="6"/>
        <v>7883561.5</v>
      </c>
      <c r="F102" s="1218">
        <f t="shared" si="7"/>
        <v>2466415.5</v>
      </c>
      <c r="G102" s="1218">
        <f t="shared" si="8"/>
        <v>2466415.86</v>
      </c>
      <c r="H102" s="1305">
        <f t="shared" si="8"/>
        <v>-0.36</v>
      </c>
      <c r="I102" s="1310">
        <v>841080.13</v>
      </c>
      <c r="J102" s="1311">
        <v>0</v>
      </c>
      <c r="K102" s="1311">
        <v>841080.13</v>
      </c>
      <c r="L102" s="1311">
        <v>0</v>
      </c>
      <c r="M102" s="1311">
        <v>-0.32</v>
      </c>
      <c r="N102" s="1312">
        <v>1682159.94</v>
      </c>
      <c r="O102" s="1310">
        <v>476395.19</v>
      </c>
      <c r="P102" s="1311">
        <v>0</v>
      </c>
      <c r="Q102" s="1311">
        <v>476395.19</v>
      </c>
      <c r="R102" s="1311">
        <v>0</v>
      </c>
      <c r="S102" s="1311">
        <v>-0.04</v>
      </c>
      <c r="T102" s="1313">
        <v>952790.34</v>
      </c>
      <c r="U102" s="1310">
        <v>29608.01</v>
      </c>
      <c r="V102" s="1311">
        <v>0</v>
      </c>
      <c r="W102" s="1311">
        <v>795397.17</v>
      </c>
      <c r="X102" s="1311">
        <v>0</v>
      </c>
      <c r="Y102" s="1311">
        <v>0</v>
      </c>
      <c r="Z102" s="1313">
        <v>825005.18</v>
      </c>
      <c r="AA102" s="1303"/>
      <c r="AB102" s="1299"/>
      <c r="AC102" s="1299"/>
      <c r="AD102" s="1299"/>
      <c r="AE102" s="1299"/>
      <c r="AF102" s="1304"/>
      <c r="AG102" s="1310">
        <v>0</v>
      </c>
      <c r="AH102" s="1311">
        <v>0</v>
      </c>
      <c r="AI102" s="1311">
        <v>5770689.0099999998</v>
      </c>
      <c r="AJ102" s="1311">
        <v>2466415.86</v>
      </c>
      <c r="AK102" s="1299"/>
      <c r="AL102" s="1313">
        <v>8237104.8700000001</v>
      </c>
    </row>
    <row r="103" spans="1:38" s="666" customFormat="1">
      <c r="A103" s="1308" t="s">
        <v>55</v>
      </c>
      <c r="B103" s="1309" t="s">
        <v>56</v>
      </c>
      <c r="C103" s="1148" t="s">
        <v>271</v>
      </c>
      <c r="D103" s="1291">
        <f t="shared" si="5"/>
        <v>973165.13000000012</v>
      </c>
      <c r="E103" s="1218">
        <f t="shared" si="6"/>
        <v>3626400.9699999997</v>
      </c>
      <c r="F103" s="1218">
        <f t="shared" si="7"/>
        <v>1209724.2</v>
      </c>
      <c r="G103" s="1218">
        <f t="shared" si="8"/>
        <v>1209724.44</v>
      </c>
      <c r="H103" s="1305">
        <f t="shared" si="8"/>
        <v>-0.24000000000000002</v>
      </c>
      <c r="I103" s="1310">
        <v>468463.2</v>
      </c>
      <c r="J103" s="1311">
        <v>0</v>
      </c>
      <c r="K103" s="1311">
        <v>468463.2</v>
      </c>
      <c r="L103" s="1311">
        <v>0</v>
      </c>
      <c r="M103" s="1311">
        <v>-0.2</v>
      </c>
      <c r="N103" s="1312">
        <v>936926.2</v>
      </c>
      <c r="O103" s="1310">
        <v>485597.87</v>
      </c>
      <c r="P103" s="1311">
        <v>0</v>
      </c>
      <c r="Q103" s="1311">
        <v>485597.87</v>
      </c>
      <c r="R103" s="1311">
        <v>0</v>
      </c>
      <c r="S103" s="1311">
        <v>-0.04</v>
      </c>
      <c r="T103" s="1313">
        <v>971195.7</v>
      </c>
      <c r="U103" s="1310">
        <v>19104.060000000001</v>
      </c>
      <c r="V103" s="1311">
        <v>0</v>
      </c>
      <c r="W103" s="1311">
        <v>504307.75</v>
      </c>
      <c r="X103" s="1311">
        <v>0</v>
      </c>
      <c r="Y103" s="1311">
        <v>0</v>
      </c>
      <c r="Z103" s="1313">
        <v>523411.81</v>
      </c>
      <c r="AA103" s="1303"/>
      <c r="AB103" s="1299"/>
      <c r="AC103" s="1299"/>
      <c r="AD103" s="1299"/>
      <c r="AE103" s="1299"/>
      <c r="AF103" s="1304"/>
      <c r="AG103" s="1310">
        <v>0</v>
      </c>
      <c r="AH103" s="1311">
        <v>0</v>
      </c>
      <c r="AI103" s="1311">
        <v>2168032.15</v>
      </c>
      <c r="AJ103" s="1311">
        <v>1209724.44</v>
      </c>
      <c r="AK103" s="1299"/>
      <c r="AL103" s="1313">
        <v>3377756.59</v>
      </c>
    </row>
    <row r="104" spans="1:38" s="666" customFormat="1">
      <c r="A104" s="1308" t="s">
        <v>67</v>
      </c>
      <c r="B104" s="1309" t="s">
        <v>68</v>
      </c>
      <c r="C104" s="1148" t="s">
        <v>272</v>
      </c>
      <c r="D104" s="1291">
        <f t="shared" si="5"/>
        <v>594615.57999999996</v>
      </c>
      <c r="E104" s="1218">
        <f t="shared" si="6"/>
        <v>3299105.52</v>
      </c>
      <c r="F104" s="1218">
        <f t="shared" si="7"/>
        <v>733864.5</v>
      </c>
      <c r="G104" s="1218">
        <f t="shared" si="8"/>
        <v>733864.71</v>
      </c>
      <c r="H104" s="1305">
        <f t="shared" si="8"/>
        <v>-0.21000000000000002</v>
      </c>
      <c r="I104" s="1310">
        <v>346508.58</v>
      </c>
      <c r="J104" s="1311">
        <v>0</v>
      </c>
      <c r="K104" s="1311">
        <v>346508.58</v>
      </c>
      <c r="L104" s="1311">
        <v>0</v>
      </c>
      <c r="M104" s="1311">
        <v>-0.2</v>
      </c>
      <c r="N104" s="1312">
        <v>693016.96</v>
      </c>
      <c r="O104" s="1310">
        <v>230498.38</v>
      </c>
      <c r="P104" s="1311">
        <v>0</v>
      </c>
      <c r="Q104" s="1311">
        <v>230498.38</v>
      </c>
      <c r="R104" s="1311">
        <v>0</v>
      </c>
      <c r="S104" s="1311">
        <v>0</v>
      </c>
      <c r="T104" s="1313">
        <v>460996.76</v>
      </c>
      <c r="U104" s="1310">
        <v>17608.62</v>
      </c>
      <c r="V104" s="1311">
        <v>0</v>
      </c>
      <c r="W104" s="1311">
        <v>203124.5</v>
      </c>
      <c r="X104" s="1311">
        <v>0</v>
      </c>
      <c r="Y104" s="1311">
        <v>-0.01</v>
      </c>
      <c r="Z104" s="1313">
        <v>220733.11</v>
      </c>
      <c r="AA104" s="1303"/>
      <c r="AB104" s="1299"/>
      <c r="AC104" s="1299"/>
      <c r="AD104" s="1299"/>
      <c r="AE104" s="1299"/>
      <c r="AF104" s="1304"/>
      <c r="AG104" s="1310">
        <v>0</v>
      </c>
      <c r="AH104" s="1311">
        <v>0</v>
      </c>
      <c r="AI104" s="1311">
        <v>2518974.06</v>
      </c>
      <c r="AJ104" s="1311">
        <v>733864.71</v>
      </c>
      <c r="AK104" s="1299"/>
      <c r="AL104" s="1313">
        <v>3252838.77</v>
      </c>
    </row>
    <row r="105" spans="1:38" s="666" customFormat="1">
      <c r="A105" s="1308" t="s">
        <v>83</v>
      </c>
      <c r="B105" s="1309" t="s">
        <v>333</v>
      </c>
      <c r="C105" s="1148" t="s">
        <v>271</v>
      </c>
      <c r="D105" s="1291">
        <f t="shared" si="5"/>
        <v>19006.830000000002</v>
      </c>
      <c r="E105" s="1218">
        <f t="shared" si="6"/>
        <v>136050.41999999998</v>
      </c>
      <c r="F105" s="1218">
        <f t="shared" si="7"/>
        <v>65118.799999999996</v>
      </c>
      <c r="G105" s="1218">
        <f t="shared" si="8"/>
        <v>65118.85</v>
      </c>
      <c r="H105" s="1305">
        <f t="shared" si="8"/>
        <v>-0.05</v>
      </c>
      <c r="I105" s="1310">
        <v>19006.830000000002</v>
      </c>
      <c r="J105" s="1311">
        <v>0</v>
      </c>
      <c r="K105" s="1311">
        <v>19006.830000000002</v>
      </c>
      <c r="L105" s="1311">
        <v>0</v>
      </c>
      <c r="M105" s="1311">
        <v>-0.05</v>
      </c>
      <c r="N105" s="1312">
        <v>38013.61</v>
      </c>
      <c r="O105" s="1303"/>
      <c r="P105" s="1299"/>
      <c r="Q105" s="1299"/>
      <c r="R105" s="1299"/>
      <c r="S105" s="1299"/>
      <c r="T105" s="1304"/>
      <c r="U105" s="1310">
        <v>0</v>
      </c>
      <c r="V105" s="1311">
        <v>0</v>
      </c>
      <c r="W105" s="1311">
        <v>6300</v>
      </c>
      <c r="X105" s="1311">
        <v>0</v>
      </c>
      <c r="Y105" s="1311">
        <v>0</v>
      </c>
      <c r="Z105" s="1313">
        <v>6300</v>
      </c>
      <c r="AA105" s="1303"/>
      <c r="AB105" s="1299"/>
      <c r="AC105" s="1299"/>
      <c r="AD105" s="1299"/>
      <c r="AE105" s="1299"/>
      <c r="AF105" s="1304"/>
      <c r="AG105" s="1310">
        <v>0</v>
      </c>
      <c r="AH105" s="1311">
        <v>0</v>
      </c>
      <c r="AI105" s="1311">
        <v>110743.59</v>
      </c>
      <c r="AJ105" s="1311">
        <v>65118.85</v>
      </c>
      <c r="AK105" s="1299"/>
      <c r="AL105" s="1313">
        <v>175862.44</v>
      </c>
    </row>
    <row r="106" spans="1:38" s="666" customFormat="1">
      <c r="A106" s="1308" t="s">
        <v>89</v>
      </c>
      <c r="B106" s="1309" t="s">
        <v>90</v>
      </c>
      <c r="C106" s="1148" t="s">
        <v>274</v>
      </c>
      <c r="D106" s="1291">
        <f t="shared" si="5"/>
        <v>376151.92</v>
      </c>
      <c r="E106" s="1218">
        <f t="shared" si="6"/>
        <v>1742729.7000000002</v>
      </c>
      <c r="F106" s="1218">
        <f t="shared" si="7"/>
        <v>525543.2699999999</v>
      </c>
      <c r="G106" s="1218">
        <f t="shared" si="8"/>
        <v>525440.56999999995</v>
      </c>
      <c r="H106" s="1305">
        <f t="shared" si="8"/>
        <v>102.7</v>
      </c>
      <c r="I106" s="1310">
        <v>168968.79</v>
      </c>
      <c r="J106" s="1311">
        <v>0</v>
      </c>
      <c r="K106" s="1311">
        <v>168968.79</v>
      </c>
      <c r="L106" s="1311">
        <v>0</v>
      </c>
      <c r="M106" s="1311">
        <v>102.72</v>
      </c>
      <c r="N106" s="1312">
        <v>338040.3</v>
      </c>
      <c r="O106" s="1310">
        <v>196979.06</v>
      </c>
      <c r="P106" s="1311">
        <v>0</v>
      </c>
      <c r="Q106" s="1311">
        <v>196979.06</v>
      </c>
      <c r="R106" s="1311">
        <v>0</v>
      </c>
      <c r="S106" s="1311">
        <v>-0.02</v>
      </c>
      <c r="T106" s="1313">
        <v>393958.1</v>
      </c>
      <c r="U106" s="1310">
        <v>10354.07</v>
      </c>
      <c r="V106" s="1311">
        <v>0</v>
      </c>
      <c r="W106" s="1311">
        <v>279674.77</v>
      </c>
      <c r="X106" s="1311">
        <v>0</v>
      </c>
      <c r="Y106" s="1311">
        <v>0</v>
      </c>
      <c r="Z106" s="1313">
        <v>290028.84000000003</v>
      </c>
      <c r="AA106" s="1310">
        <v>-150</v>
      </c>
      <c r="AB106" s="1311">
        <v>0</v>
      </c>
      <c r="AC106" s="1311">
        <v>0</v>
      </c>
      <c r="AD106" s="1311">
        <v>0</v>
      </c>
      <c r="AE106" s="1311">
        <v>0</v>
      </c>
      <c r="AF106" s="1313">
        <v>-150</v>
      </c>
      <c r="AG106" s="1310">
        <v>0</v>
      </c>
      <c r="AH106" s="1311">
        <v>0</v>
      </c>
      <c r="AI106" s="1311">
        <v>1097107.08</v>
      </c>
      <c r="AJ106" s="1311">
        <v>525440.56999999995</v>
      </c>
      <c r="AK106" s="1299"/>
      <c r="AL106" s="1313">
        <v>1622547.65</v>
      </c>
    </row>
    <row r="107" spans="1:38" s="666" customFormat="1">
      <c r="A107" s="1308" t="s">
        <v>91</v>
      </c>
      <c r="B107" s="1309" t="s">
        <v>92</v>
      </c>
      <c r="C107" s="1148" t="s">
        <v>275</v>
      </c>
      <c r="D107" s="1291">
        <f t="shared" si="5"/>
        <v>33176.53</v>
      </c>
      <c r="E107" s="1218">
        <f t="shared" si="6"/>
        <v>300906.71999999997</v>
      </c>
      <c r="F107" s="1218">
        <f t="shared" si="7"/>
        <v>93972.3</v>
      </c>
      <c r="G107" s="1218">
        <f t="shared" si="8"/>
        <v>93972.31</v>
      </c>
      <c r="H107" s="1305">
        <f t="shared" si="8"/>
        <v>-0.01</v>
      </c>
      <c r="I107" s="1303"/>
      <c r="J107" s="1299"/>
      <c r="K107" s="1299"/>
      <c r="L107" s="1299"/>
      <c r="M107" s="1299"/>
      <c r="N107" s="1306"/>
      <c r="O107" s="1310">
        <v>33176.53</v>
      </c>
      <c r="P107" s="1311">
        <v>0</v>
      </c>
      <c r="Q107" s="1311">
        <v>33176.53</v>
      </c>
      <c r="R107" s="1311">
        <v>0</v>
      </c>
      <c r="S107" s="1311">
        <v>-0.01</v>
      </c>
      <c r="T107" s="1313">
        <v>66353.05</v>
      </c>
      <c r="U107" s="1310">
        <v>0</v>
      </c>
      <c r="V107" s="1311">
        <v>0</v>
      </c>
      <c r="W107" s="1311">
        <v>32703.32</v>
      </c>
      <c r="X107" s="1311">
        <v>0</v>
      </c>
      <c r="Y107" s="1311">
        <v>0</v>
      </c>
      <c r="Z107" s="1313">
        <v>32703.32</v>
      </c>
      <c r="AA107" s="1303"/>
      <c r="AB107" s="1299"/>
      <c r="AC107" s="1299"/>
      <c r="AD107" s="1299"/>
      <c r="AE107" s="1299"/>
      <c r="AF107" s="1304"/>
      <c r="AG107" s="1310">
        <v>0</v>
      </c>
      <c r="AH107" s="1311">
        <v>0</v>
      </c>
      <c r="AI107" s="1311">
        <v>235026.87</v>
      </c>
      <c r="AJ107" s="1311">
        <v>93972.31</v>
      </c>
      <c r="AK107" s="1299"/>
      <c r="AL107" s="1313">
        <v>328999.18</v>
      </c>
    </row>
    <row r="108" spans="1:38" s="666" customFormat="1">
      <c r="A108" s="1308" t="s">
        <v>107</v>
      </c>
      <c r="B108" s="1309" t="s">
        <v>108</v>
      </c>
      <c r="C108" s="1148" t="s">
        <v>271</v>
      </c>
      <c r="D108" s="1291">
        <f t="shared" si="5"/>
        <v>945868.03</v>
      </c>
      <c r="E108" s="1218">
        <f t="shared" si="6"/>
        <v>7519672.5300000003</v>
      </c>
      <c r="F108" s="1218">
        <f t="shared" si="7"/>
        <v>1691648.8699999999</v>
      </c>
      <c r="G108" s="1218">
        <f t="shared" si="8"/>
        <v>1691648.89</v>
      </c>
      <c r="H108" s="1305">
        <f t="shared" si="8"/>
        <v>-0.02</v>
      </c>
      <c r="I108" s="1310">
        <v>142866.70000000001</v>
      </c>
      <c r="J108" s="1311">
        <v>0</v>
      </c>
      <c r="K108" s="1311">
        <v>142866.70000000001</v>
      </c>
      <c r="L108" s="1311">
        <v>0</v>
      </c>
      <c r="M108" s="1311">
        <v>-0.02</v>
      </c>
      <c r="N108" s="1312">
        <v>285733.38</v>
      </c>
      <c r="O108" s="1310">
        <v>680195.84</v>
      </c>
      <c r="P108" s="1311">
        <v>0</v>
      </c>
      <c r="Q108" s="1311">
        <v>680195.84</v>
      </c>
      <c r="R108" s="1311">
        <v>0</v>
      </c>
      <c r="S108" s="1311">
        <v>0</v>
      </c>
      <c r="T108" s="1313">
        <v>1360391.68</v>
      </c>
      <c r="U108" s="1310">
        <v>122805.49</v>
      </c>
      <c r="V108" s="1311">
        <v>0</v>
      </c>
      <c r="W108" s="1311">
        <v>1587252.62</v>
      </c>
      <c r="X108" s="1311">
        <v>0</v>
      </c>
      <c r="Y108" s="1311">
        <v>0</v>
      </c>
      <c r="Z108" s="1313">
        <v>1710058.11</v>
      </c>
      <c r="AA108" s="1303"/>
      <c r="AB108" s="1299"/>
      <c r="AC108" s="1299"/>
      <c r="AD108" s="1299"/>
      <c r="AE108" s="1299"/>
      <c r="AF108" s="1304"/>
      <c r="AG108" s="1310">
        <v>0</v>
      </c>
      <c r="AH108" s="1311">
        <v>0</v>
      </c>
      <c r="AI108" s="1311">
        <v>5109357.37</v>
      </c>
      <c r="AJ108" s="1311">
        <v>1691648.89</v>
      </c>
      <c r="AK108" s="1299"/>
      <c r="AL108" s="1313">
        <v>6801006.2599999998</v>
      </c>
    </row>
    <row r="109" spans="1:38" s="666" customFormat="1">
      <c r="A109" s="1308" t="s">
        <v>117</v>
      </c>
      <c r="B109" s="1309" t="s">
        <v>118</v>
      </c>
      <c r="C109" s="1148" t="s">
        <v>273</v>
      </c>
      <c r="D109" s="1291">
        <f t="shared" si="5"/>
        <v>323882.15999999997</v>
      </c>
      <c r="E109" s="1218">
        <f t="shared" si="6"/>
        <v>2950788.67</v>
      </c>
      <c r="F109" s="1218">
        <f t="shared" si="7"/>
        <v>817583.58</v>
      </c>
      <c r="G109" s="1218">
        <f t="shared" si="8"/>
        <v>817583.73</v>
      </c>
      <c r="H109" s="1305">
        <f t="shared" si="8"/>
        <v>-0.15000000000000002</v>
      </c>
      <c r="I109" s="1310">
        <v>211386.01</v>
      </c>
      <c r="J109" s="1311">
        <v>0</v>
      </c>
      <c r="K109" s="1311">
        <v>211386.01</v>
      </c>
      <c r="L109" s="1311">
        <v>0</v>
      </c>
      <c r="M109" s="1311">
        <v>-0.14000000000000001</v>
      </c>
      <c r="N109" s="1312">
        <v>422771.88</v>
      </c>
      <c r="O109" s="1310">
        <v>112099.09</v>
      </c>
      <c r="P109" s="1311">
        <v>0</v>
      </c>
      <c r="Q109" s="1311">
        <v>112099.09</v>
      </c>
      <c r="R109" s="1311">
        <v>0</v>
      </c>
      <c r="S109" s="1311">
        <v>-0.01</v>
      </c>
      <c r="T109" s="1313">
        <v>224198.17</v>
      </c>
      <c r="U109" s="1310">
        <v>397.06</v>
      </c>
      <c r="V109" s="1311">
        <v>0</v>
      </c>
      <c r="W109" s="1311">
        <v>17121.54</v>
      </c>
      <c r="X109" s="1311">
        <v>0</v>
      </c>
      <c r="Y109" s="1311">
        <v>0</v>
      </c>
      <c r="Z109" s="1313">
        <v>17518.599999999999</v>
      </c>
      <c r="AA109" s="1303"/>
      <c r="AB109" s="1299"/>
      <c r="AC109" s="1299"/>
      <c r="AD109" s="1299"/>
      <c r="AE109" s="1299"/>
      <c r="AF109" s="1304"/>
      <c r="AG109" s="1310">
        <v>0</v>
      </c>
      <c r="AH109" s="1311">
        <v>0</v>
      </c>
      <c r="AI109" s="1311">
        <v>2610182.0299999998</v>
      </c>
      <c r="AJ109" s="1311">
        <v>817583.73</v>
      </c>
      <c r="AK109" s="1299"/>
      <c r="AL109" s="1313">
        <v>3427765.76</v>
      </c>
    </row>
    <row r="110" spans="1:38" s="666" customFormat="1">
      <c r="A110" s="1308" t="s">
        <v>139</v>
      </c>
      <c r="B110" s="1309" t="s">
        <v>140</v>
      </c>
      <c r="C110" s="1148" t="s">
        <v>272</v>
      </c>
      <c r="D110" s="1291">
        <f t="shared" si="5"/>
        <v>2016813.93</v>
      </c>
      <c r="E110" s="1218">
        <f t="shared" si="6"/>
        <v>7010771.0099999998</v>
      </c>
      <c r="F110" s="1218">
        <f t="shared" si="7"/>
        <v>1137437.22</v>
      </c>
      <c r="G110" s="1218">
        <f t="shared" si="8"/>
        <v>1137437.7</v>
      </c>
      <c r="H110" s="1305">
        <f t="shared" si="8"/>
        <v>-0.48</v>
      </c>
      <c r="I110" s="1310">
        <v>612793.68000000005</v>
      </c>
      <c r="J110" s="1311">
        <v>0</v>
      </c>
      <c r="K110" s="1311">
        <v>612793.68000000005</v>
      </c>
      <c r="L110" s="1311">
        <v>0</v>
      </c>
      <c r="M110" s="1311">
        <v>-0.36</v>
      </c>
      <c r="N110" s="1312">
        <v>1225587</v>
      </c>
      <c r="O110" s="1310">
        <v>1266641.55</v>
      </c>
      <c r="P110" s="1311">
        <v>0</v>
      </c>
      <c r="Q110" s="1311">
        <v>1266641.55</v>
      </c>
      <c r="R110" s="1311">
        <v>0</v>
      </c>
      <c r="S110" s="1311">
        <v>-0.1</v>
      </c>
      <c r="T110" s="1313">
        <v>2533283</v>
      </c>
      <c r="U110" s="1310">
        <v>137378.70000000001</v>
      </c>
      <c r="V110" s="1311">
        <v>0</v>
      </c>
      <c r="W110" s="1311">
        <v>2103876.3199999998</v>
      </c>
      <c r="X110" s="1311">
        <v>0</v>
      </c>
      <c r="Y110" s="1311">
        <v>-0.02</v>
      </c>
      <c r="Z110" s="1313">
        <v>2241255</v>
      </c>
      <c r="AA110" s="1303"/>
      <c r="AB110" s="1299"/>
      <c r="AC110" s="1299"/>
      <c r="AD110" s="1299"/>
      <c r="AE110" s="1299"/>
      <c r="AF110" s="1304"/>
      <c r="AG110" s="1310">
        <v>0</v>
      </c>
      <c r="AH110" s="1311">
        <v>0</v>
      </c>
      <c r="AI110" s="1311">
        <v>3027459.46</v>
      </c>
      <c r="AJ110" s="1311">
        <v>1137437.7</v>
      </c>
      <c r="AK110" s="1299"/>
      <c r="AL110" s="1313">
        <v>4164897.16</v>
      </c>
    </row>
    <row r="111" spans="1:38" s="666" customFormat="1">
      <c r="A111" s="1308" t="s">
        <v>143</v>
      </c>
      <c r="B111" s="1309" t="s">
        <v>144</v>
      </c>
      <c r="C111" s="1148" t="s">
        <v>274</v>
      </c>
      <c r="D111" s="1291">
        <f t="shared" si="5"/>
        <v>103368.08</v>
      </c>
      <c r="E111" s="1218">
        <f t="shared" si="6"/>
        <v>680953.29</v>
      </c>
      <c r="F111" s="1218">
        <f t="shared" si="7"/>
        <v>400937.64</v>
      </c>
      <c r="G111" s="1218">
        <f t="shared" si="8"/>
        <v>400937.64</v>
      </c>
      <c r="H111" s="1305">
        <f t="shared" si="8"/>
        <v>0</v>
      </c>
      <c r="I111" s="1310">
        <v>41630.629999999997</v>
      </c>
      <c r="J111" s="1311">
        <v>0</v>
      </c>
      <c r="K111" s="1311">
        <v>41630.629999999997</v>
      </c>
      <c r="L111" s="1311">
        <v>0</v>
      </c>
      <c r="M111" s="1311">
        <v>0</v>
      </c>
      <c r="N111" s="1312">
        <v>83261.259999999995</v>
      </c>
      <c r="O111" s="1310">
        <v>59829.5</v>
      </c>
      <c r="P111" s="1311">
        <v>0</v>
      </c>
      <c r="Q111" s="1311">
        <v>59829.5</v>
      </c>
      <c r="R111" s="1311">
        <v>0</v>
      </c>
      <c r="S111" s="1311">
        <v>0</v>
      </c>
      <c r="T111" s="1313">
        <v>119659</v>
      </c>
      <c r="U111" s="1310">
        <v>1907.95</v>
      </c>
      <c r="V111" s="1311">
        <v>0</v>
      </c>
      <c r="W111" s="1311">
        <v>34326.050000000003</v>
      </c>
      <c r="X111" s="1311">
        <v>0</v>
      </c>
      <c r="Y111" s="1311">
        <v>0</v>
      </c>
      <c r="Z111" s="1313">
        <v>36234</v>
      </c>
      <c r="AA111" s="1303"/>
      <c r="AB111" s="1299"/>
      <c r="AC111" s="1299"/>
      <c r="AD111" s="1299"/>
      <c r="AE111" s="1299"/>
      <c r="AF111" s="1304"/>
      <c r="AG111" s="1310">
        <v>0</v>
      </c>
      <c r="AH111" s="1311">
        <v>0</v>
      </c>
      <c r="AI111" s="1311">
        <v>545167.11</v>
      </c>
      <c r="AJ111" s="1311">
        <v>400937.64</v>
      </c>
      <c r="AK111" s="1299"/>
      <c r="AL111" s="1313">
        <v>946104.75</v>
      </c>
    </row>
    <row r="112" spans="1:38" s="666" customFormat="1">
      <c r="A112" s="1308" t="s">
        <v>145</v>
      </c>
      <c r="B112" s="1309" t="s">
        <v>146</v>
      </c>
      <c r="C112" s="1148" t="s">
        <v>274</v>
      </c>
      <c r="D112" s="1291">
        <f t="shared" si="5"/>
        <v>22873.62</v>
      </c>
      <c r="E112" s="1218">
        <f t="shared" si="6"/>
        <v>507047.89</v>
      </c>
      <c r="F112" s="1218">
        <f t="shared" si="7"/>
        <v>354080.85</v>
      </c>
      <c r="G112" s="1218">
        <f t="shared" si="8"/>
        <v>354080.85</v>
      </c>
      <c r="H112" s="1305">
        <f t="shared" si="8"/>
        <v>0</v>
      </c>
      <c r="I112" s="1310">
        <v>6439.5</v>
      </c>
      <c r="J112" s="1311">
        <v>0</v>
      </c>
      <c r="K112" s="1311">
        <v>6439.5</v>
      </c>
      <c r="L112" s="1311">
        <v>0</v>
      </c>
      <c r="M112" s="1311">
        <v>0</v>
      </c>
      <c r="N112" s="1312">
        <v>12879</v>
      </c>
      <c r="O112" s="1310">
        <v>15984</v>
      </c>
      <c r="P112" s="1311">
        <v>0</v>
      </c>
      <c r="Q112" s="1311">
        <v>15984</v>
      </c>
      <c r="R112" s="1311">
        <v>0</v>
      </c>
      <c r="S112" s="1311">
        <v>0</v>
      </c>
      <c r="T112" s="1313">
        <v>31968</v>
      </c>
      <c r="U112" s="1310">
        <v>450.12</v>
      </c>
      <c r="V112" s="1311">
        <v>0</v>
      </c>
      <c r="W112" s="1311">
        <v>5309.88</v>
      </c>
      <c r="X112" s="1311">
        <v>0</v>
      </c>
      <c r="Y112" s="1311">
        <v>0</v>
      </c>
      <c r="Z112" s="1313">
        <v>5760</v>
      </c>
      <c r="AA112" s="1303"/>
      <c r="AB112" s="1299"/>
      <c r="AC112" s="1299"/>
      <c r="AD112" s="1299"/>
      <c r="AE112" s="1299"/>
      <c r="AF112" s="1304"/>
      <c r="AG112" s="1310">
        <v>0</v>
      </c>
      <c r="AH112" s="1311">
        <v>0</v>
      </c>
      <c r="AI112" s="1311">
        <v>479314.51</v>
      </c>
      <c r="AJ112" s="1311">
        <v>354080.85</v>
      </c>
      <c r="AK112" s="1299"/>
      <c r="AL112" s="1313">
        <v>833395.36</v>
      </c>
    </row>
    <row r="113" spans="1:38" s="666" customFormat="1">
      <c r="A113" s="1308" t="s">
        <v>159</v>
      </c>
      <c r="B113" s="1309" t="s">
        <v>160</v>
      </c>
      <c r="C113" s="1148" t="s">
        <v>271</v>
      </c>
      <c r="D113" s="1291">
        <f t="shared" si="5"/>
        <v>2268032.2599999998</v>
      </c>
      <c r="E113" s="1218">
        <f t="shared" si="6"/>
        <v>8401393.4100000001</v>
      </c>
      <c r="F113" s="1218">
        <f t="shared" si="7"/>
        <v>1643400.01</v>
      </c>
      <c r="G113" s="1218">
        <f t="shared" si="8"/>
        <v>1643400.39</v>
      </c>
      <c r="H113" s="1305">
        <f t="shared" si="8"/>
        <v>-0.38</v>
      </c>
      <c r="I113" s="1310">
        <v>343177.18</v>
      </c>
      <c r="J113" s="1311">
        <v>0</v>
      </c>
      <c r="K113" s="1311">
        <v>343177.18</v>
      </c>
      <c r="L113" s="1311">
        <v>0</v>
      </c>
      <c r="M113" s="1311">
        <v>-0.26</v>
      </c>
      <c r="N113" s="1312">
        <v>686354.1</v>
      </c>
      <c r="O113" s="1310">
        <v>1885351.43</v>
      </c>
      <c r="P113" s="1311">
        <v>0</v>
      </c>
      <c r="Q113" s="1311">
        <v>1885351.43</v>
      </c>
      <c r="R113" s="1311">
        <v>0</v>
      </c>
      <c r="S113" s="1311">
        <v>-0.12</v>
      </c>
      <c r="T113" s="1313">
        <v>3770702.74</v>
      </c>
      <c r="U113" s="1310">
        <v>39503.65</v>
      </c>
      <c r="V113" s="1311">
        <v>0</v>
      </c>
      <c r="W113" s="1311">
        <v>1512292.75</v>
      </c>
      <c r="X113" s="1311">
        <v>0</v>
      </c>
      <c r="Y113" s="1311">
        <v>0</v>
      </c>
      <c r="Z113" s="1313">
        <v>1551796.4</v>
      </c>
      <c r="AA113" s="1303"/>
      <c r="AB113" s="1299"/>
      <c r="AC113" s="1299"/>
      <c r="AD113" s="1299"/>
      <c r="AE113" s="1299"/>
      <c r="AF113" s="1304"/>
      <c r="AG113" s="1310">
        <v>0</v>
      </c>
      <c r="AH113" s="1311">
        <v>0</v>
      </c>
      <c r="AI113" s="1311">
        <v>4660572.05</v>
      </c>
      <c r="AJ113" s="1311">
        <v>1643400.39</v>
      </c>
      <c r="AK113" s="1299"/>
      <c r="AL113" s="1313">
        <v>6303972.4400000004</v>
      </c>
    </row>
    <row r="114" spans="1:38" s="666" customFormat="1">
      <c r="A114" s="1308" t="s">
        <v>161</v>
      </c>
      <c r="B114" s="1309" t="s">
        <v>162</v>
      </c>
      <c r="C114" s="1148" t="s">
        <v>271</v>
      </c>
      <c r="D114" s="1291">
        <f t="shared" si="5"/>
        <v>2752280.05</v>
      </c>
      <c r="E114" s="1218">
        <f t="shared" si="6"/>
        <v>10193680.640000001</v>
      </c>
      <c r="F114" s="1218">
        <f t="shared" si="7"/>
        <v>2241347.87</v>
      </c>
      <c r="G114" s="1218">
        <f t="shared" si="8"/>
        <v>2241348.21</v>
      </c>
      <c r="H114" s="1305">
        <f t="shared" si="8"/>
        <v>-0.33999999999999997</v>
      </c>
      <c r="I114" s="1310">
        <v>1330226.9099999999</v>
      </c>
      <c r="J114" s="1311">
        <v>0</v>
      </c>
      <c r="K114" s="1311">
        <v>1330226.9099999999</v>
      </c>
      <c r="L114" s="1311">
        <v>0</v>
      </c>
      <c r="M114" s="1311">
        <v>-0.24</v>
      </c>
      <c r="N114" s="1312">
        <v>2660453.58</v>
      </c>
      <c r="O114" s="1310">
        <v>1381554.19</v>
      </c>
      <c r="P114" s="1311">
        <v>0</v>
      </c>
      <c r="Q114" s="1311">
        <v>1381554.19</v>
      </c>
      <c r="R114" s="1311">
        <v>0</v>
      </c>
      <c r="S114" s="1311">
        <v>-0.1</v>
      </c>
      <c r="T114" s="1313">
        <v>2763108.28</v>
      </c>
      <c r="U114" s="1310">
        <v>40498.949999999997</v>
      </c>
      <c r="V114" s="1311">
        <v>0</v>
      </c>
      <c r="W114" s="1311">
        <v>579156.41</v>
      </c>
      <c r="X114" s="1311">
        <v>0</v>
      </c>
      <c r="Y114" s="1311">
        <v>0</v>
      </c>
      <c r="Z114" s="1313">
        <v>619655.36</v>
      </c>
      <c r="AA114" s="1303"/>
      <c r="AB114" s="1299"/>
      <c r="AC114" s="1299"/>
      <c r="AD114" s="1299"/>
      <c r="AE114" s="1299"/>
      <c r="AF114" s="1304"/>
      <c r="AG114" s="1310">
        <v>0</v>
      </c>
      <c r="AH114" s="1311">
        <v>0</v>
      </c>
      <c r="AI114" s="1311">
        <v>6902743.1299999999</v>
      </c>
      <c r="AJ114" s="1311">
        <v>2241348.21</v>
      </c>
      <c r="AK114" s="1299"/>
      <c r="AL114" s="1313">
        <v>9144091.3399999999</v>
      </c>
    </row>
    <row r="115" spans="1:38" s="666" customFormat="1">
      <c r="A115" s="1308" t="s">
        <v>167</v>
      </c>
      <c r="B115" s="1309" t="s">
        <v>168</v>
      </c>
      <c r="C115" s="1148" t="s">
        <v>275</v>
      </c>
      <c r="D115" s="1291">
        <f t="shared" si="5"/>
        <v>57364.75</v>
      </c>
      <c r="E115" s="1218">
        <f t="shared" si="6"/>
        <v>271041.64</v>
      </c>
      <c r="F115" s="1218">
        <f t="shared" si="7"/>
        <v>106277.15000000001</v>
      </c>
      <c r="G115" s="1218">
        <f t="shared" si="8"/>
        <v>101749.27</v>
      </c>
      <c r="H115" s="1305">
        <f t="shared" si="8"/>
        <v>4527.8799999999992</v>
      </c>
      <c r="I115" s="1310">
        <v>21633.78</v>
      </c>
      <c r="J115" s="1311">
        <v>0</v>
      </c>
      <c r="K115" s="1311">
        <v>21633.78</v>
      </c>
      <c r="L115" s="1311">
        <v>0</v>
      </c>
      <c r="M115" s="1311">
        <v>-0.06</v>
      </c>
      <c r="N115" s="1312">
        <v>43267.5</v>
      </c>
      <c r="O115" s="1310">
        <v>35730.97</v>
      </c>
      <c r="P115" s="1311">
        <v>0</v>
      </c>
      <c r="Q115" s="1311">
        <v>35730.97</v>
      </c>
      <c r="R115" s="1311">
        <v>0</v>
      </c>
      <c r="S115" s="1311">
        <v>4527.9399999999996</v>
      </c>
      <c r="T115" s="1313">
        <v>75989.88</v>
      </c>
      <c r="U115" s="1310">
        <v>0</v>
      </c>
      <c r="V115" s="1311">
        <v>0</v>
      </c>
      <c r="W115" s="1311">
        <v>1200</v>
      </c>
      <c r="X115" s="1311">
        <v>0</v>
      </c>
      <c r="Y115" s="1311">
        <v>0</v>
      </c>
      <c r="Z115" s="1313">
        <v>1200</v>
      </c>
      <c r="AA115" s="1303"/>
      <c r="AB115" s="1299"/>
      <c r="AC115" s="1299"/>
      <c r="AD115" s="1299"/>
      <c r="AE115" s="1299"/>
      <c r="AF115" s="1304"/>
      <c r="AG115" s="1310">
        <v>0</v>
      </c>
      <c r="AH115" s="1311">
        <v>0</v>
      </c>
      <c r="AI115" s="1311">
        <v>212476.89</v>
      </c>
      <c r="AJ115" s="1311">
        <v>101749.27</v>
      </c>
      <c r="AK115" s="1299"/>
      <c r="AL115" s="1313">
        <v>314226.15999999997</v>
      </c>
    </row>
    <row r="116" spans="1:38" s="666" customFormat="1">
      <c r="A116" s="1308" t="s">
        <v>177</v>
      </c>
      <c r="B116" s="1309" t="s">
        <v>178</v>
      </c>
      <c r="C116" s="1148" t="s">
        <v>273</v>
      </c>
      <c r="D116" s="1291">
        <f t="shared" si="5"/>
        <v>767487.69000000006</v>
      </c>
      <c r="E116" s="1218">
        <f t="shared" si="6"/>
        <v>3122839.81</v>
      </c>
      <c r="F116" s="1218">
        <f t="shared" si="7"/>
        <v>1175601.46</v>
      </c>
      <c r="G116" s="1218">
        <f t="shared" si="8"/>
        <v>1174633.67</v>
      </c>
      <c r="H116" s="1305">
        <f t="shared" si="8"/>
        <v>967.79</v>
      </c>
      <c r="I116" s="1310">
        <v>316285.08</v>
      </c>
      <c r="J116" s="1311">
        <v>0</v>
      </c>
      <c r="K116" s="1311">
        <v>316285.08</v>
      </c>
      <c r="L116" s="1311">
        <v>0</v>
      </c>
      <c r="M116" s="1311">
        <v>-0.21</v>
      </c>
      <c r="N116" s="1312">
        <v>632569.94999999995</v>
      </c>
      <c r="O116" s="1310">
        <v>438838.97</v>
      </c>
      <c r="P116" s="1311">
        <v>0</v>
      </c>
      <c r="Q116" s="1311">
        <v>438838.97</v>
      </c>
      <c r="R116" s="1311">
        <v>0</v>
      </c>
      <c r="S116" s="1311">
        <v>968</v>
      </c>
      <c r="T116" s="1313">
        <v>878645.94</v>
      </c>
      <c r="U116" s="1310">
        <v>12363.64</v>
      </c>
      <c r="V116" s="1311">
        <v>0</v>
      </c>
      <c r="W116" s="1311">
        <v>286739.02</v>
      </c>
      <c r="X116" s="1311">
        <v>0</v>
      </c>
      <c r="Y116" s="1311">
        <v>0</v>
      </c>
      <c r="Z116" s="1313">
        <v>299102.65999999997</v>
      </c>
      <c r="AA116" s="1303"/>
      <c r="AB116" s="1299"/>
      <c r="AC116" s="1299"/>
      <c r="AD116" s="1299"/>
      <c r="AE116" s="1299"/>
      <c r="AF116" s="1304"/>
      <c r="AG116" s="1310">
        <v>0</v>
      </c>
      <c r="AH116" s="1311">
        <v>0</v>
      </c>
      <c r="AI116" s="1311">
        <v>2080976.74</v>
      </c>
      <c r="AJ116" s="1311">
        <v>1174633.67</v>
      </c>
      <c r="AK116" s="1299"/>
      <c r="AL116" s="1313">
        <v>3255610.41</v>
      </c>
    </row>
    <row r="117" spans="1:38" s="666" customFormat="1">
      <c r="A117" s="1308" t="s">
        <v>181</v>
      </c>
      <c r="B117" s="1309" t="s">
        <v>182</v>
      </c>
      <c r="C117" s="1148" t="s">
        <v>271</v>
      </c>
      <c r="D117" s="1291">
        <f t="shared" si="5"/>
        <v>1012230.0900000001</v>
      </c>
      <c r="E117" s="1218">
        <f t="shared" si="6"/>
        <v>3962130.43</v>
      </c>
      <c r="F117" s="1218">
        <f t="shared" si="7"/>
        <v>1606308.23</v>
      </c>
      <c r="G117" s="1218">
        <f t="shared" si="8"/>
        <v>832907.99</v>
      </c>
      <c r="H117" s="1305">
        <f t="shared" si="8"/>
        <v>773400.24</v>
      </c>
      <c r="I117" s="1310">
        <v>484836.59</v>
      </c>
      <c r="J117" s="1311">
        <v>0</v>
      </c>
      <c r="K117" s="1311">
        <v>484836.59</v>
      </c>
      <c r="L117" s="1311">
        <v>0</v>
      </c>
      <c r="M117" s="1311">
        <v>50541.61</v>
      </c>
      <c r="N117" s="1312">
        <v>1020214.79</v>
      </c>
      <c r="O117" s="1310">
        <v>539712.01</v>
      </c>
      <c r="P117" s="1311">
        <v>0</v>
      </c>
      <c r="Q117" s="1311">
        <v>539712.01</v>
      </c>
      <c r="R117" s="1311">
        <v>0</v>
      </c>
      <c r="S117" s="1311">
        <v>722858.63</v>
      </c>
      <c r="T117" s="1313">
        <v>1802282.65</v>
      </c>
      <c r="U117" s="1310">
        <v>-12318.51</v>
      </c>
      <c r="V117" s="1311">
        <v>0</v>
      </c>
      <c r="W117" s="1311">
        <v>464746.96</v>
      </c>
      <c r="X117" s="1311">
        <v>0</v>
      </c>
      <c r="Y117" s="1311">
        <v>0</v>
      </c>
      <c r="Z117" s="1313">
        <v>452428.45</v>
      </c>
      <c r="AA117" s="1303"/>
      <c r="AB117" s="1299"/>
      <c r="AC117" s="1299"/>
      <c r="AD117" s="1299"/>
      <c r="AE117" s="1299"/>
      <c r="AF117" s="1304"/>
      <c r="AG117" s="1310">
        <v>0</v>
      </c>
      <c r="AH117" s="1311">
        <v>0</v>
      </c>
      <c r="AI117" s="1311">
        <v>2472834.87</v>
      </c>
      <c r="AJ117" s="1311">
        <v>832907.99</v>
      </c>
      <c r="AK117" s="1299"/>
      <c r="AL117" s="1313">
        <v>3305742.86</v>
      </c>
    </row>
    <row r="118" spans="1:38" s="666" customFormat="1">
      <c r="A118" s="1308" t="s">
        <v>193</v>
      </c>
      <c r="B118" s="1309" t="s">
        <v>194</v>
      </c>
      <c r="C118" s="1148" t="s">
        <v>275</v>
      </c>
      <c r="D118" s="1291">
        <f t="shared" si="5"/>
        <v>137866.27999999997</v>
      </c>
      <c r="E118" s="1218">
        <f t="shared" si="6"/>
        <v>819221.98</v>
      </c>
      <c r="F118" s="1218">
        <f t="shared" si="7"/>
        <v>144831.61000000002</v>
      </c>
      <c r="G118" s="1218">
        <f t="shared" si="8"/>
        <v>144831.70000000001</v>
      </c>
      <c r="H118" s="1305">
        <f t="shared" si="8"/>
        <v>-0.09</v>
      </c>
      <c r="I118" s="1310">
        <v>89748.479999999996</v>
      </c>
      <c r="J118" s="1311">
        <v>0</v>
      </c>
      <c r="K118" s="1311">
        <v>89748.479999999996</v>
      </c>
      <c r="L118" s="1311">
        <v>0</v>
      </c>
      <c r="M118" s="1311">
        <v>-0.09</v>
      </c>
      <c r="N118" s="1312">
        <v>179496.87</v>
      </c>
      <c r="O118" s="1310">
        <v>41557.5</v>
      </c>
      <c r="P118" s="1311">
        <v>0</v>
      </c>
      <c r="Q118" s="1311">
        <v>41557.5</v>
      </c>
      <c r="R118" s="1311">
        <v>0</v>
      </c>
      <c r="S118" s="1311">
        <v>0</v>
      </c>
      <c r="T118" s="1313">
        <v>83115</v>
      </c>
      <c r="U118" s="1310">
        <v>6560.3</v>
      </c>
      <c r="V118" s="1311">
        <v>0</v>
      </c>
      <c r="W118" s="1311">
        <v>122354.6</v>
      </c>
      <c r="X118" s="1311">
        <v>0</v>
      </c>
      <c r="Y118" s="1311">
        <v>0</v>
      </c>
      <c r="Z118" s="1313">
        <v>128914.9</v>
      </c>
      <c r="AA118" s="1303"/>
      <c r="AB118" s="1299"/>
      <c r="AC118" s="1299"/>
      <c r="AD118" s="1299"/>
      <c r="AE118" s="1299"/>
      <c r="AF118" s="1304"/>
      <c r="AG118" s="1310">
        <v>0</v>
      </c>
      <c r="AH118" s="1311">
        <v>0</v>
      </c>
      <c r="AI118" s="1311">
        <v>565561.4</v>
      </c>
      <c r="AJ118" s="1311">
        <v>144831.70000000001</v>
      </c>
      <c r="AK118" s="1299"/>
      <c r="AL118" s="1313">
        <v>710393.1</v>
      </c>
    </row>
    <row r="119" spans="1:38" s="666" customFormat="1">
      <c r="A119" s="1308" t="s">
        <v>197</v>
      </c>
      <c r="B119" s="1309" t="s">
        <v>334</v>
      </c>
      <c r="C119" s="1148" t="s">
        <v>273</v>
      </c>
      <c r="D119" s="1291">
        <f t="shared" si="5"/>
        <v>4006198.66</v>
      </c>
      <c r="E119" s="1218">
        <f t="shared" si="6"/>
        <v>12859260.82</v>
      </c>
      <c r="F119" s="1218">
        <f t="shared" si="7"/>
        <v>4288999.3999999994</v>
      </c>
      <c r="G119" s="1218">
        <f t="shared" si="8"/>
        <v>4202889.97</v>
      </c>
      <c r="H119" s="1305">
        <f t="shared" si="8"/>
        <v>86109.43</v>
      </c>
      <c r="I119" s="1310">
        <v>1752220.27</v>
      </c>
      <c r="J119" s="1311">
        <v>0</v>
      </c>
      <c r="K119" s="1311">
        <v>1752220.27</v>
      </c>
      <c r="L119" s="1311">
        <v>0</v>
      </c>
      <c r="M119" s="1311">
        <v>-0.5</v>
      </c>
      <c r="N119" s="1312">
        <v>3504440.04</v>
      </c>
      <c r="O119" s="1310">
        <v>2156162.92</v>
      </c>
      <c r="P119" s="1311">
        <v>0</v>
      </c>
      <c r="Q119" s="1311">
        <v>2156162.92</v>
      </c>
      <c r="R119" s="1311">
        <v>0</v>
      </c>
      <c r="S119" s="1311">
        <v>86109.93</v>
      </c>
      <c r="T119" s="1313">
        <v>4398435.7699999996</v>
      </c>
      <c r="U119" s="1310">
        <v>97815.47</v>
      </c>
      <c r="V119" s="1311">
        <v>0</v>
      </c>
      <c r="W119" s="1311">
        <v>2268529.67</v>
      </c>
      <c r="X119" s="1311">
        <v>0</v>
      </c>
      <c r="Y119" s="1311">
        <v>0</v>
      </c>
      <c r="Z119" s="1313">
        <v>2366345.14</v>
      </c>
      <c r="AA119" s="1303"/>
      <c r="AB119" s="1299"/>
      <c r="AC119" s="1299"/>
      <c r="AD119" s="1299"/>
      <c r="AE119" s="1299"/>
      <c r="AF119" s="1304"/>
      <c r="AG119" s="1310">
        <v>0</v>
      </c>
      <c r="AH119" s="1311">
        <v>0</v>
      </c>
      <c r="AI119" s="1311">
        <v>6682347.96</v>
      </c>
      <c r="AJ119" s="1311">
        <v>4202889.97</v>
      </c>
      <c r="AK119" s="1299"/>
      <c r="AL119" s="1313">
        <v>10885237.93</v>
      </c>
    </row>
    <row r="120" spans="1:38" s="666" customFormat="1">
      <c r="A120" s="1308" t="s">
        <v>201</v>
      </c>
      <c r="B120" s="1309" t="s">
        <v>335</v>
      </c>
      <c r="C120" s="1148" t="s">
        <v>272</v>
      </c>
      <c r="D120" s="1291">
        <f t="shared" si="5"/>
        <v>3219052.5999999996</v>
      </c>
      <c r="E120" s="1218">
        <f t="shared" si="6"/>
        <v>11884361.48</v>
      </c>
      <c r="F120" s="1218">
        <f t="shared" si="7"/>
        <v>3069719.9099999997</v>
      </c>
      <c r="G120" s="1218">
        <f t="shared" si="8"/>
        <v>3069720.3</v>
      </c>
      <c r="H120" s="1305">
        <f t="shared" si="8"/>
        <v>-0.39</v>
      </c>
      <c r="I120" s="1310">
        <v>1155057.92</v>
      </c>
      <c r="J120" s="1311">
        <v>0</v>
      </c>
      <c r="K120" s="1311">
        <v>1155057.92</v>
      </c>
      <c r="L120" s="1311">
        <v>0</v>
      </c>
      <c r="M120" s="1311">
        <v>-0.34</v>
      </c>
      <c r="N120" s="1312">
        <v>2310115.5</v>
      </c>
      <c r="O120" s="1310">
        <v>2042274.51</v>
      </c>
      <c r="P120" s="1311">
        <v>0</v>
      </c>
      <c r="Q120" s="1311">
        <v>2042274.51</v>
      </c>
      <c r="R120" s="1311">
        <v>0</v>
      </c>
      <c r="S120" s="1311">
        <v>-0.05</v>
      </c>
      <c r="T120" s="1313">
        <v>4084548.97</v>
      </c>
      <c r="U120" s="1310">
        <v>21720.17</v>
      </c>
      <c r="V120" s="1311">
        <v>0</v>
      </c>
      <c r="W120" s="1311">
        <v>1739387.44</v>
      </c>
      <c r="X120" s="1311">
        <v>0</v>
      </c>
      <c r="Y120" s="1311">
        <v>0</v>
      </c>
      <c r="Z120" s="1313">
        <v>1761107.61</v>
      </c>
      <c r="AA120" s="1303"/>
      <c r="AB120" s="1299"/>
      <c r="AC120" s="1299"/>
      <c r="AD120" s="1299"/>
      <c r="AE120" s="1299"/>
      <c r="AF120" s="1304"/>
      <c r="AG120" s="1310">
        <v>0</v>
      </c>
      <c r="AH120" s="1311">
        <v>0</v>
      </c>
      <c r="AI120" s="1311">
        <v>6947641.6100000003</v>
      </c>
      <c r="AJ120" s="1311">
        <v>3069720.3</v>
      </c>
      <c r="AK120" s="1299"/>
      <c r="AL120" s="1313">
        <v>10017361.91</v>
      </c>
    </row>
    <row r="121" spans="1:38" s="666" customFormat="1">
      <c r="A121" s="1308" t="s">
        <v>223</v>
      </c>
      <c r="B121" s="1309" t="s">
        <v>224</v>
      </c>
      <c r="C121" s="1148" t="s">
        <v>271</v>
      </c>
      <c r="D121" s="1291">
        <f t="shared" si="5"/>
        <v>286690.55000000005</v>
      </c>
      <c r="E121" s="1218">
        <f t="shared" si="6"/>
        <v>1234959.05</v>
      </c>
      <c r="F121" s="1218">
        <f t="shared" si="7"/>
        <v>255352.72</v>
      </c>
      <c r="G121" s="1218">
        <f t="shared" si="8"/>
        <v>255352.87</v>
      </c>
      <c r="H121" s="1305">
        <f t="shared" si="8"/>
        <v>-0.15</v>
      </c>
      <c r="I121" s="1310">
        <v>154850.54</v>
      </c>
      <c r="J121" s="1311">
        <v>0</v>
      </c>
      <c r="K121" s="1311">
        <v>154850.54</v>
      </c>
      <c r="L121" s="1311">
        <v>0</v>
      </c>
      <c r="M121" s="1311">
        <v>-0.15</v>
      </c>
      <c r="N121" s="1312">
        <v>309700.93</v>
      </c>
      <c r="O121" s="1310">
        <v>126082.05</v>
      </c>
      <c r="P121" s="1311">
        <v>0</v>
      </c>
      <c r="Q121" s="1311">
        <v>126082.05</v>
      </c>
      <c r="R121" s="1311">
        <v>0</v>
      </c>
      <c r="S121" s="1311">
        <v>0</v>
      </c>
      <c r="T121" s="1313">
        <v>252164.1</v>
      </c>
      <c r="U121" s="1310">
        <v>5757.96</v>
      </c>
      <c r="V121" s="1311">
        <v>0</v>
      </c>
      <c r="W121" s="1311">
        <v>171092</v>
      </c>
      <c r="X121" s="1311">
        <v>0</v>
      </c>
      <c r="Y121" s="1311">
        <v>0</v>
      </c>
      <c r="Z121" s="1313">
        <v>176849.96</v>
      </c>
      <c r="AA121" s="1303"/>
      <c r="AB121" s="1299"/>
      <c r="AC121" s="1299"/>
      <c r="AD121" s="1299"/>
      <c r="AE121" s="1299"/>
      <c r="AF121" s="1304"/>
      <c r="AG121" s="1310">
        <v>0</v>
      </c>
      <c r="AH121" s="1311">
        <v>0</v>
      </c>
      <c r="AI121" s="1311">
        <v>782934.46</v>
      </c>
      <c r="AJ121" s="1311">
        <v>255352.87</v>
      </c>
      <c r="AK121" s="1299"/>
      <c r="AL121" s="1313">
        <v>1038287.33</v>
      </c>
    </row>
    <row r="122" spans="1:38" s="666" customFormat="1">
      <c r="A122" s="1308" t="s">
        <v>231</v>
      </c>
      <c r="B122" s="1309" t="s">
        <v>232</v>
      </c>
      <c r="C122" s="1148" t="s">
        <v>271</v>
      </c>
      <c r="D122" s="1291">
        <f t="shared" si="5"/>
        <v>2236196.77</v>
      </c>
      <c r="E122" s="1218">
        <f t="shared" si="6"/>
        <v>12201464.66</v>
      </c>
      <c r="F122" s="1218">
        <f t="shared" si="7"/>
        <v>4640999.3099999996</v>
      </c>
      <c r="G122" s="1218">
        <f t="shared" si="8"/>
        <v>4640999.76</v>
      </c>
      <c r="H122" s="1305">
        <f t="shared" si="8"/>
        <v>-0.45</v>
      </c>
      <c r="I122" s="1310">
        <v>1285150.08</v>
      </c>
      <c r="J122" s="1311">
        <v>0</v>
      </c>
      <c r="K122" s="1311">
        <v>1285150.08</v>
      </c>
      <c r="L122" s="1311">
        <v>0</v>
      </c>
      <c r="M122" s="1311">
        <v>-0.39</v>
      </c>
      <c r="N122" s="1312">
        <v>2570299.77</v>
      </c>
      <c r="O122" s="1310">
        <v>819429.06</v>
      </c>
      <c r="P122" s="1311">
        <v>0</v>
      </c>
      <c r="Q122" s="1311">
        <v>819429.06</v>
      </c>
      <c r="R122" s="1311">
        <v>0</v>
      </c>
      <c r="S122" s="1311">
        <v>-0.06</v>
      </c>
      <c r="T122" s="1313">
        <v>1638858.06</v>
      </c>
      <c r="U122" s="1310">
        <v>131617.63</v>
      </c>
      <c r="V122" s="1311">
        <v>0</v>
      </c>
      <c r="W122" s="1311">
        <v>2407453.48</v>
      </c>
      <c r="X122" s="1311">
        <v>0</v>
      </c>
      <c r="Y122" s="1311">
        <v>0</v>
      </c>
      <c r="Z122" s="1313">
        <v>2539071.11</v>
      </c>
      <c r="AA122" s="1303"/>
      <c r="AB122" s="1299"/>
      <c r="AC122" s="1299"/>
      <c r="AD122" s="1299"/>
      <c r="AE122" s="1299"/>
      <c r="AF122" s="1304"/>
      <c r="AG122" s="1310">
        <v>0</v>
      </c>
      <c r="AH122" s="1311">
        <v>0</v>
      </c>
      <c r="AI122" s="1311">
        <v>7689432.04</v>
      </c>
      <c r="AJ122" s="1311">
        <v>4640999.76</v>
      </c>
      <c r="AK122" s="1299"/>
      <c r="AL122" s="1313">
        <v>12330431.800000001</v>
      </c>
    </row>
    <row r="123" spans="1:38" s="666" customFormat="1">
      <c r="A123" s="1308" t="s">
        <v>239</v>
      </c>
      <c r="B123" s="1309" t="s">
        <v>240</v>
      </c>
      <c r="C123" s="1148" t="s">
        <v>271</v>
      </c>
      <c r="D123" s="1291">
        <f t="shared" si="5"/>
        <v>113365.35</v>
      </c>
      <c r="E123" s="1218">
        <f t="shared" si="6"/>
        <v>217712.68</v>
      </c>
      <c r="F123" s="1218">
        <f t="shared" si="7"/>
        <v>66999.549999999988</v>
      </c>
      <c r="G123" s="1218">
        <f t="shared" si="8"/>
        <v>77612.09</v>
      </c>
      <c r="H123" s="1305">
        <f t="shared" si="8"/>
        <v>-10612.54</v>
      </c>
      <c r="I123" s="1310">
        <v>57939.63</v>
      </c>
      <c r="J123" s="1311">
        <v>0</v>
      </c>
      <c r="K123" s="1311">
        <v>57939.63</v>
      </c>
      <c r="L123" s="1311">
        <v>0</v>
      </c>
      <c r="M123" s="1311">
        <v>-10612.54</v>
      </c>
      <c r="N123" s="1312">
        <v>105266.72</v>
      </c>
      <c r="O123" s="1310">
        <v>55280.19</v>
      </c>
      <c r="P123" s="1311">
        <v>0</v>
      </c>
      <c r="Q123" s="1311">
        <v>55280.19</v>
      </c>
      <c r="R123" s="1311">
        <v>0</v>
      </c>
      <c r="S123" s="1311">
        <v>0</v>
      </c>
      <c r="T123" s="1313">
        <v>110560.38</v>
      </c>
      <c r="U123" s="1310">
        <v>145.53</v>
      </c>
      <c r="V123" s="1311">
        <v>0</v>
      </c>
      <c r="W123" s="1311">
        <v>15237.47</v>
      </c>
      <c r="X123" s="1311">
        <v>0</v>
      </c>
      <c r="Y123" s="1311">
        <v>0</v>
      </c>
      <c r="Z123" s="1313">
        <v>15383</v>
      </c>
      <c r="AA123" s="1303"/>
      <c r="AB123" s="1299"/>
      <c r="AC123" s="1299"/>
      <c r="AD123" s="1299"/>
      <c r="AE123" s="1299"/>
      <c r="AF123" s="1304"/>
      <c r="AG123" s="1310">
        <v>0</v>
      </c>
      <c r="AH123" s="1311">
        <v>0</v>
      </c>
      <c r="AI123" s="1311">
        <v>89255.39</v>
      </c>
      <c r="AJ123" s="1311">
        <v>77612.09</v>
      </c>
      <c r="AK123" s="1299"/>
      <c r="AL123" s="1313">
        <v>166867.48000000001</v>
      </c>
    </row>
    <row r="124" spans="1:38" s="666" customFormat="1">
      <c r="A124" s="1308" t="s">
        <v>241</v>
      </c>
      <c r="B124" s="1309" t="s">
        <v>242</v>
      </c>
      <c r="C124" s="1151" t="s">
        <v>274</v>
      </c>
      <c r="D124" s="1291">
        <f t="shared" si="5"/>
        <v>256560.05</v>
      </c>
      <c r="E124" s="1218">
        <f t="shared" si="6"/>
        <v>1259370.8399999999</v>
      </c>
      <c r="F124" s="1218">
        <f t="shared" si="7"/>
        <v>642150.77</v>
      </c>
      <c r="G124" s="1218">
        <f t="shared" si="8"/>
        <v>642150.99</v>
      </c>
      <c r="H124" s="1305">
        <f t="shared" si="8"/>
        <v>-0.22000000000000003</v>
      </c>
      <c r="I124" s="1310">
        <v>81781.89</v>
      </c>
      <c r="J124" s="1311">
        <v>0</v>
      </c>
      <c r="K124" s="1311">
        <v>81781.89</v>
      </c>
      <c r="L124" s="1311">
        <v>0</v>
      </c>
      <c r="M124" s="1311">
        <v>-0.17</v>
      </c>
      <c r="N124" s="1312">
        <v>163563.60999999999</v>
      </c>
      <c r="O124" s="1310">
        <v>172492.53</v>
      </c>
      <c r="P124" s="1311">
        <v>0</v>
      </c>
      <c r="Q124" s="1311">
        <v>172492.53</v>
      </c>
      <c r="R124" s="1311">
        <v>0</v>
      </c>
      <c r="S124" s="1311">
        <v>-0.04</v>
      </c>
      <c r="T124" s="1313">
        <v>344985.02</v>
      </c>
      <c r="U124" s="1310">
        <v>2285.63</v>
      </c>
      <c r="V124" s="1311">
        <v>0</v>
      </c>
      <c r="W124" s="1311">
        <v>143196.69</v>
      </c>
      <c r="X124" s="1311">
        <v>0</v>
      </c>
      <c r="Y124" s="1311">
        <v>-0.01</v>
      </c>
      <c r="Z124" s="1313">
        <v>145482.31</v>
      </c>
      <c r="AA124" s="1303"/>
      <c r="AB124" s="1299"/>
      <c r="AC124" s="1299"/>
      <c r="AD124" s="1299"/>
      <c r="AE124" s="1299"/>
      <c r="AF124" s="1304"/>
      <c r="AG124" s="1310">
        <v>0</v>
      </c>
      <c r="AH124" s="1311">
        <v>0</v>
      </c>
      <c r="AI124" s="1311">
        <v>861899.73</v>
      </c>
      <c r="AJ124" s="1311">
        <v>642150.99</v>
      </c>
      <c r="AK124" s="1299"/>
      <c r="AL124" s="1313">
        <v>1504050.72</v>
      </c>
    </row>
    <row r="125" spans="1:38" s="666" customFormat="1">
      <c r="I125" s="1314"/>
      <c r="J125" s="1301"/>
      <c r="K125" s="1301"/>
      <c r="L125" s="1301"/>
      <c r="M125" s="1301"/>
      <c r="N125" s="1307"/>
      <c r="O125" s="1300"/>
      <c r="P125" s="1301"/>
      <c r="Q125" s="1301"/>
      <c r="R125" s="1301"/>
      <c r="S125" s="1301"/>
      <c r="T125" s="1302"/>
      <c r="U125" s="1300"/>
      <c r="V125" s="1301"/>
      <c r="W125" s="1307"/>
      <c r="X125" s="1315"/>
      <c r="Y125" s="1315"/>
      <c r="Z125" s="1315"/>
      <c r="AA125" s="1315"/>
      <c r="AB125" s="1315"/>
      <c r="AC125" s="1315"/>
      <c r="AD125" s="1315"/>
      <c r="AE125" s="1315"/>
      <c r="AF125" s="1315"/>
      <c r="AG125" s="1315"/>
      <c r="AH125" s="1315"/>
      <c r="AI125" s="1315"/>
      <c r="AJ125" s="1315"/>
      <c r="AK125" s="1315"/>
      <c r="AL125" s="1315"/>
    </row>
    <row r="126" spans="1:38" s="511" customFormat="1">
      <c r="A126" s="511" t="s">
        <v>1135</v>
      </c>
      <c r="B126" s="1082"/>
      <c r="C126" s="1082"/>
      <c r="D126" s="1016"/>
    </row>
    <row r="127" spans="1:38" s="511" customFormat="1"/>
    <row r="128" spans="1:38" s="542" customFormat="1">
      <c r="A128" s="542" t="s">
        <v>249</v>
      </c>
    </row>
    <row r="129" spans="1:3">
      <c r="A129" s="543" t="s">
        <v>250</v>
      </c>
      <c r="B129" s="544" t="s">
        <v>251</v>
      </c>
      <c r="C129" s="544"/>
    </row>
  </sheetData>
  <autoFilter ref="A3:C3"/>
  <hyperlinks>
    <hyperlink ref="B129" r:id="rId1"/>
  </hyperlinks>
  <pageMargins left="0.7" right="0.7" top="0.75" bottom="0.75" header="0.3" footer="0.3"/>
</worksheet>
</file>

<file path=xl/worksheets/sheet35.xml><?xml version="1.0" encoding="utf-8"?>
<worksheet xmlns="http://schemas.openxmlformats.org/spreadsheetml/2006/main" xmlns:r="http://schemas.openxmlformats.org/officeDocument/2006/relationships">
  <dimension ref="A1:AP130"/>
  <sheetViews>
    <sheetView zoomScale="98" zoomScaleNormal="98" workbookViewId="0">
      <pane ySplit="4" topLeftCell="A102" activePane="bottomLeft" state="frozen"/>
      <selection activeCell="C109" sqref="C109"/>
      <selection pane="bottomLeft" activeCell="B106" sqref="B106"/>
    </sheetView>
  </sheetViews>
  <sheetFormatPr defaultRowHeight="15.75"/>
  <cols>
    <col min="1" max="1" width="13.375" style="280" bestFit="1" customWidth="1"/>
    <col min="2" max="2" width="28.75" style="280" customWidth="1"/>
    <col min="3" max="3" width="14.875" style="280" customWidth="1"/>
    <col min="4" max="5" width="13.875" style="280" customWidth="1"/>
    <col min="6" max="6" width="19.5" style="280" customWidth="1"/>
    <col min="7" max="8" width="13.875" style="280" customWidth="1"/>
    <col min="9" max="9" width="12.375" style="280" bestFit="1" customWidth="1"/>
    <col min="10" max="10" width="11.375" style="280" customWidth="1"/>
    <col min="11" max="11" width="12.375" style="280" bestFit="1" customWidth="1"/>
    <col min="12" max="12" width="10.875" style="280" customWidth="1"/>
    <col min="13" max="13" width="10.125" style="280" bestFit="1" customWidth="1"/>
    <col min="14" max="14" width="12.375" style="280" bestFit="1" customWidth="1"/>
    <col min="15" max="15" width="9" style="280" bestFit="1" customWidth="1"/>
    <col min="16" max="18" width="11" style="280" customWidth="1"/>
    <col min="19" max="19" width="7.5" style="280" bestFit="1" customWidth="1"/>
    <col min="20" max="20" width="10.125" style="280" bestFit="1" customWidth="1"/>
    <col min="21" max="21" width="9.375" style="280" customWidth="1"/>
    <col min="22" max="23" width="10.25" style="280" bestFit="1" customWidth="1"/>
    <col min="24" max="24" width="9.25" style="280" bestFit="1" customWidth="1"/>
    <col min="25" max="25" width="9" style="280" bestFit="1" customWidth="1"/>
    <col min="26" max="26" width="10.25" style="280" bestFit="1" customWidth="1"/>
    <col min="27" max="27" width="10" style="280" bestFit="1" customWidth="1"/>
    <col min="28" max="28" width="10.25" style="280" bestFit="1" customWidth="1"/>
    <col min="29" max="29" width="10.875" style="280" customWidth="1"/>
    <col min="30" max="30" width="10" style="280" bestFit="1" customWidth="1"/>
    <col min="31" max="31" width="10.25" style="280" bestFit="1" customWidth="1"/>
    <col min="32" max="32" width="11" style="280" bestFit="1" customWidth="1"/>
    <col min="33" max="33" width="12.5" style="280" bestFit="1" customWidth="1"/>
    <col min="34" max="34" width="10.25" style="280" bestFit="1" customWidth="1"/>
    <col min="35" max="35" width="10" style="280" bestFit="1" customWidth="1"/>
    <col min="36" max="36" width="9.25" style="280" bestFit="1" customWidth="1"/>
    <col min="37" max="37" width="10" style="280" bestFit="1" customWidth="1"/>
    <col min="38" max="38" width="12.5" style="280" bestFit="1" customWidth="1"/>
    <col min="39" max="39" width="13.75" style="280" bestFit="1" customWidth="1"/>
    <col min="40" max="40" width="12.125" style="280" customWidth="1"/>
    <col min="41" max="41" width="13.75" style="280" bestFit="1" customWidth="1"/>
    <col min="42" max="42" width="14.625" style="280" bestFit="1" customWidth="1"/>
    <col min="43" max="16384" width="9" style="280"/>
  </cols>
  <sheetData>
    <row r="1" spans="1:42">
      <c r="A1" s="64" t="s">
        <v>1037</v>
      </c>
      <c r="G1" s="1066"/>
      <c r="H1" s="1066"/>
    </row>
    <row r="2" spans="1:42">
      <c r="E2" s="1118"/>
      <c r="F2" s="1118"/>
      <c r="G2" s="1118"/>
      <c r="H2" s="1118"/>
      <c r="I2" s="1335"/>
      <c r="J2" s="1335"/>
      <c r="K2" s="1335"/>
      <c r="L2" s="1335"/>
      <c r="M2" s="1335"/>
      <c r="N2" s="1335"/>
      <c r="O2" s="1335"/>
      <c r="P2" s="1335"/>
      <c r="Q2" s="1335"/>
      <c r="R2" s="1335"/>
      <c r="S2" s="1335"/>
      <c r="T2" s="1335"/>
      <c r="U2" s="1335"/>
      <c r="V2" s="1335"/>
      <c r="W2" s="1335"/>
      <c r="X2" s="1335"/>
      <c r="Y2" s="1335"/>
      <c r="Z2" s="1335"/>
      <c r="AA2" s="1335"/>
      <c r="AB2" s="1335"/>
      <c r="AC2" s="1335"/>
      <c r="AD2" s="1335"/>
      <c r="AE2" s="1335"/>
      <c r="AF2" s="1335"/>
      <c r="AG2" s="1335"/>
      <c r="AH2" s="1335"/>
      <c r="AI2" s="1335"/>
      <c r="AJ2" s="1335"/>
      <c r="AK2" s="1335"/>
      <c r="AL2" s="1335"/>
      <c r="AM2" s="1335"/>
      <c r="AN2" s="1335"/>
      <c r="AO2" s="1335"/>
      <c r="AP2" s="1335"/>
    </row>
    <row r="3" spans="1:42" ht="31.5">
      <c r="A3" s="1337" t="s">
        <v>4</v>
      </c>
      <c r="B3" s="1338" t="s">
        <v>5</v>
      </c>
      <c r="C3" s="1461" t="s">
        <v>252</v>
      </c>
      <c r="D3" s="1341" t="s">
        <v>336</v>
      </c>
      <c r="E3" s="1342" t="s">
        <v>337</v>
      </c>
      <c r="F3" s="1342" t="s">
        <v>498</v>
      </c>
      <c r="G3" s="1342" t="s">
        <v>338</v>
      </c>
      <c r="H3" s="1343" t="s">
        <v>538</v>
      </c>
      <c r="I3" s="1344" t="s">
        <v>542</v>
      </c>
      <c r="J3" s="1345" t="s">
        <v>543</v>
      </c>
      <c r="K3" s="1345" t="s">
        <v>544</v>
      </c>
      <c r="L3" s="1345" t="s">
        <v>545</v>
      </c>
      <c r="M3" s="1345" t="s">
        <v>546</v>
      </c>
      <c r="N3" s="1346" t="s">
        <v>547</v>
      </c>
      <c r="O3" s="1344" t="s">
        <v>548</v>
      </c>
      <c r="P3" s="1345" t="s">
        <v>549</v>
      </c>
      <c r="Q3" s="1345" t="s">
        <v>550</v>
      </c>
      <c r="R3" s="1345" t="s">
        <v>551</v>
      </c>
      <c r="S3" s="1345" t="s">
        <v>552</v>
      </c>
      <c r="T3" s="1346" t="s">
        <v>553</v>
      </c>
      <c r="U3" s="1344" t="s">
        <v>554</v>
      </c>
      <c r="V3" s="1345" t="s">
        <v>555</v>
      </c>
      <c r="W3" s="1345" t="s">
        <v>556</v>
      </c>
      <c r="X3" s="1345" t="s">
        <v>557</v>
      </c>
      <c r="Y3" s="1345" t="s">
        <v>558</v>
      </c>
      <c r="Z3" s="1346" t="s">
        <v>559</v>
      </c>
      <c r="AA3" s="1344" t="s">
        <v>560</v>
      </c>
      <c r="AB3" s="1345" t="s">
        <v>561</v>
      </c>
      <c r="AC3" s="1345" t="s">
        <v>562</v>
      </c>
      <c r="AD3" s="1345" t="s">
        <v>563</v>
      </c>
      <c r="AE3" s="1345" t="s">
        <v>564</v>
      </c>
      <c r="AF3" s="1346" t="s">
        <v>565</v>
      </c>
      <c r="AG3" s="1344" t="s">
        <v>566</v>
      </c>
      <c r="AH3" s="1345" t="s">
        <v>567</v>
      </c>
      <c r="AI3" s="1345" t="s">
        <v>568</v>
      </c>
      <c r="AJ3" s="1345" t="s">
        <v>540</v>
      </c>
      <c r="AK3" s="1345" t="s">
        <v>569</v>
      </c>
      <c r="AL3" s="1346" t="s">
        <v>541</v>
      </c>
      <c r="AM3" s="1344" t="s">
        <v>570</v>
      </c>
      <c r="AN3" s="1345" t="s">
        <v>571</v>
      </c>
      <c r="AO3" s="1345" t="s">
        <v>572</v>
      </c>
      <c r="AP3" s="1346" t="s">
        <v>573</v>
      </c>
    </row>
    <row r="4" spans="1:42">
      <c r="A4" s="1328">
        <v>999</v>
      </c>
      <c r="B4" s="1329" t="s">
        <v>9</v>
      </c>
      <c r="C4" s="1462"/>
      <c r="D4" s="1330">
        <f t="shared" ref="D4:AP4" si="0">SUM(D5:D124)</f>
        <v>59832469.027599998</v>
      </c>
      <c r="E4" s="1331">
        <f t="shared" si="0"/>
        <v>56744875.452199973</v>
      </c>
      <c r="F4" s="1331">
        <f t="shared" si="0"/>
        <v>35188.660000000011</v>
      </c>
      <c r="G4" s="1331">
        <f t="shared" si="0"/>
        <v>0</v>
      </c>
      <c r="H4" s="1332">
        <f t="shared" si="0"/>
        <v>35188.660000000011</v>
      </c>
      <c r="I4" s="1347">
        <f t="shared" si="0"/>
        <v>-175989.29000000007</v>
      </c>
      <c r="J4" s="1339">
        <f t="shared" si="0"/>
        <v>0</v>
      </c>
      <c r="K4" s="1339">
        <f t="shared" si="0"/>
        <v>-169087.73000000004</v>
      </c>
      <c r="L4" s="1339">
        <f t="shared" si="0"/>
        <v>0</v>
      </c>
      <c r="M4" s="1339">
        <f t="shared" si="0"/>
        <v>25440.80000000001</v>
      </c>
      <c r="N4" s="1340">
        <f t="shared" si="0"/>
        <v>-319636.22000000009</v>
      </c>
      <c r="O4" s="1347">
        <f t="shared" si="0"/>
        <v>7036.5300000000007</v>
      </c>
      <c r="P4" s="1339">
        <f t="shared" si="0"/>
        <v>0</v>
      </c>
      <c r="Q4" s="1339">
        <f t="shared" si="0"/>
        <v>6760.57</v>
      </c>
      <c r="R4" s="1339">
        <f t="shared" si="0"/>
        <v>0</v>
      </c>
      <c r="S4" s="1339">
        <f t="shared" si="0"/>
        <v>311.04000000000002</v>
      </c>
      <c r="T4" s="1340">
        <f t="shared" si="0"/>
        <v>14108.140000000001</v>
      </c>
      <c r="U4" s="1347">
        <f t="shared" si="0"/>
        <v>0</v>
      </c>
      <c r="V4" s="1339">
        <f t="shared" si="0"/>
        <v>0</v>
      </c>
      <c r="W4" s="1339">
        <f t="shared" si="0"/>
        <v>-16579.510000000002</v>
      </c>
      <c r="X4" s="1339">
        <f t="shared" si="0"/>
        <v>0</v>
      </c>
      <c r="Y4" s="1339">
        <f t="shared" si="0"/>
        <v>4789.91</v>
      </c>
      <c r="Z4" s="1340">
        <f t="shared" si="0"/>
        <v>-11789.600000000002</v>
      </c>
      <c r="AA4" s="1347">
        <f t="shared" si="0"/>
        <v>0</v>
      </c>
      <c r="AB4" s="1339">
        <f t="shared" si="0"/>
        <v>0</v>
      </c>
      <c r="AC4" s="1339">
        <f t="shared" si="0"/>
        <v>0</v>
      </c>
      <c r="AD4" s="1339">
        <f t="shared" si="0"/>
        <v>0</v>
      </c>
      <c r="AE4" s="1339">
        <f t="shared" si="0"/>
        <v>0</v>
      </c>
      <c r="AF4" s="1340">
        <f t="shared" si="0"/>
        <v>0</v>
      </c>
      <c r="AG4" s="1347">
        <f t="shared" si="0"/>
        <v>3528384.03</v>
      </c>
      <c r="AH4" s="1339">
        <f t="shared" si="0"/>
        <v>0</v>
      </c>
      <c r="AI4" s="1339">
        <f t="shared" si="0"/>
        <v>21825.4</v>
      </c>
      <c r="AJ4" s="1339">
        <f t="shared" si="0"/>
        <v>0</v>
      </c>
      <c r="AK4" s="1339">
        <f t="shared" si="0"/>
        <v>4646.91</v>
      </c>
      <c r="AL4" s="1340">
        <f t="shared" si="0"/>
        <v>3554856.34</v>
      </c>
      <c r="AM4" s="1347">
        <f t="shared" si="0"/>
        <v>56473037.757600017</v>
      </c>
      <c r="AN4" s="1339">
        <f t="shared" si="0"/>
        <v>0</v>
      </c>
      <c r="AO4" s="1339">
        <f t="shared" si="0"/>
        <v>56901956.722199984</v>
      </c>
      <c r="AP4" s="1340">
        <f t="shared" si="0"/>
        <v>113374994.47999999</v>
      </c>
    </row>
    <row r="5" spans="1:42" s="666" customFormat="1" ht="15" customHeight="1">
      <c r="A5" s="1333" t="s">
        <v>10</v>
      </c>
      <c r="B5" s="1334" t="s">
        <v>11</v>
      </c>
      <c r="C5" s="1148" t="s">
        <v>271</v>
      </c>
      <c r="D5" s="1291">
        <f>+I5+J5+O5+P5+U5+V5+AA5+AB5+AG5+AH5+AM5+AN5</f>
        <v>248131.36309999999</v>
      </c>
      <c r="E5" s="1218">
        <f>+K5+Q5+W5+AC5+AI5+AO5</f>
        <v>231046.87689999997</v>
      </c>
      <c r="F5" s="1218">
        <f>+G5+H5</f>
        <v>0.01</v>
      </c>
      <c r="G5" s="1218">
        <f>+L5+R5+X5+AD5+AJ5</f>
        <v>0</v>
      </c>
      <c r="H5" s="1219">
        <f>+M5+S5+Y5+AE5+AK5</f>
        <v>0.01</v>
      </c>
      <c r="I5" s="1351">
        <v>-2291.23</v>
      </c>
      <c r="J5" s="1352">
        <v>0</v>
      </c>
      <c r="K5" s="1352">
        <v>-2201.39</v>
      </c>
      <c r="L5" s="1352">
        <v>0</v>
      </c>
      <c r="M5" s="1352">
        <v>0.01</v>
      </c>
      <c r="N5" s="1353">
        <v>-4492.6099999999997</v>
      </c>
      <c r="O5" s="1348"/>
      <c r="P5" s="1349"/>
      <c r="Q5" s="1349"/>
      <c r="R5" s="1349"/>
      <c r="S5" s="1349"/>
      <c r="T5" s="1350"/>
      <c r="U5" s="1348"/>
      <c r="V5" s="1349"/>
      <c r="W5" s="1349"/>
      <c r="X5" s="1349"/>
      <c r="Y5" s="1349"/>
      <c r="Z5" s="1350"/>
      <c r="AA5" s="1348"/>
      <c r="AB5" s="1349"/>
      <c r="AC5" s="1349"/>
      <c r="AD5" s="1349"/>
      <c r="AE5" s="1349"/>
      <c r="AF5" s="1350"/>
      <c r="AG5" s="1348"/>
      <c r="AH5" s="1349"/>
      <c r="AI5" s="1349"/>
      <c r="AJ5" s="1349"/>
      <c r="AK5" s="1349"/>
      <c r="AL5" s="1350"/>
      <c r="AM5" s="1351">
        <v>250422.5931</v>
      </c>
      <c r="AN5" s="1352">
        <v>0</v>
      </c>
      <c r="AO5" s="1352">
        <v>233248.26689999999</v>
      </c>
      <c r="AP5" s="1353">
        <v>483670.86</v>
      </c>
    </row>
    <row r="6" spans="1:42" s="666" customFormat="1" ht="15" customHeight="1">
      <c r="A6" s="1333" t="s">
        <v>12</v>
      </c>
      <c r="B6" s="1334" t="s">
        <v>13</v>
      </c>
      <c r="C6" s="1148" t="s">
        <v>272</v>
      </c>
      <c r="D6" s="1291">
        <f t="shared" ref="D6:D69" si="1">+I6+J6+O6+P6+U6+V6+AA6+AB6+AG6+AH6+AM6+AN6</f>
        <v>227319.87270000001</v>
      </c>
      <c r="E6" s="1218">
        <f t="shared" ref="E6:E69" si="2">+K6+Q6+W6+AC6+AI6+AO6</f>
        <v>216537.85729999997</v>
      </c>
      <c r="F6" s="1218">
        <f t="shared" ref="F6:F69" si="3">+G6+H6</f>
        <v>0</v>
      </c>
      <c r="G6" s="1218">
        <f t="shared" ref="G6:H69" si="4">+L6+R6+X6+AD6+AJ6</f>
        <v>0</v>
      </c>
      <c r="H6" s="1219">
        <f t="shared" si="4"/>
        <v>0</v>
      </c>
      <c r="I6" s="1348"/>
      <c r="J6" s="1349"/>
      <c r="K6" s="1349"/>
      <c r="L6" s="1349"/>
      <c r="M6" s="1349"/>
      <c r="N6" s="1350"/>
      <c r="O6" s="1348"/>
      <c r="P6" s="1349"/>
      <c r="Q6" s="1349"/>
      <c r="R6" s="1349"/>
      <c r="S6" s="1349"/>
      <c r="T6" s="1350"/>
      <c r="U6" s="1354">
        <v>0</v>
      </c>
      <c r="V6" s="1355">
        <v>0</v>
      </c>
      <c r="W6" s="1355">
        <v>-116.45</v>
      </c>
      <c r="X6" s="1355">
        <v>0</v>
      </c>
      <c r="Y6" s="1355">
        <v>0</v>
      </c>
      <c r="Z6" s="1356">
        <v>-116.45</v>
      </c>
      <c r="AA6" s="1348"/>
      <c r="AB6" s="1349"/>
      <c r="AC6" s="1349"/>
      <c r="AD6" s="1349"/>
      <c r="AE6" s="1349"/>
      <c r="AF6" s="1350"/>
      <c r="AG6" s="1348"/>
      <c r="AH6" s="1349"/>
      <c r="AI6" s="1349"/>
      <c r="AJ6" s="1349"/>
      <c r="AK6" s="1349"/>
      <c r="AL6" s="1350"/>
      <c r="AM6" s="1354">
        <v>227319.87270000001</v>
      </c>
      <c r="AN6" s="1355">
        <v>0</v>
      </c>
      <c r="AO6" s="1355">
        <v>216654.30729999999</v>
      </c>
      <c r="AP6" s="1356">
        <v>443974.18</v>
      </c>
    </row>
    <row r="7" spans="1:42" s="666" customFormat="1" ht="15" customHeight="1">
      <c r="A7" s="1333" t="s">
        <v>16</v>
      </c>
      <c r="B7" s="1334" t="s">
        <v>307</v>
      </c>
      <c r="C7" s="1148" t="s">
        <v>272</v>
      </c>
      <c r="D7" s="1291">
        <f t="shared" si="1"/>
        <v>132894.092</v>
      </c>
      <c r="E7" s="1218">
        <f t="shared" si="2"/>
        <v>135101.158</v>
      </c>
      <c r="F7" s="1218">
        <f t="shared" si="3"/>
        <v>0</v>
      </c>
      <c r="G7" s="1218">
        <f t="shared" si="4"/>
        <v>0</v>
      </c>
      <c r="H7" s="1219">
        <f t="shared" si="4"/>
        <v>0</v>
      </c>
      <c r="I7" s="1354">
        <v>-1788.34</v>
      </c>
      <c r="J7" s="1355">
        <v>0</v>
      </c>
      <c r="K7" s="1355">
        <v>-1718.21</v>
      </c>
      <c r="L7" s="1355">
        <v>0</v>
      </c>
      <c r="M7" s="1355">
        <v>0</v>
      </c>
      <c r="N7" s="1356">
        <v>-3506.55</v>
      </c>
      <c r="O7" s="1348"/>
      <c r="P7" s="1349"/>
      <c r="Q7" s="1349"/>
      <c r="R7" s="1349"/>
      <c r="S7" s="1349"/>
      <c r="T7" s="1350"/>
      <c r="U7" s="1348"/>
      <c r="V7" s="1349"/>
      <c r="W7" s="1349"/>
      <c r="X7" s="1349"/>
      <c r="Y7" s="1349"/>
      <c r="Z7" s="1350"/>
      <c r="AA7" s="1348"/>
      <c r="AB7" s="1349"/>
      <c r="AC7" s="1349"/>
      <c r="AD7" s="1349"/>
      <c r="AE7" s="1349"/>
      <c r="AF7" s="1350"/>
      <c r="AG7" s="1348"/>
      <c r="AH7" s="1349"/>
      <c r="AI7" s="1349"/>
      <c r="AJ7" s="1349"/>
      <c r="AK7" s="1349"/>
      <c r="AL7" s="1350"/>
      <c r="AM7" s="1354">
        <v>134682.432</v>
      </c>
      <c r="AN7" s="1355">
        <v>0</v>
      </c>
      <c r="AO7" s="1355">
        <v>136819.36799999999</v>
      </c>
      <c r="AP7" s="1356">
        <v>271501.8</v>
      </c>
    </row>
    <row r="8" spans="1:42" s="666" customFormat="1" ht="15" customHeight="1">
      <c r="A8" s="1333" t="s">
        <v>18</v>
      </c>
      <c r="B8" s="1334" t="s">
        <v>19</v>
      </c>
      <c r="C8" s="1148" t="s">
        <v>273</v>
      </c>
      <c r="D8" s="1291">
        <f t="shared" si="1"/>
        <v>112762.1964</v>
      </c>
      <c r="E8" s="1218">
        <f t="shared" si="2"/>
        <v>127237.09360000001</v>
      </c>
      <c r="F8" s="1218">
        <f t="shared" si="3"/>
        <v>0</v>
      </c>
      <c r="G8" s="1218">
        <f t="shared" si="4"/>
        <v>0</v>
      </c>
      <c r="H8" s="1219">
        <f t="shared" si="4"/>
        <v>0</v>
      </c>
      <c r="I8" s="1354">
        <v>-73.44</v>
      </c>
      <c r="J8" s="1355">
        <v>0</v>
      </c>
      <c r="K8" s="1355">
        <v>-70.56</v>
      </c>
      <c r="L8" s="1355">
        <v>0</v>
      </c>
      <c r="M8" s="1355">
        <v>0</v>
      </c>
      <c r="N8" s="1356">
        <v>-144</v>
      </c>
      <c r="O8" s="1348"/>
      <c r="P8" s="1349"/>
      <c r="Q8" s="1349"/>
      <c r="R8" s="1349"/>
      <c r="S8" s="1349"/>
      <c r="T8" s="1350"/>
      <c r="U8" s="1348"/>
      <c r="V8" s="1349"/>
      <c r="W8" s="1349"/>
      <c r="X8" s="1349"/>
      <c r="Y8" s="1349"/>
      <c r="Z8" s="1350"/>
      <c r="AA8" s="1348"/>
      <c r="AB8" s="1349"/>
      <c r="AC8" s="1349"/>
      <c r="AD8" s="1349"/>
      <c r="AE8" s="1349"/>
      <c r="AF8" s="1350"/>
      <c r="AG8" s="1348"/>
      <c r="AH8" s="1349"/>
      <c r="AI8" s="1349"/>
      <c r="AJ8" s="1349"/>
      <c r="AK8" s="1349"/>
      <c r="AL8" s="1350"/>
      <c r="AM8" s="1354">
        <v>112835.6364</v>
      </c>
      <c r="AN8" s="1355">
        <v>0</v>
      </c>
      <c r="AO8" s="1355">
        <v>127307.65360000001</v>
      </c>
      <c r="AP8" s="1356">
        <v>240143.29</v>
      </c>
    </row>
    <row r="9" spans="1:42" s="666" customFormat="1" ht="15" customHeight="1">
      <c r="A9" s="1333" t="s">
        <v>20</v>
      </c>
      <c r="B9" s="1334" t="s">
        <v>21</v>
      </c>
      <c r="C9" s="1148" t="s">
        <v>272</v>
      </c>
      <c r="D9" s="1291">
        <f t="shared" si="1"/>
        <v>132200.8633</v>
      </c>
      <c r="E9" s="1218">
        <f t="shared" si="2"/>
        <v>125076.2067</v>
      </c>
      <c r="F9" s="1218">
        <f t="shared" si="3"/>
        <v>0</v>
      </c>
      <c r="G9" s="1218">
        <f t="shared" si="4"/>
        <v>0</v>
      </c>
      <c r="H9" s="1219">
        <f t="shared" si="4"/>
        <v>0</v>
      </c>
      <c r="I9" s="1348"/>
      <c r="J9" s="1349"/>
      <c r="K9" s="1349"/>
      <c r="L9" s="1349"/>
      <c r="M9" s="1349"/>
      <c r="N9" s="1350"/>
      <c r="O9" s="1348"/>
      <c r="P9" s="1349"/>
      <c r="Q9" s="1349"/>
      <c r="R9" s="1349"/>
      <c r="S9" s="1349"/>
      <c r="T9" s="1350"/>
      <c r="U9" s="1348"/>
      <c r="V9" s="1349"/>
      <c r="W9" s="1349"/>
      <c r="X9" s="1349"/>
      <c r="Y9" s="1349"/>
      <c r="Z9" s="1350"/>
      <c r="AA9" s="1348"/>
      <c r="AB9" s="1349"/>
      <c r="AC9" s="1349"/>
      <c r="AD9" s="1349"/>
      <c r="AE9" s="1349"/>
      <c r="AF9" s="1350"/>
      <c r="AG9" s="1348"/>
      <c r="AH9" s="1349"/>
      <c r="AI9" s="1349"/>
      <c r="AJ9" s="1349"/>
      <c r="AK9" s="1349"/>
      <c r="AL9" s="1350"/>
      <c r="AM9" s="1354">
        <v>132200.8633</v>
      </c>
      <c r="AN9" s="1355">
        <v>0</v>
      </c>
      <c r="AO9" s="1355">
        <v>125076.2067</v>
      </c>
      <c r="AP9" s="1356">
        <v>257277.07</v>
      </c>
    </row>
    <row r="10" spans="1:42" s="666" customFormat="1" ht="15" customHeight="1">
      <c r="A10" s="1333" t="s">
        <v>22</v>
      </c>
      <c r="B10" s="1334" t="s">
        <v>23</v>
      </c>
      <c r="C10" s="1148" t="s">
        <v>272</v>
      </c>
      <c r="D10" s="1291">
        <f t="shared" si="1"/>
        <v>128151.1413</v>
      </c>
      <c r="E10" s="1218">
        <f t="shared" si="2"/>
        <v>146621.20869999999</v>
      </c>
      <c r="F10" s="1218">
        <f t="shared" si="3"/>
        <v>0</v>
      </c>
      <c r="G10" s="1218">
        <f t="shared" si="4"/>
        <v>0</v>
      </c>
      <c r="H10" s="1219">
        <f t="shared" si="4"/>
        <v>0</v>
      </c>
      <c r="I10" s="1354">
        <v>-218.47</v>
      </c>
      <c r="J10" s="1355">
        <v>0</v>
      </c>
      <c r="K10" s="1355">
        <v>-209.91</v>
      </c>
      <c r="L10" s="1355">
        <v>0</v>
      </c>
      <c r="M10" s="1355">
        <v>0</v>
      </c>
      <c r="N10" s="1356">
        <v>-428.38</v>
      </c>
      <c r="O10" s="1348"/>
      <c r="P10" s="1349"/>
      <c r="Q10" s="1349"/>
      <c r="R10" s="1349"/>
      <c r="S10" s="1349"/>
      <c r="T10" s="1350"/>
      <c r="U10" s="1348"/>
      <c r="V10" s="1349"/>
      <c r="W10" s="1349"/>
      <c r="X10" s="1349"/>
      <c r="Y10" s="1349"/>
      <c r="Z10" s="1350"/>
      <c r="AA10" s="1348"/>
      <c r="AB10" s="1349"/>
      <c r="AC10" s="1349"/>
      <c r="AD10" s="1349"/>
      <c r="AE10" s="1349"/>
      <c r="AF10" s="1350"/>
      <c r="AG10" s="1348"/>
      <c r="AH10" s="1349"/>
      <c r="AI10" s="1349"/>
      <c r="AJ10" s="1349"/>
      <c r="AK10" s="1349"/>
      <c r="AL10" s="1350"/>
      <c r="AM10" s="1354">
        <v>128369.6113</v>
      </c>
      <c r="AN10" s="1355">
        <v>0</v>
      </c>
      <c r="AO10" s="1355">
        <v>146831.11869999999</v>
      </c>
      <c r="AP10" s="1356">
        <v>275200.73</v>
      </c>
    </row>
    <row r="11" spans="1:42" s="666" customFormat="1" ht="15" customHeight="1">
      <c r="A11" s="1333" t="s">
        <v>24</v>
      </c>
      <c r="B11" s="1334" t="s">
        <v>25</v>
      </c>
      <c r="C11" s="1148" t="s">
        <v>274</v>
      </c>
      <c r="D11" s="1291">
        <f t="shared" si="1"/>
        <v>620417.70730000001</v>
      </c>
      <c r="E11" s="1218">
        <f t="shared" si="2"/>
        <v>518453.69270000001</v>
      </c>
      <c r="F11" s="1218">
        <f t="shared" si="3"/>
        <v>0</v>
      </c>
      <c r="G11" s="1218">
        <f t="shared" si="4"/>
        <v>0</v>
      </c>
      <c r="H11" s="1219">
        <f t="shared" si="4"/>
        <v>0</v>
      </c>
      <c r="I11" s="1354">
        <v>-5056.32</v>
      </c>
      <c r="J11" s="1355">
        <v>0</v>
      </c>
      <c r="K11" s="1355">
        <v>-4858.0600000000004</v>
      </c>
      <c r="L11" s="1355">
        <v>0</v>
      </c>
      <c r="M11" s="1355">
        <v>0</v>
      </c>
      <c r="N11" s="1356">
        <v>-9914.3799999999992</v>
      </c>
      <c r="O11" s="1348"/>
      <c r="P11" s="1349"/>
      <c r="Q11" s="1349"/>
      <c r="R11" s="1349"/>
      <c r="S11" s="1349"/>
      <c r="T11" s="1350"/>
      <c r="U11" s="1348"/>
      <c r="V11" s="1349"/>
      <c r="W11" s="1349"/>
      <c r="X11" s="1349"/>
      <c r="Y11" s="1349"/>
      <c r="Z11" s="1350"/>
      <c r="AA11" s="1348"/>
      <c r="AB11" s="1349"/>
      <c r="AC11" s="1349"/>
      <c r="AD11" s="1349"/>
      <c r="AE11" s="1349"/>
      <c r="AF11" s="1350"/>
      <c r="AG11" s="1354">
        <v>134717.39000000001</v>
      </c>
      <c r="AH11" s="1355">
        <v>0</v>
      </c>
      <c r="AI11" s="1355">
        <v>0</v>
      </c>
      <c r="AJ11" s="1355">
        <v>0</v>
      </c>
      <c r="AK11" s="1355">
        <v>0</v>
      </c>
      <c r="AL11" s="1356">
        <v>134717.39000000001</v>
      </c>
      <c r="AM11" s="1354">
        <v>490756.6373</v>
      </c>
      <c r="AN11" s="1355">
        <v>0</v>
      </c>
      <c r="AO11" s="1355">
        <v>523311.75270000001</v>
      </c>
      <c r="AP11" s="1356">
        <v>1014068.39</v>
      </c>
    </row>
    <row r="12" spans="1:42" s="666" customFormat="1" ht="15" customHeight="1">
      <c r="A12" s="1333" t="s">
        <v>26</v>
      </c>
      <c r="B12" s="1334" t="s">
        <v>908</v>
      </c>
      <c r="C12" s="1148" t="s">
        <v>272</v>
      </c>
      <c r="D12" s="1291">
        <f t="shared" si="1"/>
        <v>1380230.757</v>
      </c>
      <c r="E12" s="1218">
        <f t="shared" si="2"/>
        <v>1087783.1129999999</v>
      </c>
      <c r="F12" s="1218">
        <f t="shared" si="3"/>
        <v>0</v>
      </c>
      <c r="G12" s="1218">
        <f t="shared" si="4"/>
        <v>0</v>
      </c>
      <c r="H12" s="1219">
        <f t="shared" si="4"/>
        <v>0</v>
      </c>
      <c r="I12" s="1354">
        <v>-3563.6</v>
      </c>
      <c r="J12" s="1355">
        <v>0</v>
      </c>
      <c r="K12" s="1355">
        <v>-3423.83</v>
      </c>
      <c r="L12" s="1355">
        <v>0</v>
      </c>
      <c r="M12" s="1355">
        <v>0</v>
      </c>
      <c r="N12" s="1356">
        <v>-6987.43</v>
      </c>
      <c r="O12" s="1348"/>
      <c r="P12" s="1349"/>
      <c r="Q12" s="1349"/>
      <c r="R12" s="1349"/>
      <c r="S12" s="1349"/>
      <c r="T12" s="1350"/>
      <c r="U12" s="1348"/>
      <c r="V12" s="1349"/>
      <c r="W12" s="1349"/>
      <c r="X12" s="1349"/>
      <c r="Y12" s="1349"/>
      <c r="Z12" s="1350"/>
      <c r="AA12" s="1348"/>
      <c r="AB12" s="1349"/>
      <c r="AC12" s="1349"/>
      <c r="AD12" s="1349"/>
      <c r="AE12" s="1349"/>
      <c r="AF12" s="1350"/>
      <c r="AG12" s="1354">
        <v>346965.67</v>
      </c>
      <c r="AH12" s="1355">
        <v>0</v>
      </c>
      <c r="AI12" s="1355">
        <v>0</v>
      </c>
      <c r="AJ12" s="1355">
        <v>0</v>
      </c>
      <c r="AK12" s="1355">
        <v>0</v>
      </c>
      <c r="AL12" s="1356">
        <v>346965.67</v>
      </c>
      <c r="AM12" s="1354">
        <v>1036828.687</v>
      </c>
      <c r="AN12" s="1355">
        <v>0</v>
      </c>
      <c r="AO12" s="1355">
        <v>1091206.943</v>
      </c>
      <c r="AP12" s="1356">
        <v>2128035.63</v>
      </c>
    </row>
    <row r="13" spans="1:42" s="666" customFormat="1" ht="15" customHeight="1">
      <c r="A13" s="1333" t="s">
        <v>27</v>
      </c>
      <c r="B13" s="1334" t="s">
        <v>28</v>
      </c>
      <c r="C13" s="1148" t="s">
        <v>272</v>
      </c>
      <c r="D13" s="1291">
        <f t="shared" si="1"/>
        <v>9887.85</v>
      </c>
      <c r="E13" s="1218">
        <f t="shared" si="2"/>
        <v>15472.15</v>
      </c>
      <c r="F13" s="1218">
        <f t="shared" si="3"/>
        <v>0</v>
      </c>
      <c r="G13" s="1218">
        <f t="shared" si="4"/>
        <v>0</v>
      </c>
      <c r="H13" s="1219">
        <f t="shared" si="4"/>
        <v>0</v>
      </c>
      <c r="I13" s="1348"/>
      <c r="J13" s="1349"/>
      <c r="K13" s="1349"/>
      <c r="L13" s="1349"/>
      <c r="M13" s="1349"/>
      <c r="N13" s="1350"/>
      <c r="O13" s="1348"/>
      <c r="P13" s="1349"/>
      <c r="Q13" s="1349"/>
      <c r="R13" s="1349"/>
      <c r="S13" s="1349"/>
      <c r="T13" s="1350"/>
      <c r="U13" s="1348"/>
      <c r="V13" s="1349"/>
      <c r="W13" s="1349"/>
      <c r="X13" s="1349"/>
      <c r="Y13" s="1349"/>
      <c r="Z13" s="1350"/>
      <c r="AA13" s="1348"/>
      <c r="AB13" s="1349"/>
      <c r="AC13" s="1349"/>
      <c r="AD13" s="1349"/>
      <c r="AE13" s="1349"/>
      <c r="AF13" s="1350"/>
      <c r="AG13" s="1348"/>
      <c r="AH13" s="1349"/>
      <c r="AI13" s="1349"/>
      <c r="AJ13" s="1349"/>
      <c r="AK13" s="1349"/>
      <c r="AL13" s="1350"/>
      <c r="AM13" s="1354">
        <v>9887.85</v>
      </c>
      <c r="AN13" s="1355">
        <v>0</v>
      </c>
      <c r="AO13" s="1355">
        <v>15472.15</v>
      </c>
      <c r="AP13" s="1356">
        <v>25360</v>
      </c>
    </row>
    <row r="14" spans="1:42" s="666" customFormat="1" ht="15" customHeight="1">
      <c r="A14" s="1333" t="s">
        <v>29</v>
      </c>
      <c r="B14" s="1334" t="s">
        <v>804</v>
      </c>
      <c r="C14" s="1148" t="s">
        <v>272</v>
      </c>
      <c r="D14" s="1291">
        <f t="shared" si="1"/>
        <v>290842.08550000004</v>
      </c>
      <c r="E14" s="1218">
        <f t="shared" si="2"/>
        <v>306110.01440000004</v>
      </c>
      <c r="F14" s="1218">
        <f t="shared" si="3"/>
        <v>0.06</v>
      </c>
      <c r="G14" s="1218">
        <f t="shared" si="4"/>
        <v>0</v>
      </c>
      <c r="H14" s="1219">
        <f t="shared" si="4"/>
        <v>0.06</v>
      </c>
      <c r="I14" s="1354">
        <v>-4219.3500000000004</v>
      </c>
      <c r="J14" s="1355">
        <v>0</v>
      </c>
      <c r="K14" s="1355">
        <v>-4053.91</v>
      </c>
      <c r="L14" s="1355">
        <v>0</v>
      </c>
      <c r="M14" s="1355">
        <v>0.06</v>
      </c>
      <c r="N14" s="1356">
        <v>-8273.2000000000007</v>
      </c>
      <c r="O14" s="1348"/>
      <c r="P14" s="1349"/>
      <c r="Q14" s="1349"/>
      <c r="R14" s="1349"/>
      <c r="S14" s="1349"/>
      <c r="T14" s="1350"/>
      <c r="U14" s="1348"/>
      <c r="V14" s="1349"/>
      <c r="W14" s="1349"/>
      <c r="X14" s="1349"/>
      <c r="Y14" s="1349"/>
      <c r="Z14" s="1350"/>
      <c r="AA14" s="1348"/>
      <c r="AB14" s="1349"/>
      <c r="AC14" s="1349"/>
      <c r="AD14" s="1349"/>
      <c r="AE14" s="1349"/>
      <c r="AF14" s="1350"/>
      <c r="AG14" s="1348"/>
      <c r="AH14" s="1349"/>
      <c r="AI14" s="1349"/>
      <c r="AJ14" s="1349"/>
      <c r="AK14" s="1349"/>
      <c r="AL14" s="1350"/>
      <c r="AM14" s="1354">
        <v>295061.43550000002</v>
      </c>
      <c r="AN14" s="1355">
        <v>0</v>
      </c>
      <c r="AO14" s="1355">
        <v>310163.92440000002</v>
      </c>
      <c r="AP14" s="1356">
        <v>605225.36</v>
      </c>
    </row>
    <row r="15" spans="1:42" s="666" customFormat="1" ht="15" customHeight="1">
      <c r="A15" s="1333" t="s">
        <v>31</v>
      </c>
      <c r="B15" s="1334" t="s">
        <v>32</v>
      </c>
      <c r="C15" s="1148" t="s">
        <v>275</v>
      </c>
      <c r="D15" s="1291">
        <f t="shared" si="1"/>
        <v>23778.382900000001</v>
      </c>
      <c r="E15" s="1218">
        <f t="shared" si="2"/>
        <v>21801.367099999999</v>
      </c>
      <c r="F15" s="1218">
        <f t="shared" si="3"/>
        <v>0</v>
      </c>
      <c r="G15" s="1218">
        <f t="shared" si="4"/>
        <v>0</v>
      </c>
      <c r="H15" s="1219">
        <f t="shared" si="4"/>
        <v>0</v>
      </c>
      <c r="I15" s="1348"/>
      <c r="J15" s="1349"/>
      <c r="K15" s="1349"/>
      <c r="L15" s="1349"/>
      <c r="M15" s="1349"/>
      <c r="N15" s="1350"/>
      <c r="O15" s="1348"/>
      <c r="P15" s="1349"/>
      <c r="Q15" s="1349"/>
      <c r="R15" s="1349"/>
      <c r="S15" s="1349"/>
      <c r="T15" s="1350"/>
      <c r="U15" s="1348"/>
      <c r="V15" s="1349"/>
      <c r="W15" s="1349"/>
      <c r="X15" s="1349"/>
      <c r="Y15" s="1349"/>
      <c r="Z15" s="1350"/>
      <c r="AA15" s="1348"/>
      <c r="AB15" s="1349"/>
      <c r="AC15" s="1349"/>
      <c r="AD15" s="1349"/>
      <c r="AE15" s="1349"/>
      <c r="AF15" s="1350"/>
      <c r="AG15" s="1348"/>
      <c r="AH15" s="1349"/>
      <c r="AI15" s="1349"/>
      <c r="AJ15" s="1349"/>
      <c r="AK15" s="1349"/>
      <c r="AL15" s="1350"/>
      <c r="AM15" s="1354">
        <v>23778.382900000001</v>
      </c>
      <c r="AN15" s="1355">
        <v>0</v>
      </c>
      <c r="AO15" s="1355">
        <v>21801.367099999999</v>
      </c>
      <c r="AP15" s="1356">
        <v>45579.75</v>
      </c>
    </row>
    <row r="16" spans="1:42" s="666" customFormat="1" ht="15" customHeight="1">
      <c r="A16" s="1333" t="s">
        <v>33</v>
      </c>
      <c r="B16" s="1334" t="s">
        <v>34</v>
      </c>
      <c r="C16" s="1148" t="s">
        <v>272</v>
      </c>
      <c r="D16" s="1291">
        <f t="shared" si="1"/>
        <v>62570.3148</v>
      </c>
      <c r="E16" s="1218">
        <f t="shared" si="2"/>
        <v>55835.6852</v>
      </c>
      <c r="F16" s="1218">
        <f t="shared" si="3"/>
        <v>0</v>
      </c>
      <c r="G16" s="1218">
        <f t="shared" si="4"/>
        <v>0</v>
      </c>
      <c r="H16" s="1219">
        <f t="shared" si="4"/>
        <v>0</v>
      </c>
      <c r="I16" s="1348"/>
      <c r="J16" s="1349"/>
      <c r="K16" s="1349"/>
      <c r="L16" s="1349"/>
      <c r="M16" s="1349"/>
      <c r="N16" s="1350"/>
      <c r="O16" s="1348"/>
      <c r="P16" s="1349"/>
      <c r="Q16" s="1349"/>
      <c r="R16" s="1349"/>
      <c r="S16" s="1349"/>
      <c r="T16" s="1350"/>
      <c r="U16" s="1348"/>
      <c r="V16" s="1349"/>
      <c r="W16" s="1349"/>
      <c r="X16" s="1349"/>
      <c r="Y16" s="1349"/>
      <c r="Z16" s="1350"/>
      <c r="AA16" s="1348"/>
      <c r="AB16" s="1349"/>
      <c r="AC16" s="1349"/>
      <c r="AD16" s="1349"/>
      <c r="AE16" s="1349"/>
      <c r="AF16" s="1350"/>
      <c r="AG16" s="1348"/>
      <c r="AH16" s="1349"/>
      <c r="AI16" s="1349"/>
      <c r="AJ16" s="1349"/>
      <c r="AK16" s="1349"/>
      <c r="AL16" s="1350"/>
      <c r="AM16" s="1354">
        <v>62570.3148</v>
      </c>
      <c r="AN16" s="1355">
        <v>0</v>
      </c>
      <c r="AO16" s="1355">
        <v>55835.6852</v>
      </c>
      <c r="AP16" s="1356">
        <v>118406</v>
      </c>
    </row>
    <row r="17" spans="1:42" s="666" customFormat="1" ht="15" customHeight="1">
      <c r="A17" s="1333" t="s">
        <v>37</v>
      </c>
      <c r="B17" s="1334" t="s">
        <v>38</v>
      </c>
      <c r="C17" s="1148" t="s">
        <v>271</v>
      </c>
      <c r="D17" s="1291">
        <f t="shared" si="1"/>
        <v>200079.90470000001</v>
      </c>
      <c r="E17" s="1218">
        <f t="shared" si="2"/>
        <v>160615.8553</v>
      </c>
      <c r="F17" s="1218">
        <f t="shared" si="3"/>
        <v>0</v>
      </c>
      <c r="G17" s="1218">
        <f t="shared" si="4"/>
        <v>0</v>
      </c>
      <c r="H17" s="1219">
        <f t="shared" si="4"/>
        <v>0</v>
      </c>
      <c r="I17" s="1348"/>
      <c r="J17" s="1349"/>
      <c r="K17" s="1349"/>
      <c r="L17" s="1349"/>
      <c r="M17" s="1349"/>
      <c r="N17" s="1350"/>
      <c r="O17" s="1348"/>
      <c r="P17" s="1349"/>
      <c r="Q17" s="1349"/>
      <c r="R17" s="1349"/>
      <c r="S17" s="1349"/>
      <c r="T17" s="1350"/>
      <c r="U17" s="1348"/>
      <c r="V17" s="1349"/>
      <c r="W17" s="1349"/>
      <c r="X17" s="1349"/>
      <c r="Y17" s="1349"/>
      <c r="Z17" s="1350"/>
      <c r="AA17" s="1348"/>
      <c r="AB17" s="1349"/>
      <c r="AC17" s="1349"/>
      <c r="AD17" s="1349"/>
      <c r="AE17" s="1349"/>
      <c r="AF17" s="1350"/>
      <c r="AG17" s="1354">
        <v>26031.26</v>
      </c>
      <c r="AH17" s="1355">
        <v>0</v>
      </c>
      <c r="AI17" s="1355">
        <v>0</v>
      </c>
      <c r="AJ17" s="1355">
        <v>0</v>
      </c>
      <c r="AK17" s="1355">
        <v>0</v>
      </c>
      <c r="AL17" s="1356">
        <v>26031.26</v>
      </c>
      <c r="AM17" s="1354">
        <v>174048.6447</v>
      </c>
      <c r="AN17" s="1355">
        <v>0</v>
      </c>
      <c r="AO17" s="1355">
        <v>160615.8553</v>
      </c>
      <c r="AP17" s="1356">
        <v>334664.5</v>
      </c>
    </row>
    <row r="18" spans="1:42" s="666" customFormat="1" ht="15" customHeight="1">
      <c r="A18" s="1333" t="s">
        <v>39</v>
      </c>
      <c r="B18" s="1334" t="s">
        <v>40</v>
      </c>
      <c r="C18" s="1148" t="s">
        <v>275</v>
      </c>
      <c r="D18" s="1291">
        <f t="shared" si="1"/>
        <v>182499.63380000001</v>
      </c>
      <c r="E18" s="1218">
        <f t="shared" si="2"/>
        <v>163320.3162</v>
      </c>
      <c r="F18" s="1218">
        <f t="shared" si="3"/>
        <v>0</v>
      </c>
      <c r="G18" s="1218">
        <f t="shared" si="4"/>
        <v>0</v>
      </c>
      <c r="H18" s="1219">
        <f t="shared" si="4"/>
        <v>0</v>
      </c>
      <c r="I18" s="1354">
        <v>-344.43</v>
      </c>
      <c r="J18" s="1355">
        <v>0</v>
      </c>
      <c r="K18" s="1355">
        <v>-330.92</v>
      </c>
      <c r="L18" s="1355">
        <v>0</v>
      </c>
      <c r="M18" s="1355">
        <v>0</v>
      </c>
      <c r="N18" s="1356">
        <v>-675.35</v>
      </c>
      <c r="O18" s="1354">
        <v>89.56</v>
      </c>
      <c r="P18" s="1355">
        <v>0</v>
      </c>
      <c r="Q18" s="1355">
        <v>86.04</v>
      </c>
      <c r="R18" s="1355">
        <v>0</v>
      </c>
      <c r="S18" s="1355">
        <v>0</v>
      </c>
      <c r="T18" s="1356">
        <v>175.6</v>
      </c>
      <c r="U18" s="1348"/>
      <c r="V18" s="1349"/>
      <c r="W18" s="1349"/>
      <c r="X18" s="1349"/>
      <c r="Y18" s="1349"/>
      <c r="Z18" s="1350"/>
      <c r="AA18" s="1348"/>
      <c r="AB18" s="1349"/>
      <c r="AC18" s="1349"/>
      <c r="AD18" s="1349"/>
      <c r="AE18" s="1349"/>
      <c r="AF18" s="1350"/>
      <c r="AG18" s="1348"/>
      <c r="AH18" s="1349"/>
      <c r="AI18" s="1349"/>
      <c r="AJ18" s="1349"/>
      <c r="AK18" s="1349"/>
      <c r="AL18" s="1350"/>
      <c r="AM18" s="1354">
        <v>182754.50380000001</v>
      </c>
      <c r="AN18" s="1355">
        <v>0</v>
      </c>
      <c r="AO18" s="1355">
        <v>163565.19620000001</v>
      </c>
      <c r="AP18" s="1356">
        <v>346319.7</v>
      </c>
    </row>
    <row r="19" spans="1:42" s="666" customFormat="1" ht="15" customHeight="1">
      <c r="A19" s="1333" t="s">
        <v>41</v>
      </c>
      <c r="B19" s="1334" t="s">
        <v>42</v>
      </c>
      <c r="C19" s="1148" t="s">
        <v>273</v>
      </c>
      <c r="D19" s="1291">
        <f t="shared" si="1"/>
        <v>98900.622499999998</v>
      </c>
      <c r="E19" s="1218">
        <f t="shared" si="2"/>
        <v>134868.00750000001</v>
      </c>
      <c r="F19" s="1218">
        <f t="shared" si="3"/>
        <v>0.01</v>
      </c>
      <c r="G19" s="1218">
        <f t="shared" si="4"/>
        <v>0</v>
      </c>
      <c r="H19" s="1219">
        <f t="shared" si="4"/>
        <v>0.01</v>
      </c>
      <c r="I19" s="1354">
        <v>-1588.21</v>
      </c>
      <c r="J19" s="1355">
        <v>0</v>
      </c>
      <c r="K19" s="1355">
        <v>-1525.93</v>
      </c>
      <c r="L19" s="1355">
        <v>0</v>
      </c>
      <c r="M19" s="1355">
        <v>0.01</v>
      </c>
      <c r="N19" s="1356">
        <v>-3114.13</v>
      </c>
      <c r="O19" s="1348"/>
      <c r="P19" s="1349"/>
      <c r="Q19" s="1349"/>
      <c r="R19" s="1349"/>
      <c r="S19" s="1349"/>
      <c r="T19" s="1350"/>
      <c r="U19" s="1348"/>
      <c r="V19" s="1349"/>
      <c r="W19" s="1349"/>
      <c r="X19" s="1349"/>
      <c r="Y19" s="1349"/>
      <c r="Z19" s="1350"/>
      <c r="AA19" s="1348"/>
      <c r="AB19" s="1349"/>
      <c r="AC19" s="1349"/>
      <c r="AD19" s="1349"/>
      <c r="AE19" s="1349"/>
      <c r="AF19" s="1350"/>
      <c r="AG19" s="1348"/>
      <c r="AH19" s="1349"/>
      <c r="AI19" s="1349"/>
      <c r="AJ19" s="1349"/>
      <c r="AK19" s="1349"/>
      <c r="AL19" s="1350"/>
      <c r="AM19" s="1354">
        <v>100488.8325</v>
      </c>
      <c r="AN19" s="1355">
        <v>0</v>
      </c>
      <c r="AO19" s="1355">
        <v>136393.9375</v>
      </c>
      <c r="AP19" s="1356">
        <v>236882.77</v>
      </c>
    </row>
    <row r="20" spans="1:42" s="666" customFormat="1" ht="15" customHeight="1">
      <c r="A20" s="1333" t="s">
        <v>43</v>
      </c>
      <c r="B20" s="1334" t="s">
        <v>44</v>
      </c>
      <c r="C20" s="1148" t="s">
        <v>272</v>
      </c>
      <c r="D20" s="1291">
        <f t="shared" si="1"/>
        <v>418540.04080000002</v>
      </c>
      <c r="E20" s="1218">
        <f t="shared" si="2"/>
        <v>509492.05920000002</v>
      </c>
      <c r="F20" s="1218">
        <f t="shared" si="3"/>
        <v>0</v>
      </c>
      <c r="G20" s="1218">
        <f t="shared" si="4"/>
        <v>0</v>
      </c>
      <c r="H20" s="1219">
        <f t="shared" si="4"/>
        <v>0</v>
      </c>
      <c r="I20" s="1354">
        <v>-853.74</v>
      </c>
      <c r="J20" s="1355">
        <v>0</v>
      </c>
      <c r="K20" s="1355">
        <v>-820.26</v>
      </c>
      <c r="L20" s="1355">
        <v>0</v>
      </c>
      <c r="M20" s="1355">
        <v>0</v>
      </c>
      <c r="N20" s="1356">
        <v>-1674</v>
      </c>
      <c r="O20" s="1348"/>
      <c r="P20" s="1349"/>
      <c r="Q20" s="1349"/>
      <c r="R20" s="1349"/>
      <c r="S20" s="1349"/>
      <c r="T20" s="1350"/>
      <c r="U20" s="1348"/>
      <c r="V20" s="1349"/>
      <c r="W20" s="1349"/>
      <c r="X20" s="1349"/>
      <c r="Y20" s="1349"/>
      <c r="Z20" s="1350"/>
      <c r="AA20" s="1348"/>
      <c r="AB20" s="1349"/>
      <c r="AC20" s="1349"/>
      <c r="AD20" s="1349"/>
      <c r="AE20" s="1349"/>
      <c r="AF20" s="1350"/>
      <c r="AG20" s="1348"/>
      <c r="AH20" s="1349"/>
      <c r="AI20" s="1349"/>
      <c r="AJ20" s="1349"/>
      <c r="AK20" s="1349"/>
      <c r="AL20" s="1350"/>
      <c r="AM20" s="1354">
        <v>419393.78080000001</v>
      </c>
      <c r="AN20" s="1355">
        <v>0</v>
      </c>
      <c r="AO20" s="1355">
        <v>510312.31920000003</v>
      </c>
      <c r="AP20" s="1356">
        <v>929706.1</v>
      </c>
    </row>
    <row r="21" spans="1:42" s="666" customFormat="1" ht="15" customHeight="1">
      <c r="A21" s="1333" t="s">
        <v>45</v>
      </c>
      <c r="B21" s="1334" t="s">
        <v>46</v>
      </c>
      <c r="C21" s="1148" t="s">
        <v>273</v>
      </c>
      <c r="D21" s="1291">
        <f t="shared" si="1"/>
        <v>283922.89069999999</v>
      </c>
      <c r="E21" s="1218">
        <f t="shared" si="2"/>
        <v>328720.4093</v>
      </c>
      <c r="F21" s="1218">
        <f t="shared" si="3"/>
        <v>1630</v>
      </c>
      <c r="G21" s="1218">
        <f t="shared" si="4"/>
        <v>0</v>
      </c>
      <c r="H21" s="1219">
        <f t="shared" si="4"/>
        <v>1630</v>
      </c>
      <c r="I21" s="1354">
        <v>-61.2</v>
      </c>
      <c r="J21" s="1355">
        <v>0</v>
      </c>
      <c r="K21" s="1355">
        <v>-58.8</v>
      </c>
      <c r="L21" s="1355">
        <v>0</v>
      </c>
      <c r="M21" s="1355">
        <v>1630</v>
      </c>
      <c r="N21" s="1356">
        <v>1510</v>
      </c>
      <c r="O21" s="1348"/>
      <c r="P21" s="1349"/>
      <c r="Q21" s="1349"/>
      <c r="R21" s="1349"/>
      <c r="S21" s="1349"/>
      <c r="T21" s="1350"/>
      <c r="U21" s="1348"/>
      <c r="V21" s="1349"/>
      <c r="W21" s="1349"/>
      <c r="X21" s="1349"/>
      <c r="Y21" s="1349"/>
      <c r="Z21" s="1350"/>
      <c r="AA21" s="1348"/>
      <c r="AB21" s="1349"/>
      <c r="AC21" s="1349"/>
      <c r="AD21" s="1349"/>
      <c r="AE21" s="1349"/>
      <c r="AF21" s="1350"/>
      <c r="AG21" s="1348"/>
      <c r="AH21" s="1349"/>
      <c r="AI21" s="1349"/>
      <c r="AJ21" s="1349"/>
      <c r="AK21" s="1349"/>
      <c r="AL21" s="1350"/>
      <c r="AM21" s="1354">
        <v>283984.0907</v>
      </c>
      <c r="AN21" s="1355">
        <v>0</v>
      </c>
      <c r="AO21" s="1355">
        <v>328779.20929999999</v>
      </c>
      <c r="AP21" s="1356">
        <v>612763.30000000005</v>
      </c>
    </row>
    <row r="22" spans="1:42" s="666" customFormat="1" ht="15" customHeight="1">
      <c r="A22" s="1333" t="s">
        <v>47</v>
      </c>
      <c r="B22" s="1334" t="s">
        <v>48</v>
      </c>
      <c r="C22" s="1148" t="s">
        <v>275</v>
      </c>
      <c r="D22" s="1291">
        <f t="shared" si="1"/>
        <v>153169.65090000001</v>
      </c>
      <c r="E22" s="1218">
        <f t="shared" si="2"/>
        <v>179222.82909999997</v>
      </c>
      <c r="F22" s="1218">
        <f t="shared" si="3"/>
        <v>0</v>
      </c>
      <c r="G22" s="1218">
        <f t="shared" si="4"/>
        <v>0</v>
      </c>
      <c r="H22" s="1219">
        <f t="shared" si="4"/>
        <v>0</v>
      </c>
      <c r="I22" s="1354">
        <v>-735.78</v>
      </c>
      <c r="J22" s="1355">
        <v>0</v>
      </c>
      <c r="K22" s="1355">
        <v>-706.92</v>
      </c>
      <c r="L22" s="1355">
        <v>0</v>
      </c>
      <c r="M22" s="1355">
        <v>0</v>
      </c>
      <c r="N22" s="1356">
        <v>-1442.7</v>
      </c>
      <c r="O22" s="1348"/>
      <c r="P22" s="1349"/>
      <c r="Q22" s="1349"/>
      <c r="R22" s="1349"/>
      <c r="S22" s="1349"/>
      <c r="T22" s="1350"/>
      <c r="U22" s="1348"/>
      <c r="V22" s="1349"/>
      <c r="W22" s="1349"/>
      <c r="X22" s="1349"/>
      <c r="Y22" s="1349"/>
      <c r="Z22" s="1350"/>
      <c r="AA22" s="1348"/>
      <c r="AB22" s="1349"/>
      <c r="AC22" s="1349"/>
      <c r="AD22" s="1349"/>
      <c r="AE22" s="1349"/>
      <c r="AF22" s="1350"/>
      <c r="AG22" s="1348"/>
      <c r="AH22" s="1349"/>
      <c r="AI22" s="1349"/>
      <c r="AJ22" s="1349"/>
      <c r="AK22" s="1349"/>
      <c r="AL22" s="1350"/>
      <c r="AM22" s="1354">
        <v>153905.43090000001</v>
      </c>
      <c r="AN22" s="1355">
        <v>0</v>
      </c>
      <c r="AO22" s="1355">
        <v>179929.74909999999</v>
      </c>
      <c r="AP22" s="1356">
        <v>333835.18</v>
      </c>
    </row>
    <row r="23" spans="1:42" s="666" customFormat="1" ht="15" customHeight="1">
      <c r="A23" s="1333" t="s">
        <v>49</v>
      </c>
      <c r="B23" s="1334" t="s">
        <v>276</v>
      </c>
      <c r="C23" s="1148" t="s">
        <v>273</v>
      </c>
      <c r="D23" s="1291">
        <f t="shared" si="1"/>
        <v>34223.880599999997</v>
      </c>
      <c r="E23" s="1218">
        <f t="shared" si="2"/>
        <v>29267.1194</v>
      </c>
      <c r="F23" s="1218">
        <f t="shared" si="3"/>
        <v>0</v>
      </c>
      <c r="G23" s="1218">
        <f t="shared" si="4"/>
        <v>0</v>
      </c>
      <c r="H23" s="1219">
        <f t="shared" si="4"/>
        <v>0</v>
      </c>
      <c r="I23" s="1348"/>
      <c r="J23" s="1349"/>
      <c r="K23" s="1349"/>
      <c r="L23" s="1349"/>
      <c r="M23" s="1349"/>
      <c r="N23" s="1350"/>
      <c r="O23" s="1348"/>
      <c r="P23" s="1349"/>
      <c r="Q23" s="1349"/>
      <c r="R23" s="1349"/>
      <c r="S23" s="1349"/>
      <c r="T23" s="1350"/>
      <c r="U23" s="1348"/>
      <c r="V23" s="1349"/>
      <c r="W23" s="1349"/>
      <c r="X23" s="1349"/>
      <c r="Y23" s="1349"/>
      <c r="Z23" s="1350"/>
      <c r="AA23" s="1348"/>
      <c r="AB23" s="1349"/>
      <c r="AC23" s="1349"/>
      <c r="AD23" s="1349"/>
      <c r="AE23" s="1349"/>
      <c r="AF23" s="1350"/>
      <c r="AG23" s="1348"/>
      <c r="AH23" s="1349"/>
      <c r="AI23" s="1349"/>
      <c r="AJ23" s="1349"/>
      <c r="AK23" s="1349"/>
      <c r="AL23" s="1350"/>
      <c r="AM23" s="1354">
        <v>34223.880599999997</v>
      </c>
      <c r="AN23" s="1355">
        <v>0</v>
      </c>
      <c r="AO23" s="1355">
        <v>29267.1194</v>
      </c>
      <c r="AP23" s="1356">
        <v>63491</v>
      </c>
    </row>
    <row r="24" spans="1:42" s="666" customFormat="1" ht="15" customHeight="1">
      <c r="A24" s="1333" t="s">
        <v>51</v>
      </c>
      <c r="B24" s="1334" t="s">
        <v>52</v>
      </c>
      <c r="C24" s="1148" t="s">
        <v>272</v>
      </c>
      <c r="D24" s="1291">
        <f t="shared" si="1"/>
        <v>348555.55050000001</v>
      </c>
      <c r="E24" s="1218">
        <f t="shared" si="2"/>
        <v>128015.10950000001</v>
      </c>
      <c r="F24" s="1218">
        <f t="shared" si="3"/>
        <v>0</v>
      </c>
      <c r="G24" s="1218">
        <f t="shared" si="4"/>
        <v>0</v>
      </c>
      <c r="H24" s="1219">
        <f t="shared" si="4"/>
        <v>0</v>
      </c>
      <c r="I24" s="1354">
        <v>-373.11</v>
      </c>
      <c r="J24" s="1355">
        <v>0</v>
      </c>
      <c r="K24" s="1355">
        <v>-358.47</v>
      </c>
      <c r="L24" s="1355">
        <v>0</v>
      </c>
      <c r="M24" s="1355">
        <v>0</v>
      </c>
      <c r="N24" s="1356">
        <v>-731.58</v>
      </c>
      <c r="O24" s="1348"/>
      <c r="P24" s="1349"/>
      <c r="Q24" s="1349"/>
      <c r="R24" s="1349"/>
      <c r="S24" s="1349"/>
      <c r="T24" s="1350"/>
      <c r="U24" s="1348"/>
      <c r="V24" s="1349"/>
      <c r="W24" s="1349"/>
      <c r="X24" s="1349"/>
      <c r="Y24" s="1349"/>
      <c r="Z24" s="1350"/>
      <c r="AA24" s="1348"/>
      <c r="AB24" s="1349"/>
      <c r="AC24" s="1349"/>
      <c r="AD24" s="1349"/>
      <c r="AE24" s="1349"/>
      <c r="AF24" s="1350"/>
      <c r="AG24" s="1354">
        <v>223672.53</v>
      </c>
      <c r="AH24" s="1355">
        <v>0</v>
      </c>
      <c r="AI24" s="1355">
        <v>0</v>
      </c>
      <c r="AJ24" s="1355">
        <v>0</v>
      </c>
      <c r="AK24" s="1355">
        <v>0</v>
      </c>
      <c r="AL24" s="1356">
        <v>223672.53</v>
      </c>
      <c r="AM24" s="1354">
        <v>125256.1305</v>
      </c>
      <c r="AN24" s="1355">
        <v>0</v>
      </c>
      <c r="AO24" s="1355">
        <v>128373.57950000001</v>
      </c>
      <c r="AP24" s="1356">
        <v>253629.71</v>
      </c>
    </row>
    <row r="25" spans="1:42" s="666" customFormat="1" ht="15" customHeight="1">
      <c r="A25" s="1333" t="s">
        <v>57</v>
      </c>
      <c r="B25" s="1334" t="s">
        <v>305</v>
      </c>
      <c r="C25" s="1148" t="s">
        <v>273</v>
      </c>
      <c r="D25" s="1291">
        <f t="shared" si="1"/>
        <v>1704098.9104000002</v>
      </c>
      <c r="E25" s="1218">
        <f t="shared" si="2"/>
        <v>1712904.3296000001</v>
      </c>
      <c r="F25" s="1218">
        <f t="shared" si="3"/>
        <v>-2075.2600000000002</v>
      </c>
      <c r="G25" s="1218">
        <f t="shared" si="4"/>
        <v>0</v>
      </c>
      <c r="H25" s="1219">
        <f t="shared" si="4"/>
        <v>-2075.2600000000002</v>
      </c>
      <c r="I25" s="1354">
        <v>-3725.77</v>
      </c>
      <c r="J25" s="1355">
        <v>0</v>
      </c>
      <c r="K25" s="1355">
        <v>-3579.64</v>
      </c>
      <c r="L25" s="1355">
        <v>0</v>
      </c>
      <c r="M25" s="1355">
        <v>-2075.2600000000002</v>
      </c>
      <c r="N25" s="1356">
        <v>-9380.67</v>
      </c>
      <c r="O25" s="1354">
        <v>196.35</v>
      </c>
      <c r="P25" s="1355">
        <v>0</v>
      </c>
      <c r="Q25" s="1355">
        <v>188.65</v>
      </c>
      <c r="R25" s="1355">
        <v>0</v>
      </c>
      <c r="S25" s="1355">
        <v>0</v>
      </c>
      <c r="T25" s="1356">
        <v>385</v>
      </c>
      <c r="U25" s="1348"/>
      <c r="V25" s="1349"/>
      <c r="W25" s="1349"/>
      <c r="X25" s="1349"/>
      <c r="Y25" s="1349"/>
      <c r="Z25" s="1350"/>
      <c r="AA25" s="1348"/>
      <c r="AB25" s="1349"/>
      <c r="AC25" s="1349"/>
      <c r="AD25" s="1349"/>
      <c r="AE25" s="1349"/>
      <c r="AF25" s="1350"/>
      <c r="AG25" s="1348"/>
      <c r="AH25" s="1349"/>
      <c r="AI25" s="1349"/>
      <c r="AJ25" s="1349"/>
      <c r="AK25" s="1349"/>
      <c r="AL25" s="1350"/>
      <c r="AM25" s="1354">
        <v>1707628.3304000001</v>
      </c>
      <c r="AN25" s="1355">
        <v>0</v>
      </c>
      <c r="AO25" s="1355">
        <v>1716295.3196</v>
      </c>
      <c r="AP25" s="1356">
        <v>3423923.65</v>
      </c>
    </row>
    <row r="26" spans="1:42" s="666" customFormat="1" ht="15" customHeight="1">
      <c r="A26" s="1333" t="s">
        <v>59</v>
      </c>
      <c r="B26" s="1334" t="s">
        <v>60</v>
      </c>
      <c r="C26" s="1148" t="s">
        <v>274</v>
      </c>
      <c r="D26" s="1291">
        <f t="shared" si="1"/>
        <v>32684.084999999999</v>
      </c>
      <c r="E26" s="1218">
        <f t="shared" si="2"/>
        <v>40153.915000000001</v>
      </c>
      <c r="F26" s="1218">
        <f t="shared" si="3"/>
        <v>-642.34</v>
      </c>
      <c r="G26" s="1218">
        <f t="shared" si="4"/>
        <v>0</v>
      </c>
      <c r="H26" s="1219">
        <f t="shared" si="4"/>
        <v>-642.34</v>
      </c>
      <c r="I26" s="1348"/>
      <c r="J26" s="1349"/>
      <c r="K26" s="1349"/>
      <c r="L26" s="1349"/>
      <c r="M26" s="1349"/>
      <c r="N26" s="1350"/>
      <c r="O26" s="1348"/>
      <c r="P26" s="1349"/>
      <c r="Q26" s="1349"/>
      <c r="R26" s="1349"/>
      <c r="S26" s="1349"/>
      <c r="T26" s="1350"/>
      <c r="U26" s="1354">
        <v>0</v>
      </c>
      <c r="V26" s="1355">
        <v>0</v>
      </c>
      <c r="W26" s="1355">
        <v>0</v>
      </c>
      <c r="X26" s="1355">
        <v>0</v>
      </c>
      <c r="Y26" s="1355">
        <v>-642.34</v>
      </c>
      <c r="Z26" s="1356">
        <v>-642.34</v>
      </c>
      <c r="AA26" s="1348"/>
      <c r="AB26" s="1349"/>
      <c r="AC26" s="1349"/>
      <c r="AD26" s="1349"/>
      <c r="AE26" s="1349"/>
      <c r="AF26" s="1350"/>
      <c r="AG26" s="1348"/>
      <c r="AH26" s="1349"/>
      <c r="AI26" s="1349"/>
      <c r="AJ26" s="1349"/>
      <c r="AK26" s="1349"/>
      <c r="AL26" s="1350"/>
      <c r="AM26" s="1354">
        <v>32684.084999999999</v>
      </c>
      <c r="AN26" s="1355">
        <v>0</v>
      </c>
      <c r="AO26" s="1355">
        <v>40153.915000000001</v>
      </c>
      <c r="AP26" s="1356">
        <v>72838</v>
      </c>
    </row>
    <row r="27" spans="1:42" s="666" customFormat="1" ht="15" customHeight="1">
      <c r="A27" s="1333" t="s">
        <v>61</v>
      </c>
      <c r="B27" s="1334" t="s">
        <v>62</v>
      </c>
      <c r="C27" s="1148" t="s">
        <v>272</v>
      </c>
      <c r="D27" s="1291">
        <f t="shared" si="1"/>
        <v>16877.774300000001</v>
      </c>
      <c r="E27" s="1218">
        <f t="shared" si="2"/>
        <v>17833.525699999998</v>
      </c>
      <c r="F27" s="1218">
        <f t="shared" si="3"/>
        <v>0</v>
      </c>
      <c r="G27" s="1218">
        <f t="shared" si="4"/>
        <v>0</v>
      </c>
      <c r="H27" s="1219">
        <f t="shared" si="4"/>
        <v>0</v>
      </c>
      <c r="I27" s="1348"/>
      <c r="J27" s="1349"/>
      <c r="K27" s="1349"/>
      <c r="L27" s="1349"/>
      <c r="M27" s="1349"/>
      <c r="N27" s="1350"/>
      <c r="O27" s="1348"/>
      <c r="P27" s="1349"/>
      <c r="Q27" s="1349"/>
      <c r="R27" s="1349"/>
      <c r="S27" s="1349"/>
      <c r="T27" s="1350"/>
      <c r="U27" s="1348"/>
      <c r="V27" s="1349"/>
      <c r="W27" s="1349"/>
      <c r="X27" s="1349"/>
      <c r="Y27" s="1349"/>
      <c r="Z27" s="1350"/>
      <c r="AA27" s="1348"/>
      <c r="AB27" s="1349"/>
      <c r="AC27" s="1349"/>
      <c r="AD27" s="1349"/>
      <c r="AE27" s="1349"/>
      <c r="AF27" s="1350"/>
      <c r="AG27" s="1348"/>
      <c r="AH27" s="1349"/>
      <c r="AI27" s="1349"/>
      <c r="AJ27" s="1349"/>
      <c r="AK27" s="1349"/>
      <c r="AL27" s="1350"/>
      <c r="AM27" s="1354">
        <v>16877.774300000001</v>
      </c>
      <c r="AN27" s="1355">
        <v>0</v>
      </c>
      <c r="AO27" s="1355">
        <v>17833.525699999998</v>
      </c>
      <c r="AP27" s="1356">
        <v>34711.300000000003</v>
      </c>
    </row>
    <row r="28" spans="1:42" s="666" customFormat="1" ht="15" customHeight="1">
      <c r="A28" s="1333" t="s">
        <v>63</v>
      </c>
      <c r="B28" s="1334" t="s">
        <v>64</v>
      </c>
      <c r="C28" s="1148" t="s">
        <v>274</v>
      </c>
      <c r="D28" s="1291">
        <f t="shared" si="1"/>
        <v>315008.66269999999</v>
      </c>
      <c r="E28" s="1218">
        <f t="shared" si="2"/>
        <v>229643.1973</v>
      </c>
      <c r="F28" s="1218">
        <f t="shared" si="3"/>
        <v>13.65</v>
      </c>
      <c r="G28" s="1218">
        <f t="shared" si="4"/>
        <v>0</v>
      </c>
      <c r="H28" s="1219">
        <f t="shared" si="4"/>
        <v>13.65</v>
      </c>
      <c r="I28" s="1354">
        <v>-762.45</v>
      </c>
      <c r="J28" s="1355">
        <v>0</v>
      </c>
      <c r="K28" s="1355">
        <v>-732.55</v>
      </c>
      <c r="L28" s="1355">
        <v>0</v>
      </c>
      <c r="M28" s="1355">
        <v>0</v>
      </c>
      <c r="N28" s="1356">
        <v>-1495</v>
      </c>
      <c r="O28" s="1348"/>
      <c r="P28" s="1349"/>
      <c r="Q28" s="1349"/>
      <c r="R28" s="1349"/>
      <c r="S28" s="1349"/>
      <c r="T28" s="1350"/>
      <c r="U28" s="1354">
        <v>0</v>
      </c>
      <c r="V28" s="1355">
        <v>0</v>
      </c>
      <c r="W28" s="1355">
        <v>-20</v>
      </c>
      <c r="X28" s="1355">
        <v>0</v>
      </c>
      <c r="Y28" s="1355">
        <v>13.65</v>
      </c>
      <c r="Z28" s="1356">
        <v>-6.35</v>
      </c>
      <c r="AA28" s="1348"/>
      <c r="AB28" s="1349"/>
      <c r="AC28" s="1349"/>
      <c r="AD28" s="1349"/>
      <c r="AE28" s="1349"/>
      <c r="AF28" s="1350"/>
      <c r="AG28" s="1354">
        <v>89538.34</v>
      </c>
      <c r="AH28" s="1355">
        <v>0</v>
      </c>
      <c r="AI28" s="1355">
        <v>0</v>
      </c>
      <c r="AJ28" s="1355">
        <v>0</v>
      </c>
      <c r="AK28" s="1355">
        <v>0</v>
      </c>
      <c r="AL28" s="1356">
        <v>89538.34</v>
      </c>
      <c r="AM28" s="1354">
        <v>226232.7727</v>
      </c>
      <c r="AN28" s="1355">
        <v>0</v>
      </c>
      <c r="AO28" s="1355">
        <v>230395.74729999999</v>
      </c>
      <c r="AP28" s="1356">
        <v>456628.52</v>
      </c>
    </row>
    <row r="29" spans="1:42" s="666" customFormat="1" ht="15" customHeight="1">
      <c r="A29" s="1333" t="s">
        <v>65</v>
      </c>
      <c r="B29" s="1334" t="s">
        <v>66</v>
      </c>
      <c r="C29" s="1148" t="s">
        <v>273</v>
      </c>
      <c r="D29" s="1291">
        <f t="shared" si="1"/>
        <v>109373.1069</v>
      </c>
      <c r="E29" s="1218">
        <f t="shared" si="2"/>
        <v>104127.323</v>
      </c>
      <c r="F29" s="1218">
        <f t="shared" si="3"/>
        <v>0</v>
      </c>
      <c r="G29" s="1218">
        <f t="shared" si="4"/>
        <v>0</v>
      </c>
      <c r="H29" s="1219">
        <f t="shared" si="4"/>
        <v>0</v>
      </c>
      <c r="I29" s="1354">
        <v>-1515.88</v>
      </c>
      <c r="J29" s="1355">
        <v>0</v>
      </c>
      <c r="K29" s="1355">
        <v>-1456.44</v>
      </c>
      <c r="L29" s="1355">
        <v>0</v>
      </c>
      <c r="M29" s="1355">
        <v>0</v>
      </c>
      <c r="N29" s="1356">
        <v>-2972.32</v>
      </c>
      <c r="O29" s="1348"/>
      <c r="P29" s="1349"/>
      <c r="Q29" s="1349"/>
      <c r="R29" s="1349"/>
      <c r="S29" s="1349"/>
      <c r="T29" s="1350"/>
      <c r="U29" s="1348"/>
      <c r="V29" s="1349"/>
      <c r="W29" s="1349"/>
      <c r="X29" s="1349"/>
      <c r="Y29" s="1349"/>
      <c r="Z29" s="1350"/>
      <c r="AA29" s="1348"/>
      <c r="AB29" s="1349"/>
      <c r="AC29" s="1349"/>
      <c r="AD29" s="1349"/>
      <c r="AE29" s="1349"/>
      <c r="AF29" s="1350"/>
      <c r="AG29" s="1348"/>
      <c r="AH29" s="1349"/>
      <c r="AI29" s="1349"/>
      <c r="AJ29" s="1349"/>
      <c r="AK29" s="1349"/>
      <c r="AL29" s="1350"/>
      <c r="AM29" s="1354">
        <v>110888.9869</v>
      </c>
      <c r="AN29" s="1355">
        <v>0</v>
      </c>
      <c r="AO29" s="1355">
        <v>105583.76300000001</v>
      </c>
      <c r="AP29" s="1356">
        <v>216472.75</v>
      </c>
    </row>
    <row r="30" spans="1:42" s="666" customFormat="1" ht="15" customHeight="1">
      <c r="A30" s="1333" t="s">
        <v>69</v>
      </c>
      <c r="B30" s="1334" t="s">
        <v>70</v>
      </c>
      <c r="C30" s="1148" t="s">
        <v>275</v>
      </c>
      <c r="D30" s="1291">
        <f t="shared" si="1"/>
        <v>107987.9942</v>
      </c>
      <c r="E30" s="1218">
        <f t="shared" si="2"/>
        <v>127081.5858</v>
      </c>
      <c r="F30" s="1218">
        <f t="shared" si="3"/>
        <v>0</v>
      </c>
      <c r="G30" s="1218">
        <f t="shared" si="4"/>
        <v>0</v>
      </c>
      <c r="H30" s="1219">
        <f t="shared" si="4"/>
        <v>0</v>
      </c>
      <c r="I30" s="1354">
        <v>-683.53</v>
      </c>
      <c r="J30" s="1355">
        <v>0</v>
      </c>
      <c r="K30" s="1355">
        <v>-656.74</v>
      </c>
      <c r="L30" s="1355">
        <v>0</v>
      </c>
      <c r="M30" s="1355">
        <v>0</v>
      </c>
      <c r="N30" s="1356">
        <v>-1340.27</v>
      </c>
      <c r="O30" s="1348"/>
      <c r="P30" s="1349"/>
      <c r="Q30" s="1349"/>
      <c r="R30" s="1349"/>
      <c r="S30" s="1349"/>
      <c r="T30" s="1350"/>
      <c r="U30" s="1348"/>
      <c r="V30" s="1349"/>
      <c r="W30" s="1349"/>
      <c r="X30" s="1349"/>
      <c r="Y30" s="1349"/>
      <c r="Z30" s="1350"/>
      <c r="AA30" s="1348"/>
      <c r="AB30" s="1349"/>
      <c r="AC30" s="1349"/>
      <c r="AD30" s="1349"/>
      <c r="AE30" s="1349"/>
      <c r="AF30" s="1350"/>
      <c r="AG30" s="1348"/>
      <c r="AH30" s="1349"/>
      <c r="AI30" s="1349"/>
      <c r="AJ30" s="1349"/>
      <c r="AK30" s="1349"/>
      <c r="AL30" s="1350"/>
      <c r="AM30" s="1354">
        <v>108671.5242</v>
      </c>
      <c r="AN30" s="1355">
        <v>0</v>
      </c>
      <c r="AO30" s="1355">
        <v>127738.32580000001</v>
      </c>
      <c r="AP30" s="1356">
        <v>236409.85</v>
      </c>
    </row>
    <row r="31" spans="1:42" s="666" customFormat="1" ht="15" customHeight="1">
      <c r="A31" s="1333" t="s">
        <v>71</v>
      </c>
      <c r="B31" s="1334" t="s">
        <v>72</v>
      </c>
      <c r="C31" s="1148" t="s">
        <v>271</v>
      </c>
      <c r="D31" s="1291">
        <f t="shared" si="1"/>
        <v>190291.4982</v>
      </c>
      <c r="E31" s="1218">
        <f t="shared" si="2"/>
        <v>176501.84179999999</v>
      </c>
      <c r="F31" s="1218">
        <f t="shared" si="3"/>
        <v>0</v>
      </c>
      <c r="G31" s="1218">
        <f t="shared" si="4"/>
        <v>0</v>
      </c>
      <c r="H31" s="1219">
        <f t="shared" si="4"/>
        <v>0</v>
      </c>
      <c r="I31" s="1354">
        <v>-5.0999999999999996</v>
      </c>
      <c r="J31" s="1355">
        <v>0</v>
      </c>
      <c r="K31" s="1355">
        <v>-4.9000000000000004</v>
      </c>
      <c r="L31" s="1355">
        <v>0</v>
      </c>
      <c r="M31" s="1355">
        <v>0</v>
      </c>
      <c r="N31" s="1356">
        <v>-10</v>
      </c>
      <c r="O31" s="1348"/>
      <c r="P31" s="1349"/>
      <c r="Q31" s="1349"/>
      <c r="R31" s="1349"/>
      <c r="S31" s="1349"/>
      <c r="T31" s="1350"/>
      <c r="U31" s="1348"/>
      <c r="V31" s="1349"/>
      <c r="W31" s="1349"/>
      <c r="X31" s="1349"/>
      <c r="Y31" s="1349"/>
      <c r="Z31" s="1350"/>
      <c r="AA31" s="1348"/>
      <c r="AB31" s="1349"/>
      <c r="AC31" s="1349"/>
      <c r="AD31" s="1349"/>
      <c r="AE31" s="1349"/>
      <c r="AF31" s="1350"/>
      <c r="AG31" s="1348"/>
      <c r="AH31" s="1349"/>
      <c r="AI31" s="1349"/>
      <c r="AJ31" s="1349"/>
      <c r="AK31" s="1349"/>
      <c r="AL31" s="1350"/>
      <c r="AM31" s="1354">
        <v>190296.59820000001</v>
      </c>
      <c r="AN31" s="1355">
        <v>0</v>
      </c>
      <c r="AO31" s="1355">
        <v>176506.74179999999</v>
      </c>
      <c r="AP31" s="1356">
        <v>366803.34</v>
      </c>
    </row>
    <row r="32" spans="1:42" s="666" customFormat="1" ht="15" customHeight="1">
      <c r="A32" s="1333" t="s">
        <v>73</v>
      </c>
      <c r="B32" s="1334" t="s">
        <v>74</v>
      </c>
      <c r="C32" s="1148" t="s">
        <v>273</v>
      </c>
      <c r="D32" s="1291">
        <f t="shared" si="1"/>
        <v>114409.73880000001</v>
      </c>
      <c r="E32" s="1218">
        <f t="shared" si="2"/>
        <v>108416.26119999999</v>
      </c>
      <c r="F32" s="1218">
        <f t="shared" si="3"/>
        <v>0</v>
      </c>
      <c r="G32" s="1218">
        <f t="shared" si="4"/>
        <v>0</v>
      </c>
      <c r="H32" s="1219">
        <f t="shared" si="4"/>
        <v>0</v>
      </c>
      <c r="I32" s="1348"/>
      <c r="J32" s="1349"/>
      <c r="K32" s="1349"/>
      <c r="L32" s="1349"/>
      <c r="M32" s="1349"/>
      <c r="N32" s="1350"/>
      <c r="O32" s="1348"/>
      <c r="P32" s="1349"/>
      <c r="Q32" s="1349"/>
      <c r="R32" s="1349"/>
      <c r="S32" s="1349"/>
      <c r="T32" s="1350"/>
      <c r="U32" s="1348"/>
      <c r="V32" s="1349"/>
      <c r="W32" s="1349"/>
      <c r="X32" s="1349"/>
      <c r="Y32" s="1349"/>
      <c r="Z32" s="1350"/>
      <c r="AA32" s="1348"/>
      <c r="AB32" s="1349"/>
      <c r="AC32" s="1349"/>
      <c r="AD32" s="1349"/>
      <c r="AE32" s="1349"/>
      <c r="AF32" s="1350"/>
      <c r="AG32" s="1348"/>
      <c r="AH32" s="1349"/>
      <c r="AI32" s="1349"/>
      <c r="AJ32" s="1349"/>
      <c r="AK32" s="1349"/>
      <c r="AL32" s="1350"/>
      <c r="AM32" s="1354">
        <v>114409.73880000001</v>
      </c>
      <c r="AN32" s="1355">
        <v>0</v>
      </c>
      <c r="AO32" s="1355">
        <v>108416.26119999999</v>
      </c>
      <c r="AP32" s="1356">
        <v>222826</v>
      </c>
    </row>
    <row r="33" spans="1:42" s="666" customFormat="1" ht="15" customHeight="1">
      <c r="A33" s="1333" t="s">
        <v>75</v>
      </c>
      <c r="B33" s="1334" t="s">
        <v>881</v>
      </c>
      <c r="C33" s="1148" t="s">
        <v>274</v>
      </c>
      <c r="D33" s="1291">
        <f t="shared" si="1"/>
        <v>3217615.1477999999</v>
      </c>
      <c r="E33" s="1218">
        <f t="shared" si="2"/>
        <v>3155785.5422</v>
      </c>
      <c r="F33" s="1218">
        <f t="shared" si="3"/>
        <v>38.92</v>
      </c>
      <c r="G33" s="1218">
        <f t="shared" si="4"/>
        <v>0</v>
      </c>
      <c r="H33" s="1219">
        <f t="shared" si="4"/>
        <v>38.92</v>
      </c>
      <c r="I33" s="1354">
        <v>-16188.46</v>
      </c>
      <c r="J33" s="1355">
        <v>0</v>
      </c>
      <c r="K33" s="1355">
        <v>-15553.63</v>
      </c>
      <c r="L33" s="1355">
        <v>0</v>
      </c>
      <c r="M33" s="1355">
        <v>1</v>
      </c>
      <c r="N33" s="1356">
        <v>-31741.09</v>
      </c>
      <c r="O33" s="1348"/>
      <c r="P33" s="1349"/>
      <c r="Q33" s="1349"/>
      <c r="R33" s="1349"/>
      <c r="S33" s="1349"/>
      <c r="T33" s="1350"/>
      <c r="U33" s="1354">
        <v>0</v>
      </c>
      <c r="V33" s="1355">
        <v>0</v>
      </c>
      <c r="W33" s="1355">
        <v>-3903</v>
      </c>
      <c r="X33" s="1355">
        <v>0</v>
      </c>
      <c r="Y33" s="1355">
        <v>0</v>
      </c>
      <c r="Z33" s="1356">
        <v>-3903</v>
      </c>
      <c r="AA33" s="1348"/>
      <c r="AB33" s="1349"/>
      <c r="AC33" s="1349"/>
      <c r="AD33" s="1349"/>
      <c r="AE33" s="1349"/>
      <c r="AF33" s="1350"/>
      <c r="AG33" s="1354">
        <v>238766.03</v>
      </c>
      <c r="AH33" s="1355">
        <v>0</v>
      </c>
      <c r="AI33" s="1355">
        <v>0</v>
      </c>
      <c r="AJ33" s="1355">
        <v>0</v>
      </c>
      <c r="AK33" s="1355">
        <v>37.92</v>
      </c>
      <c r="AL33" s="1356">
        <v>238803.95</v>
      </c>
      <c r="AM33" s="1354">
        <v>2995037.5778000001</v>
      </c>
      <c r="AN33" s="1355">
        <v>0</v>
      </c>
      <c r="AO33" s="1355">
        <v>3175242.1721999999</v>
      </c>
      <c r="AP33" s="1356">
        <v>6170279.75</v>
      </c>
    </row>
    <row r="34" spans="1:42" s="666" customFormat="1" ht="15" customHeight="1">
      <c r="A34" s="1333" t="s">
        <v>77</v>
      </c>
      <c r="B34" s="1334" t="s">
        <v>78</v>
      </c>
      <c r="C34" s="1148" t="s">
        <v>274</v>
      </c>
      <c r="D34" s="1291">
        <f t="shared" si="1"/>
        <v>156333.76559999998</v>
      </c>
      <c r="E34" s="1218">
        <f t="shared" si="2"/>
        <v>170835.02439999999</v>
      </c>
      <c r="F34" s="1218">
        <f t="shared" si="3"/>
        <v>0.01</v>
      </c>
      <c r="G34" s="1218">
        <f t="shared" si="4"/>
        <v>0</v>
      </c>
      <c r="H34" s="1219">
        <f t="shared" si="4"/>
        <v>0.01</v>
      </c>
      <c r="I34" s="1354">
        <v>-13689.75</v>
      </c>
      <c r="J34" s="1355">
        <v>0</v>
      </c>
      <c r="K34" s="1355">
        <v>-13152.88</v>
      </c>
      <c r="L34" s="1355">
        <v>0</v>
      </c>
      <c r="M34" s="1355">
        <v>0.01</v>
      </c>
      <c r="N34" s="1356">
        <v>-26842.62</v>
      </c>
      <c r="O34" s="1348"/>
      <c r="P34" s="1349"/>
      <c r="Q34" s="1349"/>
      <c r="R34" s="1349"/>
      <c r="S34" s="1349"/>
      <c r="T34" s="1350"/>
      <c r="U34" s="1348"/>
      <c r="V34" s="1349"/>
      <c r="W34" s="1349"/>
      <c r="X34" s="1349"/>
      <c r="Y34" s="1349"/>
      <c r="Z34" s="1350"/>
      <c r="AA34" s="1348"/>
      <c r="AB34" s="1349"/>
      <c r="AC34" s="1349"/>
      <c r="AD34" s="1349"/>
      <c r="AE34" s="1349"/>
      <c r="AF34" s="1350"/>
      <c r="AG34" s="1354">
        <v>21132.59</v>
      </c>
      <c r="AH34" s="1355">
        <v>0</v>
      </c>
      <c r="AI34" s="1355">
        <v>14634.4</v>
      </c>
      <c r="AJ34" s="1355">
        <v>0</v>
      </c>
      <c r="AK34" s="1355">
        <v>0</v>
      </c>
      <c r="AL34" s="1356">
        <v>35766.99</v>
      </c>
      <c r="AM34" s="1354">
        <v>148890.92559999999</v>
      </c>
      <c r="AN34" s="1355">
        <v>0</v>
      </c>
      <c r="AO34" s="1355">
        <v>169353.50440000001</v>
      </c>
      <c r="AP34" s="1356">
        <v>318244.43</v>
      </c>
    </row>
    <row r="35" spans="1:42" s="666" customFormat="1" ht="15" customHeight="1">
      <c r="A35" s="1333" t="s">
        <v>79</v>
      </c>
      <c r="B35" s="1334" t="s">
        <v>80</v>
      </c>
      <c r="C35" s="1148" t="s">
        <v>275</v>
      </c>
      <c r="D35" s="1291">
        <f t="shared" si="1"/>
        <v>81784.4228</v>
      </c>
      <c r="E35" s="1218">
        <f t="shared" si="2"/>
        <v>88299.157200000001</v>
      </c>
      <c r="F35" s="1218">
        <f t="shared" si="3"/>
        <v>0</v>
      </c>
      <c r="G35" s="1218">
        <f t="shared" si="4"/>
        <v>0</v>
      </c>
      <c r="H35" s="1219">
        <f t="shared" si="4"/>
        <v>0</v>
      </c>
      <c r="I35" s="1348"/>
      <c r="J35" s="1349"/>
      <c r="K35" s="1349"/>
      <c r="L35" s="1349"/>
      <c r="M35" s="1349"/>
      <c r="N35" s="1350"/>
      <c r="O35" s="1348"/>
      <c r="P35" s="1349"/>
      <c r="Q35" s="1349"/>
      <c r="R35" s="1349"/>
      <c r="S35" s="1349"/>
      <c r="T35" s="1350"/>
      <c r="U35" s="1354">
        <v>0</v>
      </c>
      <c r="V35" s="1355">
        <v>0</v>
      </c>
      <c r="W35" s="1355">
        <v>-73</v>
      </c>
      <c r="X35" s="1355">
        <v>0</v>
      </c>
      <c r="Y35" s="1355">
        <v>0</v>
      </c>
      <c r="Z35" s="1356">
        <v>-73</v>
      </c>
      <c r="AA35" s="1348"/>
      <c r="AB35" s="1349"/>
      <c r="AC35" s="1349"/>
      <c r="AD35" s="1349"/>
      <c r="AE35" s="1349"/>
      <c r="AF35" s="1350"/>
      <c r="AG35" s="1348"/>
      <c r="AH35" s="1349"/>
      <c r="AI35" s="1349"/>
      <c r="AJ35" s="1349"/>
      <c r="AK35" s="1349"/>
      <c r="AL35" s="1350"/>
      <c r="AM35" s="1354">
        <v>81784.4228</v>
      </c>
      <c r="AN35" s="1355">
        <v>0</v>
      </c>
      <c r="AO35" s="1355">
        <v>88372.157200000001</v>
      </c>
      <c r="AP35" s="1356">
        <v>170156.58</v>
      </c>
    </row>
    <row r="36" spans="1:42" s="666" customFormat="1" ht="15" customHeight="1">
      <c r="A36" s="1333" t="s">
        <v>81</v>
      </c>
      <c r="B36" s="1334" t="s">
        <v>82</v>
      </c>
      <c r="C36" s="1148" t="s">
        <v>273</v>
      </c>
      <c r="D36" s="1291">
        <f t="shared" si="1"/>
        <v>88973.006500000003</v>
      </c>
      <c r="E36" s="1218">
        <f t="shared" si="2"/>
        <v>82618.473499999993</v>
      </c>
      <c r="F36" s="1218">
        <f t="shared" si="3"/>
        <v>0</v>
      </c>
      <c r="G36" s="1218">
        <f t="shared" si="4"/>
        <v>0</v>
      </c>
      <c r="H36" s="1219">
        <f t="shared" si="4"/>
        <v>0</v>
      </c>
      <c r="I36" s="1354">
        <v>-113.58</v>
      </c>
      <c r="J36" s="1355">
        <v>0</v>
      </c>
      <c r="K36" s="1355">
        <v>-109.13</v>
      </c>
      <c r="L36" s="1355">
        <v>0</v>
      </c>
      <c r="M36" s="1355">
        <v>0</v>
      </c>
      <c r="N36" s="1356">
        <v>-222.71</v>
      </c>
      <c r="O36" s="1348"/>
      <c r="P36" s="1349"/>
      <c r="Q36" s="1349"/>
      <c r="R36" s="1349"/>
      <c r="S36" s="1349"/>
      <c r="T36" s="1350"/>
      <c r="U36" s="1348"/>
      <c r="V36" s="1349"/>
      <c r="W36" s="1349"/>
      <c r="X36" s="1349"/>
      <c r="Y36" s="1349"/>
      <c r="Z36" s="1350"/>
      <c r="AA36" s="1348"/>
      <c r="AB36" s="1349"/>
      <c r="AC36" s="1349"/>
      <c r="AD36" s="1349"/>
      <c r="AE36" s="1349"/>
      <c r="AF36" s="1350"/>
      <c r="AG36" s="1348"/>
      <c r="AH36" s="1349"/>
      <c r="AI36" s="1349"/>
      <c r="AJ36" s="1349"/>
      <c r="AK36" s="1349"/>
      <c r="AL36" s="1350"/>
      <c r="AM36" s="1354">
        <v>89086.586500000005</v>
      </c>
      <c r="AN36" s="1355">
        <v>0</v>
      </c>
      <c r="AO36" s="1355">
        <v>82727.603499999997</v>
      </c>
      <c r="AP36" s="1356">
        <v>171814.19</v>
      </c>
    </row>
    <row r="37" spans="1:42" s="666" customFormat="1" ht="15" customHeight="1">
      <c r="A37" s="1333" t="s">
        <v>85</v>
      </c>
      <c r="B37" s="1334" t="s">
        <v>330</v>
      </c>
      <c r="C37" s="1148" t="s">
        <v>272</v>
      </c>
      <c r="D37" s="1291">
        <f t="shared" si="1"/>
        <v>342143.5183</v>
      </c>
      <c r="E37" s="1218">
        <f t="shared" si="2"/>
        <v>378172.99170000001</v>
      </c>
      <c r="F37" s="1218">
        <f t="shared" si="3"/>
        <v>0</v>
      </c>
      <c r="G37" s="1218">
        <f t="shared" si="4"/>
        <v>0</v>
      </c>
      <c r="H37" s="1219">
        <f t="shared" si="4"/>
        <v>0</v>
      </c>
      <c r="I37" s="1354">
        <v>-43.86</v>
      </c>
      <c r="J37" s="1355">
        <v>0</v>
      </c>
      <c r="K37" s="1355">
        <v>-42.14</v>
      </c>
      <c r="L37" s="1355">
        <v>0</v>
      </c>
      <c r="M37" s="1355">
        <v>0</v>
      </c>
      <c r="N37" s="1356">
        <v>-86</v>
      </c>
      <c r="O37" s="1348"/>
      <c r="P37" s="1349"/>
      <c r="Q37" s="1349"/>
      <c r="R37" s="1349"/>
      <c r="S37" s="1349"/>
      <c r="T37" s="1350"/>
      <c r="U37" s="1348"/>
      <c r="V37" s="1349"/>
      <c r="W37" s="1349"/>
      <c r="X37" s="1349"/>
      <c r="Y37" s="1349"/>
      <c r="Z37" s="1350"/>
      <c r="AA37" s="1348"/>
      <c r="AB37" s="1349"/>
      <c r="AC37" s="1349"/>
      <c r="AD37" s="1349"/>
      <c r="AE37" s="1349"/>
      <c r="AF37" s="1350"/>
      <c r="AG37" s="1348"/>
      <c r="AH37" s="1349"/>
      <c r="AI37" s="1349"/>
      <c r="AJ37" s="1349"/>
      <c r="AK37" s="1349"/>
      <c r="AL37" s="1350"/>
      <c r="AM37" s="1354">
        <v>342187.37829999998</v>
      </c>
      <c r="AN37" s="1355">
        <v>0</v>
      </c>
      <c r="AO37" s="1355">
        <v>378215.13170000003</v>
      </c>
      <c r="AP37" s="1356">
        <v>720402.51</v>
      </c>
    </row>
    <row r="38" spans="1:42" s="666" customFormat="1" ht="15" customHeight="1">
      <c r="A38" s="1333" t="s">
        <v>87</v>
      </c>
      <c r="B38" s="1334" t="s">
        <v>88</v>
      </c>
      <c r="C38" s="1148" t="s">
        <v>274</v>
      </c>
      <c r="D38" s="1291">
        <f t="shared" si="1"/>
        <v>451508.70539999998</v>
      </c>
      <c r="E38" s="1218">
        <f t="shared" si="2"/>
        <v>276650.99459999998</v>
      </c>
      <c r="F38" s="1218">
        <f t="shared" si="3"/>
        <v>0</v>
      </c>
      <c r="G38" s="1218">
        <f t="shared" si="4"/>
        <v>0</v>
      </c>
      <c r="H38" s="1219">
        <f t="shared" si="4"/>
        <v>0</v>
      </c>
      <c r="I38" s="1348"/>
      <c r="J38" s="1349"/>
      <c r="K38" s="1349"/>
      <c r="L38" s="1349"/>
      <c r="M38" s="1349"/>
      <c r="N38" s="1350"/>
      <c r="O38" s="1348"/>
      <c r="P38" s="1349"/>
      <c r="Q38" s="1349"/>
      <c r="R38" s="1349"/>
      <c r="S38" s="1349"/>
      <c r="T38" s="1350"/>
      <c r="U38" s="1348"/>
      <c r="V38" s="1349"/>
      <c r="W38" s="1349"/>
      <c r="X38" s="1349"/>
      <c r="Y38" s="1349"/>
      <c r="Z38" s="1350"/>
      <c r="AA38" s="1348"/>
      <c r="AB38" s="1349"/>
      <c r="AC38" s="1349"/>
      <c r="AD38" s="1349"/>
      <c r="AE38" s="1349"/>
      <c r="AF38" s="1350"/>
      <c r="AG38" s="1354">
        <v>196278.58</v>
      </c>
      <c r="AH38" s="1355">
        <v>0</v>
      </c>
      <c r="AI38" s="1355">
        <v>0</v>
      </c>
      <c r="AJ38" s="1355">
        <v>0</v>
      </c>
      <c r="AK38" s="1355">
        <v>0</v>
      </c>
      <c r="AL38" s="1356">
        <v>196278.58</v>
      </c>
      <c r="AM38" s="1354">
        <v>255230.12539999999</v>
      </c>
      <c r="AN38" s="1355">
        <v>0</v>
      </c>
      <c r="AO38" s="1355">
        <v>276650.99459999998</v>
      </c>
      <c r="AP38" s="1356">
        <v>531881.12</v>
      </c>
    </row>
    <row r="39" spans="1:42" s="666" customFormat="1" ht="15" customHeight="1">
      <c r="A39" s="1333" t="s">
        <v>93</v>
      </c>
      <c r="B39" s="1334" t="s">
        <v>94</v>
      </c>
      <c r="C39" s="1148" t="s">
        <v>275</v>
      </c>
      <c r="D39" s="1291">
        <f t="shared" si="1"/>
        <v>87540.498399999997</v>
      </c>
      <c r="E39" s="1218">
        <f t="shared" si="2"/>
        <v>85087.7016</v>
      </c>
      <c r="F39" s="1218">
        <f t="shared" si="3"/>
        <v>0</v>
      </c>
      <c r="G39" s="1218">
        <f t="shared" si="4"/>
        <v>0</v>
      </c>
      <c r="H39" s="1219">
        <f t="shared" si="4"/>
        <v>0</v>
      </c>
      <c r="I39" s="1354">
        <v>-149.94</v>
      </c>
      <c r="J39" s="1355">
        <v>0</v>
      </c>
      <c r="K39" s="1355">
        <v>-144.06</v>
      </c>
      <c r="L39" s="1355">
        <v>0</v>
      </c>
      <c r="M39" s="1355">
        <v>0</v>
      </c>
      <c r="N39" s="1356">
        <v>-294</v>
      </c>
      <c r="O39" s="1348"/>
      <c r="P39" s="1349"/>
      <c r="Q39" s="1349"/>
      <c r="R39" s="1349"/>
      <c r="S39" s="1349"/>
      <c r="T39" s="1350"/>
      <c r="U39" s="1348"/>
      <c r="V39" s="1349"/>
      <c r="W39" s="1349"/>
      <c r="X39" s="1349"/>
      <c r="Y39" s="1349"/>
      <c r="Z39" s="1350"/>
      <c r="AA39" s="1348"/>
      <c r="AB39" s="1349"/>
      <c r="AC39" s="1349"/>
      <c r="AD39" s="1349"/>
      <c r="AE39" s="1349"/>
      <c r="AF39" s="1350"/>
      <c r="AG39" s="1348"/>
      <c r="AH39" s="1349"/>
      <c r="AI39" s="1349"/>
      <c r="AJ39" s="1349"/>
      <c r="AK39" s="1349"/>
      <c r="AL39" s="1350"/>
      <c r="AM39" s="1354">
        <v>87690.438399999999</v>
      </c>
      <c r="AN39" s="1355">
        <v>0</v>
      </c>
      <c r="AO39" s="1355">
        <v>85231.761599999998</v>
      </c>
      <c r="AP39" s="1356">
        <v>172922.2</v>
      </c>
    </row>
    <row r="40" spans="1:42" s="666" customFormat="1" ht="15" customHeight="1">
      <c r="A40" s="1333" t="s">
        <v>95</v>
      </c>
      <c r="B40" s="1334" t="s">
        <v>96</v>
      </c>
      <c r="C40" s="1148" t="s">
        <v>271</v>
      </c>
      <c r="D40" s="1291">
        <f t="shared" si="1"/>
        <v>137119.93599999999</v>
      </c>
      <c r="E40" s="1218">
        <f t="shared" si="2"/>
        <v>136676.674</v>
      </c>
      <c r="F40" s="1218">
        <f t="shared" si="3"/>
        <v>0</v>
      </c>
      <c r="G40" s="1218">
        <f t="shared" si="4"/>
        <v>0</v>
      </c>
      <c r="H40" s="1219">
        <f t="shared" si="4"/>
        <v>0</v>
      </c>
      <c r="I40" s="1348"/>
      <c r="J40" s="1349"/>
      <c r="K40" s="1349"/>
      <c r="L40" s="1349"/>
      <c r="M40" s="1349"/>
      <c r="N40" s="1350"/>
      <c r="O40" s="1348"/>
      <c r="P40" s="1349"/>
      <c r="Q40" s="1349"/>
      <c r="R40" s="1349"/>
      <c r="S40" s="1349"/>
      <c r="T40" s="1350"/>
      <c r="U40" s="1348"/>
      <c r="V40" s="1349"/>
      <c r="W40" s="1349"/>
      <c r="X40" s="1349"/>
      <c r="Y40" s="1349"/>
      <c r="Z40" s="1350"/>
      <c r="AA40" s="1348"/>
      <c r="AB40" s="1349"/>
      <c r="AC40" s="1349"/>
      <c r="AD40" s="1349"/>
      <c r="AE40" s="1349"/>
      <c r="AF40" s="1350"/>
      <c r="AG40" s="1348"/>
      <c r="AH40" s="1349"/>
      <c r="AI40" s="1349"/>
      <c r="AJ40" s="1349"/>
      <c r="AK40" s="1349"/>
      <c r="AL40" s="1350"/>
      <c r="AM40" s="1354">
        <v>137119.93599999999</v>
      </c>
      <c r="AN40" s="1355">
        <v>0</v>
      </c>
      <c r="AO40" s="1355">
        <v>136676.674</v>
      </c>
      <c r="AP40" s="1356">
        <v>273796.61</v>
      </c>
    </row>
    <row r="41" spans="1:42" s="666" customFormat="1" ht="15" customHeight="1">
      <c r="A41" s="1333" t="s">
        <v>97</v>
      </c>
      <c r="B41" s="1334" t="s">
        <v>98</v>
      </c>
      <c r="C41" s="1148" t="s">
        <v>273</v>
      </c>
      <c r="D41" s="1291">
        <f t="shared" si="1"/>
        <v>76121.274600000004</v>
      </c>
      <c r="E41" s="1218">
        <f t="shared" si="2"/>
        <v>72340.725399999996</v>
      </c>
      <c r="F41" s="1218">
        <f t="shared" si="3"/>
        <v>0</v>
      </c>
      <c r="G41" s="1218">
        <f t="shared" si="4"/>
        <v>0</v>
      </c>
      <c r="H41" s="1219">
        <f t="shared" si="4"/>
        <v>0</v>
      </c>
      <c r="I41" s="1348"/>
      <c r="J41" s="1349"/>
      <c r="K41" s="1349"/>
      <c r="L41" s="1349"/>
      <c r="M41" s="1349"/>
      <c r="N41" s="1350"/>
      <c r="O41" s="1348"/>
      <c r="P41" s="1349"/>
      <c r="Q41" s="1349"/>
      <c r="R41" s="1349"/>
      <c r="S41" s="1349"/>
      <c r="T41" s="1350"/>
      <c r="U41" s="1348"/>
      <c r="V41" s="1349"/>
      <c r="W41" s="1349"/>
      <c r="X41" s="1349"/>
      <c r="Y41" s="1349"/>
      <c r="Z41" s="1350"/>
      <c r="AA41" s="1348"/>
      <c r="AB41" s="1349"/>
      <c r="AC41" s="1349"/>
      <c r="AD41" s="1349"/>
      <c r="AE41" s="1349"/>
      <c r="AF41" s="1350"/>
      <c r="AG41" s="1348"/>
      <c r="AH41" s="1349"/>
      <c r="AI41" s="1349"/>
      <c r="AJ41" s="1349"/>
      <c r="AK41" s="1349"/>
      <c r="AL41" s="1350"/>
      <c r="AM41" s="1354">
        <v>76121.274600000004</v>
      </c>
      <c r="AN41" s="1355">
        <v>0</v>
      </c>
      <c r="AO41" s="1355">
        <v>72340.725399999996</v>
      </c>
      <c r="AP41" s="1356">
        <v>148462</v>
      </c>
    </row>
    <row r="42" spans="1:42" s="666" customFormat="1" ht="15" customHeight="1">
      <c r="A42" s="1333" t="s">
        <v>99</v>
      </c>
      <c r="B42" s="1334" t="s">
        <v>100</v>
      </c>
      <c r="C42" s="1148" t="s">
        <v>275</v>
      </c>
      <c r="D42" s="1291">
        <f t="shared" si="1"/>
        <v>74308.812699999995</v>
      </c>
      <c r="E42" s="1218">
        <f t="shared" si="2"/>
        <v>78883.737299999993</v>
      </c>
      <c r="F42" s="1218">
        <f t="shared" si="3"/>
        <v>0</v>
      </c>
      <c r="G42" s="1218">
        <f t="shared" si="4"/>
        <v>0</v>
      </c>
      <c r="H42" s="1219">
        <f t="shared" si="4"/>
        <v>0</v>
      </c>
      <c r="I42" s="1348"/>
      <c r="J42" s="1349"/>
      <c r="K42" s="1349"/>
      <c r="L42" s="1349"/>
      <c r="M42" s="1349"/>
      <c r="N42" s="1350"/>
      <c r="O42" s="1348"/>
      <c r="P42" s="1349"/>
      <c r="Q42" s="1349"/>
      <c r="R42" s="1349"/>
      <c r="S42" s="1349"/>
      <c r="T42" s="1350"/>
      <c r="U42" s="1348"/>
      <c r="V42" s="1349"/>
      <c r="W42" s="1349"/>
      <c r="X42" s="1349"/>
      <c r="Y42" s="1349"/>
      <c r="Z42" s="1350"/>
      <c r="AA42" s="1348"/>
      <c r="AB42" s="1349"/>
      <c r="AC42" s="1349"/>
      <c r="AD42" s="1349"/>
      <c r="AE42" s="1349"/>
      <c r="AF42" s="1350"/>
      <c r="AG42" s="1348"/>
      <c r="AH42" s="1349"/>
      <c r="AI42" s="1349"/>
      <c r="AJ42" s="1349"/>
      <c r="AK42" s="1349"/>
      <c r="AL42" s="1350"/>
      <c r="AM42" s="1354">
        <v>74308.812699999995</v>
      </c>
      <c r="AN42" s="1355">
        <v>0</v>
      </c>
      <c r="AO42" s="1355">
        <v>78883.737299999993</v>
      </c>
      <c r="AP42" s="1356">
        <v>153192.54999999999</v>
      </c>
    </row>
    <row r="43" spans="1:42" s="666" customFormat="1" ht="15" customHeight="1">
      <c r="A43" s="1333" t="s">
        <v>101</v>
      </c>
      <c r="B43" s="1334" t="s">
        <v>102</v>
      </c>
      <c r="C43" s="1148" t="s">
        <v>274</v>
      </c>
      <c r="D43" s="1291">
        <f t="shared" si="1"/>
        <v>67688.271399999998</v>
      </c>
      <c r="E43" s="1218">
        <f t="shared" si="2"/>
        <v>78514.688599999994</v>
      </c>
      <c r="F43" s="1218">
        <f t="shared" si="3"/>
        <v>0</v>
      </c>
      <c r="G43" s="1218">
        <f t="shared" si="4"/>
        <v>0</v>
      </c>
      <c r="H43" s="1219">
        <f t="shared" si="4"/>
        <v>0</v>
      </c>
      <c r="I43" s="1348"/>
      <c r="J43" s="1349"/>
      <c r="K43" s="1349"/>
      <c r="L43" s="1349"/>
      <c r="M43" s="1349"/>
      <c r="N43" s="1350"/>
      <c r="O43" s="1348"/>
      <c r="P43" s="1349"/>
      <c r="Q43" s="1349"/>
      <c r="R43" s="1349"/>
      <c r="S43" s="1349"/>
      <c r="T43" s="1350"/>
      <c r="U43" s="1354">
        <v>0</v>
      </c>
      <c r="V43" s="1355">
        <v>0</v>
      </c>
      <c r="W43" s="1355">
        <v>-228</v>
      </c>
      <c r="X43" s="1355">
        <v>0</v>
      </c>
      <c r="Y43" s="1355">
        <v>0</v>
      </c>
      <c r="Z43" s="1356">
        <v>-228</v>
      </c>
      <c r="AA43" s="1348"/>
      <c r="AB43" s="1349"/>
      <c r="AC43" s="1349"/>
      <c r="AD43" s="1349"/>
      <c r="AE43" s="1349"/>
      <c r="AF43" s="1350"/>
      <c r="AG43" s="1348"/>
      <c r="AH43" s="1349"/>
      <c r="AI43" s="1349"/>
      <c r="AJ43" s="1349"/>
      <c r="AK43" s="1349"/>
      <c r="AL43" s="1350"/>
      <c r="AM43" s="1354">
        <v>67688.271399999998</v>
      </c>
      <c r="AN43" s="1355">
        <v>0</v>
      </c>
      <c r="AO43" s="1355">
        <v>78742.688599999994</v>
      </c>
      <c r="AP43" s="1356">
        <v>146430.96</v>
      </c>
    </row>
    <row r="44" spans="1:42" s="666" customFormat="1" ht="15" customHeight="1">
      <c r="A44" s="1333" t="s">
        <v>103</v>
      </c>
      <c r="B44" s="1334" t="s">
        <v>104</v>
      </c>
      <c r="C44" s="1148" t="s">
        <v>271</v>
      </c>
      <c r="D44" s="1291">
        <f t="shared" si="1"/>
        <v>214940.78839999999</v>
      </c>
      <c r="E44" s="1218">
        <f t="shared" si="2"/>
        <v>190897.3216</v>
      </c>
      <c r="F44" s="1218">
        <f t="shared" si="3"/>
        <v>0</v>
      </c>
      <c r="G44" s="1218">
        <f t="shared" si="4"/>
        <v>0</v>
      </c>
      <c r="H44" s="1219">
        <f t="shared" si="4"/>
        <v>0</v>
      </c>
      <c r="I44" s="1348"/>
      <c r="J44" s="1349"/>
      <c r="K44" s="1349"/>
      <c r="L44" s="1349"/>
      <c r="M44" s="1349"/>
      <c r="N44" s="1350"/>
      <c r="O44" s="1348"/>
      <c r="P44" s="1349"/>
      <c r="Q44" s="1349"/>
      <c r="R44" s="1349"/>
      <c r="S44" s="1349"/>
      <c r="T44" s="1350"/>
      <c r="U44" s="1348"/>
      <c r="V44" s="1349"/>
      <c r="W44" s="1349"/>
      <c r="X44" s="1349"/>
      <c r="Y44" s="1349"/>
      <c r="Z44" s="1350"/>
      <c r="AA44" s="1348"/>
      <c r="AB44" s="1349"/>
      <c r="AC44" s="1349"/>
      <c r="AD44" s="1349"/>
      <c r="AE44" s="1349"/>
      <c r="AF44" s="1350"/>
      <c r="AG44" s="1348"/>
      <c r="AH44" s="1349"/>
      <c r="AI44" s="1349"/>
      <c r="AJ44" s="1349"/>
      <c r="AK44" s="1349"/>
      <c r="AL44" s="1350"/>
      <c r="AM44" s="1354">
        <v>214940.78839999999</v>
      </c>
      <c r="AN44" s="1355">
        <v>0</v>
      </c>
      <c r="AO44" s="1355">
        <v>190897.3216</v>
      </c>
      <c r="AP44" s="1356">
        <v>405838.11</v>
      </c>
    </row>
    <row r="45" spans="1:42" s="666" customFormat="1" ht="15" customHeight="1">
      <c r="A45" s="1333" t="s">
        <v>105</v>
      </c>
      <c r="B45" s="1334" t="s">
        <v>331</v>
      </c>
      <c r="C45" s="1148" t="s">
        <v>272</v>
      </c>
      <c r="D45" s="1291">
        <f t="shared" si="1"/>
        <v>277398.6165</v>
      </c>
      <c r="E45" s="1218">
        <f t="shared" si="2"/>
        <v>263284.34349999996</v>
      </c>
      <c r="F45" s="1218">
        <f t="shared" si="3"/>
        <v>0</v>
      </c>
      <c r="G45" s="1218">
        <f t="shared" si="4"/>
        <v>0</v>
      </c>
      <c r="H45" s="1219">
        <f t="shared" si="4"/>
        <v>0</v>
      </c>
      <c r="I45" s="1354">
        <v>-765.8</v>
      </c>
      <c r="J45" s="1355">
        <v>0</v>
      </c>
      <c r="K45" s="1355">
        <v>-735.77</v>
      </c>
      <c r="L45" s="1355">
        <v>0</v>
      </c>
      <c r="M45" s="1355">
        <v>0</v>
      </c>
      <c r="N45" s="1356">
        <v>-1501.57</v>
      </c>
      <c r="O45" s="1348"/>
      <c r="P45" s="1349"/>
      <c r="Q45" s="1349"/>
      <c r="R45" s="1349"/>
      <c r="S45" s="1349"/>
      <c r="T45" s="1350"/>
      <c r="U45" s="1348"/>
      <c r="V45" s="1349"/>
      <c r="W45" s="1349"/>
      <c r="X45" s="1349"/>
      <c r="Y45" s="1349"/>
      <c r="Z45" s="1350"/>
      <c r="AA45" s="1348"/>
      <c r="AB45" s="1349"/>
      <c r="AC45" s="1349"/>
      <c r="AD45" s="1349"/>
      <c r="AE45" s="1349"/>
      <c r="AF45" s="1350"/>
      <c r="AG45" s="1348"/>
      <c r="AH45" s="1349"/>
      <c r="AI45" s="1349"/>
      <c r="AJ45" s="1349"/>
      <c r="AK45" s="1349"/>
      <c r="AL45" s="1350"/>
      <c r="AM45" s="1354">
        <v>278164.41649999999</v>
      </c>
      <c r="AN45" s="1355">
        <v>0</v>
      </c>
      <c r="AO45" s="1355">
        <v>264020.11349999998</v>
      </c>
      <c r="AP45" s="1356">
        <v>542184.53</v>
      </c>
    </row>
    <row r="46" spans="1:42" s="666" customFormat="1" ht="15" customHeight="1">
      <c r="A46" s="1333" t="s">
        <v>109</v>
      </c>
      <c r="B46" s="1334" t="s">
        <v>110</v>
      </c>
      <c r="C46" s="1148" t="s">
        <v>273</v>
      </c>
      <c r="D46" s="1291">
        <f t="shared" si="1"/>
        <v>208921.25760000001</v>
      </c>
      <c r="E46" s="1218">
        <f t="shared" si="2"/>
        <v>205788.74239999999</v>
      </c>
      <c r="F46" s="1218">
        <f t="shared" si="3"/>
        <v>0</v>
      </c>
      <c r="G46" s="1218">
        <f t="shared" si="4"/>
        <v>0</v>
      </c>
      <c r="H46" s="1219">
        <f t="shared" si="4"/>
        <v>0</v>
      </c>
      <c r="I46" s="1354">
        <v>-68.34</v>
      </c>
      <c r="J46" s="1355">
        <v>0</v>
      </c>
      <c r="K46" s="1355">
        <v>-65.66</v>
      </c>
      <c r="L46" s="1355">
        <v>0</v>
      </c>
      <c r="M46" s="1355">
        <v>0</v>
      </c>
      <c r="N46" s="1356">
        <v>-134</v>
      </c>
      <c r="O46" s="1348"/>
      <c r="P46" s="1349"/>
      <c r="Q46" s="1349"/>
      <c r="R46" s="1349"/>
      <c r="S46" s="1349"/>
      <c r="T46" s="1350"/>
      <c r="U46" s="1348"/>
      <c r="V46" s="1349"/>
      <c r="W46" s="1349"/>
      <c r="X46" s="1349"/>
      <c r="Y46" s="1349"/>
      <c r="Z46" s="1350"/>
      <c r="AA46" s="1348"/>
      <c r="AB46" s="1349"/>
      <c r="AC46" s="1349"/>
      <c r="AD46" s="1349"/>
      <c r="AE46" s="1349"/>
      <c r="AF46" s="1350"/>
      <c r="AG46" s="1348"/>
      <c r="AH46" s="1349"/>
      <c r="AI46" s="1349"/>
      <c r="AJ46" s="1349"/>
      <c r="AK46" s="1349"/>
      <c r="AL46" s="1350"/>
      <c r="AM46" s="1354">
        <v>208989.59760000001</v>
      </c>
      <c r="AN46" s="1355">
        <v>0</v>
      </c>
      <c r="AO46" s="1355">
        <v>205854.40239999999</v>
      </c>
      <c r="AP46" s="1356">
        <v>414844</v>
      </c>
    </row>
    <row r="47" spans="1:42" s="666" customFormat="1" ht="15" customHeight="1">
      <c r="A47" s="1333" t="s">
        <v>111</v>
      </c>
      <c r="B47" s="1334" t="s">
        <v>112</v>
      </c>
      <c r="C47" s="1148" t="s">
        <v>273</v>
      </c>
      <c r="D47" s="1291">
        <f t="shared" si="1"/>
        <v>3300092.3452999997</v>
      </c>
      <c r="E47" s="1218">
        <f t="shared" si="2"/>
        <v>2780820.8347</v>
      </c>
      <c r="F47" s="1218">
        <f t="shared" si="3"/>
        <v>0.1</v>
      </c>
      <c r="G47" s="1218">
        <f t="shared" si="4"/>
        <v>0</v>
      </c>
      <c r="H47" s="1219">
        <f t="shared" si="4"/>
        <v>0.1</v>
      </c>
      <c r="I47" s="1354">
        <v>-5677.5</v>
      </c>
      <c r="J47" s="1355">
        <v>0</v>
      </c>
      <c r="K47" s="1355">
        <v>-5454.84</v>
      </c>
      <c r="L47" s="1355">
        <v>0</v>
      </c>
      <c r="M47" s="1355">
        <v>0.1</v>
      </c>
      <c r="N47" s="1356">
        <v>-11132.24</v>
      </c>
      <c r="O47" s="1348"/>
      <c r="P47" s="1349"/>
      <c r="Q47" s="1349"/>
      <c r="R47" s="1349"/>
      <c r="S47" s="1349"/>
      <c r="T47" s="1350"/>
      <c r="U47" s="1354">
        <v>0</v>
      </c>
      <c r="V47" s="1355">
        <v>0</v>
      </c>
      <c r="W47" s="1355">
        <v>-320</v>
      </c>
      <c r="X47" s="1355">
        <v>0</v>
      </c>
      <c r="Y47" s="1355">
        <v>0</v>
      </c>
      <c r="Z47" s="1356">
        <v>-320</v>
      </c>
      <c r="AA47" s="1348"/>
      <c r="AB47" s="1349"/>
      <c r="AC47" s="1349"/>
      <c r="AD47" s="1349"/>
      <c r="AE47" s="1349"/>
      <c r="AF47" s="1350"/>
      <c r="AG47" s="1354">
        <v>690339.09</v>
      </c>
      <c r="AH47" s="1355">
        <v>0</v>
      </c>
      <c r="AI47" s="1355">
        <v>0</v>
      </c>
      <c r="AJ47" s="1355">
        <v>0</v>
      </c>
      <c r="AK47" s="1355">
        <v>0</v>
      </c>
      <c r="AL47" s="1356">
        <v>690339.09</v>
      </c>
      <c r="AM47" s="1354">
        <v>2615430.7552999998</v>
      </c>
      <c r="AN47" s="1355">
        <v>0</v>
      </c>
      <c r="AO47" s="1355">
        <v>2786595.6746999999</v>
      </c>
      <c r="AP47" s="1356">
        <v>5402026.4299999997</v>
      </c>
    </row>
    <row r="48" spans="1:42" s="666" customFormat="1" ht="15" customHeight="1">
      <c r="A48" s="1333" t="s">
        <v>113</v>
      </c>
      <c r="B48" s="1334" t="s">
        <v>310</v>
      </c>
      <c r="C48" s="1148" t="s">
        <v>272</v>
      </c>
      <c r="D48" s="1291">
        <f t="shared" si="1"/>
        <v>752646.84649999999</v>
      </c>
      <c r="E48" s="1218">
        <f t="shared" si="2"/>
        <v>749242.11349999998</v>
      </c>
      <c r="F48" s="1218">
        <f t="shared" si="3"/>
        <v>0.01</v>
      </c>
      <c r="G48" s="1218">
        <f t="shared" si="4"/>
        <v>0</v>
      </c>
      <c r="H48" s="1219">
        <f t="shared" si="4"/>
        <v>0.01</v>
      </c>
      <c r="I48" s="1354">
        <v>-718.49</v>
      </c>
      <c r="J48" s="1355">
        <v>0</v>
      </c>
      <c r="K48" s="1355">
        <v>-690.29</v>
      </c>
      <c r="L48" s="1355">
        <v>0</v>
      </c>
      <c r="M48" s="1355">
        <v>0.01</v>
      </c>
      <c r="N48" s="1356">
        <v>-1408.77</v>
      </c>
      <c r="O48" s="1348"/>
      <c r="P48" s="1349"/>
      <c r="Q48" s="1349"/>
      <c r="R48" s="1349"/>
      <c r="S48" s="1349"/>
      <c r="T48" s="1350"/>
      <c r="U48" s="1348"/>
      <c r="V48" s="1349"/>
      <c r="W48" s="1349"/>
      <c r="X48" s="1349"/>
      <c r="Y48" s="1349"/>
      <c r="Z48" s="1350"/>
      <c r="AA48" s="1348"/>
      <c r="AB48" s="1349"/>
      <c r="AC48" s="1349"/>
      <c r="AD48" s="1349"/>
      <c r="AE48" s="1349"/>
      <c r="AF48" s="1350"/>
      <c r="AG48" s="1348"/>
      <c r="AH48" s="1349"/>
      <c r="AI48" s="1349"/>
      <c r="AJ48" s="1349"/>
      <c r="AK48" s="1349"/>
      <c r="AL48" s="1350"/>
      <c r="AM48" s="1354">
        <v>753365.33649999998</v>
      </c>
      <c r="AN48" s="1355">
        <v>0</v>
      </c>
      <c r="AO48" s="1355">
        <v>749932.40350000001</v>
      </c>
      <c r="AP48" s="1356">
        <v>1503297.74</v>
      </c>
    </row>
    <row r="49" spans="1:42" s="666" customFormat="1" ht="15" customHeight="1">
      <c r="A49" s="1333" t="s">
        <v>115</v>
      </c>
      <c r="B49" s="1334" t="s">
        <v>116</v>
      </c>
      <c r="C49" s="1148" t="s">
        <v>272</v>
      </c>
      <c r="D49" s="1291">
        <f t="shared" si="1"/>
        <v>2715.5016000000001</v>
      </c>
      <c r="E49" s="1218">
        <f t="shared" si="2"/>
        <v>2296.4983999999999</v>
      </c>
      <c r="F49" s="1218">
        <f t="shared" si="3"/>
        <v>0</v>
      </c>
      <c r="G49" s="1218">
        <f t="shared" si="4"/>
        <v>0</v>
      </c>
      <c r="H49" s="1219">
        <f t="shared" si="4"/>
        <v>0</v>
      </c>
      <c r="I49" s="1348"/>
      <c r="J49" s="1349"/>
      <c r="K49" s="1349"/>
      <c r="L49" s="1349"/>
      <c r="M49" s="1349"/>
      <c r="N49" s="1350"/>
      <c r="O49" s="1348"/>
      <c r="P49" s="1349"/>
      <c r="Q49" s="1349"/>
      <c r="R49" s="1349"/>
      <c r="S49" s="1349"/>
      <c r="T49" s="1350"/>
      <c r="U49" s="1348"/>
      <c r="V49" s="1349"/>
      <c r="W49" s="1349"/>
      <c r="X49" s="1349"/>
      <c r="Y49" s="1349"/>
      <c r="Z49" s="1350"/>
      <c r="AA49" s="1348"/>
      <c r="AB49" s="1349"/>
      <c r="AC49" s="1349"/>
      <c r="AD49" s="1349"/>
      <c r="AE49" s="1349"/>
      <c r="AF49" s="1350"/>
      <c r="AG49" s="1348"/>
      <c r="AH49" s="1349"/>
      <c r="AI49" s="1349"/>
      <c r="AJ49" s="1349"/>
      <c r="AK49" s="1349"/>
      <c r="AL49" s="1350"/>
      <c r="AM49" s="1354">
        <v>2715.5016000000001</v>
      </c>
      <c r="AN49" s="1355">
        <v>0</v>
      </c>
      <c r="AO49" s="1355">
        <v>2296.4983999999999</v>
      </c>
      <c r="AP49" s="1356">
        <v>5012</v>
      </c>
    </row>
    <row r="50" spans="1:42" s="666" customFormat="1" ht="15" customHeight="1">
      <c r="A50" s="1333" t="s">
        <v>119</v>
      </c>
      <c r="B50" s="1334" t="s">
        <v>120</v>
      </c>
      <c r="C50" s="1148" t="s">
        <v>271</v>
      </c>
      <c r="D50" s="1291">
        <f t="shared" si="1"/>
        <v>170408.24109999998</v>
      </c>
      <c r="E50" s="1218">
        <f t="shared" si="2"/>
        <v>169894.46890000001</v>
      </c>
      <c r="F50" s="1218">
        <f t="shared" si="3"/>
        <v>-173</v>
      </c>
      <c r="G50" s="1218">
        <f t="shared" si="4"/>
        <v>0</v>
      </c>
      <c r="H50" s="1219">
        <f t="shared" si="4"/>
        <v>-173</v>
      </c>
      <c r="I50" s="1354">
        <v>-405.63</v>
      </c>
      <c r="J50" s="1355">
        <v>0</v>
      </c>
      <c r="K50" s="1355">
        <v>-389.74</v>
      </c>
      <c r="L50" s="1355">
        <v>0</v>
      </c>
      <c r="M50" s="1355">
        <v>-173</v>
      </c>
      <c r="N50" s="1356">
        <v>-968.37</v>
      </c>
      <c r="O50" s="1348"/>
      <c r="P50" s="1349"/>
      <c r="Q50" s="1349"/>
      <c r="R50" s="1349"/>
      <c r="S50" s="1349"/>
      <c r="T50" s="1350"/>
      <c r="U50" s="1348"/>
      <c r="V50" s="1349"/>
      <c r="W50" s="1349"/>
      <c r="X50" s="1349"/>
      <c r="Y50" s="1349"/>
      <c r="Z50" s="1350"/>
      <c r="AA50" s="1348"/>
      <c r="AB50" s="1349"/>
      <c r="AC50" s="1349"/>
      <c r="AD50" s="1349"/>
      <c r="AE50" s="1349"/>
      <c r="AF50" s="1350"/>
      <c r="AG50" s="1348"/>
      <c r="AH50" s="1349"/>
      <c r="AI50" s="1349"/>
      <c r="AJ50" s="1349"/>
      <c r="AK50" s="1349"/>
      <c r="AL50" s="1350"/>
      <c r="AM50" s="1354">
        <v>170813.87109999999</v>
      </c>
      <c r="AN50" s="1355">
        <v>0</v>
      </c>
      <c r="AO50" s="1355">
        <v>170284.2089</v>
      </c>
      <c r="AP50" s="1356">
        <v>341098.08</v>
      </c>
    </row>
    <row r="51" spans="1:42" s="666" customFormat="1" ht="15" customHeight="1">
      <c r="A51" s="1333" t="s">
        <v>121</v>
      </c>
      <c r="B51" s="1334" t="s">
        <v>122</v>
      </c>
      <c r="C51" s="1148" t="s">
        <v>271</v>
      </c>
      <c r="D51" s="1291">
        <f t="shared" si="1"/>
        <v>201258.97570000001</v>
      </c>
      <c r="E51" s="1218">
        <f t="shared" si="2"/>
        <v>203088.92429999998</v>
      </c>
      <c r="F51" s="1218">
        <f t="shared" si="3"/>
        <v>0</v>
      </c>
      <c r="G51" s="1218">
        <f t="shared" si="4"/>
        <v>0</v>
      </c>
      <c r="H51" s="1219">
        <f t="shared" si="4"/>
        <v>0</v>
      </c>
      <c r="I51" s="1354">
        <v>-841.96</v>
      </c>
      <c r="J51" s="1355">
        <v>0</v>
      </c>
      <c r="K51" s="1355">
        <v>-808.94</v>
      </c>
      <c r="L51" s="1355">
        <v>0</v>
      </c>
      <c r="M51" s="1355">
        <v>0</v>
      </c>
      <c r="N51" s="1356">
        <v>-1650.9</v>
      </c>
      <c r="O51" s="1348"/>
      <c r="P51" s="1349"/>
      <c r="Q51" s="1349"/>
      <c r="R51" s="1349"/>
      <c r="S51" s="1349"/>
      <c r="T51" s="1350"/>
      <c r="U51" s="1348"/>
      <c r="V51" s="1349"/>
      <c r="W51" s="1349"/>
      <c r="X51" s="1349"/>
      <c r="Y51" s="1349"/>
      <c r="Z51" s="1350"/>
      <c r="AA51" s="1348"/>
      <c r="AB51" s="1349"/>
      <c r="AC51" s="1349"/>
      <c r="AD51" s="1349"/>
      <c r="AE51" s="1349"/>
      <c r="AF51" s="1350"/>
      <c r="AG51" s="1348"/>
      <c r="AH51" s="1349"/>
      <c r="AI51" s="1349"/>
      <c r="AJ51" s="1349"/>
      <c r="AK51" s="1349"/>
      <c r="AL51" s="1350"/>
      <c r="AM51" s="1354">
        <v>202100.9357</v>
      </c>
      <c r="AN51" s="1355">
        <v>0</v>
      </c>
      <c r="AO51" s="1355">
        <v>203897.86429999999</v>
      </c>
      <c r="AP51" s="1356">
        <v>405998.8</v>
      </c>
    </row>
    <row r="52" spans="1:42" s="666" customFormat="1" ht="15" customHeight="1">
      <c r="A52" s="1333" t="s">
        <v>123</v>
      </c>
      <c r="B52" s="1334" t="s">
        <v>278</v>
      </c>
      <c r="C52" s="1148" t="s">
        <v>273</v>
      </c>
      <c r="D52" s="1291">
        <f t="shared" si="1"/>
        <v>35962.912300000004</v>
      </c>
      <c r="E52" s="1218">
        <f t="shared" si="2"/>
        <v>34000.097699999998</v>
      </c>
      <c r="F52" s="1218">
        <f t="shared" si="3"/>
        <v>0</v>
      </c>
      <c r="G52" s="1218">
        <f t="shared" si="4"/>
        <v>0</v>
      </c>
      <c r="H52" s="1219">
        <f t="shared" si="4"/>
        <v>0</v>
      </c>
      <c r="I52" s="1348"/>
      <c r="J52" s="1349"/>
      <c r="K52" s="1349"/>
      <c r="L52" s="1349"/>
      <c r="M52" s="1349"/>
      <c r="N52" s="1350"/>
      <c r="O52" s="1348"/>
      <c r="P52" s="1349"/>
      <c r="Q52" s="1349"/>
      <c r="R52" s="1349"/>
      <c r="S52" s="1349"/>
      <c r="T52" s="1350"/>
      <c r="U52" s="1348"/>
      <c r="V52" s="1349"/>
      <c r="W52" s="1349"/>
      <c r="X52" s="1349"/>
      <c r="Y52" s="1349"/>
      <c r="Z52" s="1350"/>
      <c r="AA52" s="1348"/>
      <c r="AB52" s="1349"/>
      <c r="AC52" s="1349"/>
      <c r="AD52" s="1349"/>
      <c r="AE52" s="1349"/>
      <c r="AF52" s="1350"/>
      <c r="AG52" s="1348"/>
      <c r="AH52" s="1349"/>
      <c r="AI52" s="1349"/>
      <c r="AJ52" s="1349"/>
      <c r="AK52" s="1349"/>
      <c r="AL52" s="1350"/>
      <c r="AM52" s="1354">
        <v>35962.912300000004</v>
      </c>
      <c r="AN52" s="1355">
        <v>0</v>
      </c>
      <c r="AO52" s="1355">
        <v>34000.097699999998</v>
      </c>
      <c r="AP52" s="1356">
        <v>69963.009999999995</v>
      </c>
    </row>
    <row r="53" spans="1:42" s="666" customFormat="1" ht="15" customHeight="1">
      <c r="A53" s="1333" t="s">
        <v>125</v>
      </c>
      <c r="B53" s="1334" t="s">
        <v>126</v>
      </c>
      <c r="C53" s="1148" t="s">
        <v>274</v>
      </c>
      <c r="D53" s="1291">
        <f t="shared" si="1"/>
        <v>63026.428200000002</v>
      </c>
      <c r="E53" s="1218">
        <f t="shared" si="2"/>
        <v>64771.571799999998</v>
      </c>
      <c r="F53" s="1218">
        <f t="shared" si="3"/>
        <v>0</v>
      </c>
      <c r="G53" s="1218">
        <f t="shared" si="4"/>
        <v>0</v>
      </c>
      <c r="H53" s="1219">
        <f t="shared" si="4"/>
        <v>0</v>
      </c>
      <c r="I53" s="1354">
        <v>-363.63</v>
      </c>
      <c r="J53" s="1355">
        <v>0</v>
      </c>
      <c r="K53" s="1355">
        <v>-349.37</v>
      </c>
      <c r="L53" s="1355">
        <v>0</v>
      </c>
      <c r="M53" s="1355">
        <v>0</v>
      </c>
      <c r="N53" s="1356">
        <v>-713</v>
      </c>
      <c r="O53" s="1348"/>
      <c r="P53" s="1349"/>
      <c r="Q53" s="1349"/>
      <c r="R53" s="1349"/>
      <c r="S53" s="1349"/>
      <c r="T53" s="1350"/>
      <c r="U53" s="1348"/>
      <c r="V53" s="1349"/>
      <c r="W53" s="1349"/>
      <c r="X53" s="1349"/>
      <c r="Y53" s="1349"/>
      <c r="Z53" s="1350"/>
      <c r="AA53" s="1348"/>
      <c r="AB53" s="1349"/>
      <c r="AC53" s="1349"/>
      <c r="AD53" s="1349"/>
      <c r="AE53" s="1349"/>
      <c r="AF53" s="1350"/>
      <c r="AG53" s="1348"/>
      <c r="AH53" s="1349"/>
      <c r="AI53" s="1349"/>
      <c r="AJ53" s="1349"/>
      <c r="AK53" s="1349"/>
      <c r="AL53" s="1350"/>
      <c r="AM53" s="1354">
        <v>63390.058199999999</v>
      </c>
      <c r="AN53" s="1355">
        <v>0</v>
      </c>
      <c r="AO53" s="1355">
        <v>65120.941800000001</v>
      </c>
      <c r="AP53" s="1356">
        <v>128511</v>
      </c>
    </row>
    <row r="54" spans="1:42" s="666" customFormat="1" ht="15" customHeight="1">
      <c r="A54" s="1333" t="s">
        <v>127</v>
      </c>
      <c r="B54" s="1334" t="s">
        <v>128</v>
      </c>
      <c r="C54" s="1148" t="s">
        <v>273</v>
      </c>
      <c r="D54" s="1291">
        <f t="shared" si="1"/>
        <v>65435.705399999999</v>
      </c>
      <c r="E54" s="1218">
        <f t="shared" si="2"/>
        <v>71621.944600000003</v>
      </c>
      <c r="F54" s="1218">
        <f t="shared" si="3"/>
        <v>0</v>
      </c>
      <c r="G54" s="1218">
        <f t="shared" si="4"/>
        <v>0</v>
      </c>
      <c r="H54" s="1219">
        <f t="shared" si="4"/>
        <v>0</v>
      </c>
      <c r="I54" s="1348"/>
      <c r="J54" s="1349"/>
      <c r="K54" s="1349"/>
      <c r="L54" s="1349"/>
      <c r="M54" s="1349"/>
      <c r="N54" s="1350"/>
      <c r="O54" s="1348"/>
      <c r="P54" s="1349"/>
      <c r="Q54" s="1349"/>
      <c r="R54" s="1349"/>
      <c r="S54" s="1349"/>
      <c r="T54" s="1350"/>
      <c r="U54" s="1348"/>
      <c r="V54" s="1349"/>
      <c r="W54" s="1349"/>
      <c r="X54" s="1349"/>
      <c r="Y54" s="1349"/>
      <c r="Z54" s="1350"/>
      <c r="AA54" s="1348"/>
      <c r="AB54" s="1349"/>
      <c r="AC54" s="1349"/>
      <c r="AD54" s="1349"/>
      <c r="AE54" s="1349"/>
      <c r="AF54" s="1350"/>
      <c r="AG54" s="1348"/>
      <c r="AH54" s="1349"/>
      <c r="AI54" s="1349"/>
      <c r="AJ54" s="1349"/>
      <c r="AK54" s="1349"/>
      <c r="AL54" s="1350"/>
      <c r="AM54" s="1354">
        <v>65435.705399999999</v>
      </c>
      <c r="AN54" s="1355">
        <v>0</v>
      </c>
      <c r="AO54" s="1355">
        <v>71621.944600000003</v>
      </c>
      <c r="AP54" s="1356">
        <v>137057.65</v>
      </c>
    </row>
    <row r="55" spans="1:42" s="666" customFormat="1" ht="15" customHeight="1">
      <c r="A55" s="1333" t="s">
        <v>129</v>
      </c>
      <c r="B55" s="1334" t="s">
        <v>130</v>
      </c>
      <c r="C55" s="1148" t="s">
        <v>273</v>
      </c>
      <c r="D55" s="1291">
        <f t="shared" si="1"/>
        <v>69736.761700000003</v>
      </c>
      <c r="E55" s="1218">
        <f t="shared" si="2"/>
        <v>66786.318299999999</v>
      </c>
      <c r="F55" s="1218">
        <f t="shared" si="3"/>
        <v>0</v>
      </c>
      <c r="G55" s="1218">
        <f t="shared" si="4"/>
        <v>0</v>
      </c>
      <c r="H55" s="1219">
        <f t="shared" si="4"/>
        <v>0</v>
      </c>
      <c r="I55" s="1354">
        <v>-121.89</v>
      </c>
      <c r="J55" s="1355">
        <v>0</v>
      </c>
      <c r="K55" s="1355">
        <v>-117.11</v>
      </c>
      <c r="L55" s="1355">
        <v>0</v>
      </c>
      <c r="M55" s="1355">
        <v>0</v>
      </c>
      <c r="N55" s="1356">
        <v>-239</v>
      </c>
      <c r="O55" s="1348"/>
      <c r="P55" s="1349"/>
      <c r="Q55" s="1349"/>
      <c r="R55" s="1349"/>
      <c r="S55" s="1349"/>
      <c r="T55" s="1350"/>
      <c r="U55" s="1348"/>
      <c r="V55" s="1349"/>
      <c r="W55" s="1349"/>
      <c r="X55" s="1349"/>
      <c r="Y55" s="1349"/>
      <c r="Z55" s="1350"/>
      <c r="AA55" s="1348"/>
      <c r="AB55" s="1349"/>
      <c r="AC55" s="1349"/>
      <c r="AD55" s="1349"/>
      <c r="AE55" s="1349"/>
      <c r="AF55" s="1350"/>
      <c r="AG55" s="1348"/>
      <c r="AH55" s="1349"/>
      <c r="AI55" s="1349"/>
      <c r="AJ55" s="1349"/>
      <c r="AK55" s="1349"/>
      <c r="AL55" s="1350"/>
      <c r="AM55" s="1354">
        <v>69858.651700000002</v>
      </c>
      <c r="AN55" s="1355">
        <v>0</v>
      </c>
      <c r="AO55" s="1355">
        <v>66903.4283</v>
      </c>
      <c r="AP55" s="1356">
        <v>136762.07999999999</v>
      </c>
    </row>
    <row r="56" spans="1:42" s="666" customFormat="1" ht="15" customHeight="1">
      <c r="A56" s="1333" t="s">
        <v>131</v>
      </c>
      <c r="B56" s="1334" t="s">
        <v>132</v>
      </c>
      <c r="C56" s="1148" t="s">
        <v>275</v>
      </c>
      <c r="D56" s="1291">
        <f t="shared" si="1"/>
        <v>392777.64980000001</v>
      </c>
      <c r="E56" s="1218">
        <f t="shared" si="2"/>
        <v>443613.8002</v>
      </c>
      <c r="F56" s="1218">
        <f t="shared" si="3"/>
        <v>0</v>
      </c>
      <c r="G56" s="1218">
        <f t="shared" si="4"/>
        <v>0</v>
      </c>
      <c r="H56" s="1219">
        <f t="shared" si="4"/>
        <v>0</v>
      </c>
      <c r="I56" s="1354">
        <v>-342.08</v>
      </c>
      <c r="J56" s="1355">
        <v>0</v>
      </c>
      <c r="K56" s="1355">
        <v>-328.66</v>
      </c>
      <c r="L56" s="1355">
        <v>0</v>
      </c>
      <c r="M56" s="1355">
        <v>0</v>
      </c>
      <c r="N56" s="1356">
        <v>-670.74</v>
      </c>
      <c r="O56" s="1354">
        <v>254.59</v>
      </c>
      <c r="P56" s="1355">
        <v>0</v>
      </c>
      <c r="Q56" s="1355">
        <v>244.6</v>
      </c>
      <c r="R56" s="1355">
        <v>0</v>
      </c>
      <c r="S56" s="1355">
        <v>0</v>
      </c>
      <c r="T56" s="1356">
        <v>499.19</v>
      </c>
      <c r="U56" s="1348"/>
      <c r="V56" s="1349"/>
      <c r="W56" s="1349"/>
      <c r="X56" s="1349"/>
      <c r="Y56" s="1349"/>
      <c r="Z56" s="1350"/>
      <c r="AA56" s="1348"/>
      <c r="AB56" s="1349"/>
      <c r="AC56" s="1349"/>
      <c r="AD56" s="1349"/>
      <c r="AE56" s="1349"/>
      <c r="AF56" s="1350"/>
      <c r="AG56" s="1348"/>
      <c r="AH56" s="1349"/>
      <c r="AI56" s="1349"/>
      <c r="AJ56" s="1349"/>
      <c r="AK56" s="1349"/>
      <c r="AL56" s="1350"/>
      <c r="AM56" s="1354">
        <v>392865.1398</v>
      </c>
      <c r="AN56" s="1355">
        <v>0</v>
      </c>
      <c r="AO56" s="1355">
        <v>443697.8602</v>
      </c>
      <c r="AP56" s="1356">
        <v>836563</v>
      </c>
    </row>
    <row r="57" spans="1:42" s="666" customFormat="1" ht="15" customHeight="1">
      <c r="A57" s="1333" t="s">
        <v>133</v>
      </c>
      <c r="B57" s="1334" t="s">
        <v>134</v>
      </c>
      <c r="C57" s="1148" t="s">
        <v>274</v>
      </c>
      <c r="D57" s="1291">
        <f t="shared" si="1"/>
        <v>371617.89019999997</v>
      </c>
      <c r="E57" s="1218">
        <f t="shared" si="2"/>
        <v>452496.08980000002</v>
      </c>
      <c r="F57" s="1218">
        <f t="shared" si="3"/>
        <v>13375</v>
      </c>
      <c r="G57" s="1218">
        <f t="shared" si="4"/>
        <v>0</v>
      </c>
      <c r="H57" s="1219">
        <f t="shared" si="4"/>
        <v>13375</v>
      </c>
      <c r="I57" s="1354">
        <v>-5018.3999999999996</v>
      </c>
      <c r="J57" s="1355">
        <v>0</v>
      </c>
      <c r="K57" s="1355">
        <v>-4821.6000000000004</v>
      </c>
      <c r="L57" s="1355">
        <v>0</v>
      </c>
      <c r="M57" s="1355">
        <v>9840</v>
      </c>
      <c r="N57" s="1356">
        <v>0</v>
      </c>
      <c r="O57" s="1348"/>
      <c r="P57" s="1349"/>
      <c r="Q57" s="1349"/>
      <c r="R57" s="1349"/>
      <c r="S57" s="1349"/>
      <c r="T57" s="1350"/>
      <c r="U57" s="1354">
        <v>0</v>
      </c>
      <c r="V57" s="1355">
        <v>0</v>
      </c>
      <c r="W57" s="1355">
        <v>-7799.6</v>
      </c>
      <c r="X57" s="1355">
        <v>0</v>
      </c>
      <c r="Y57" s="1355">
        <v>3535</v>
      </c>
      <c r="Z57" s="1356">
        <v>-4264.6000000000004</v>
      </c>
      <c r="AA57" s="1348"/>
      <c r="AB57" s="1349"/>
      <c r="AC57" s="1349"/>
      <c r="AD57" s="1349"/>
      <c r="AE57" s="1349"/>
      <c r="AF57" s="1350"/>
      <c r="AG57" s="1348"/>
      <c r="AH57" s="1349"/>
      <c r="AI57" s="1349"/>
      <c r="AJ57" s="1349"/>
      <c r="AK57" s="1349"/>
      <c r="AL57" s="1350"/>
      <c r="AM57" s="1354">
        <v>376636.29019999999</v>
      </c>
      <c r="AN57" s="1355">
        <v>0</v>
      </c>
      <c r="AO57" s="1355">
        <v>465117.28980000003</v>
      </c>
      <c r="AP57" s="1356">
        <v>841753.58</v>
      </c>
    </row>
    <row r="58" spans="1:42" s="666" customFormat="1" ht="15" customHeight="1">
      <c r="A58" s="1333" t="s">
        <v>135</v>
      </c>
      <c r="B58" s="1334" t="s">
        <v>136</v>
      </c>
      <c r="C58" s="1148" t="s">
        <v>274</v>
      </c>
      <c r="D58" s="1291">
        <f t="shared" si="1"/>
        <v>141955.65310000003</v>
      </c>
      <c r="E58" s="1218">
        <f t="shared" si="2"/>
        <v>164952.51689999999</v>
      </c>
      <c r="F58" s="1218">
        <f t="shared" si="3"/>
        <v>0</v>
      </c>
      <c r="G58" s="1218">
        <f t="shared" si="4"/>
        <v>0</v>
      </c>
      <c r="H58" s="1219">
        <f t="shared" si="4"/>
        <v>0</v>
      </c>
      <c r="I58" s="1354">
        <v>-15.3</v>
      </c>
      <c r="J58" s="1355">
        <v>0</v>
      </c>
      <c r="K58" s="1355">
        <v>-14.7</v>
      </c>
      <c r="L58" s="1355">
        <v>0</v>
      </c>
      <c r="M58" s="1355">
        <v>0</v>
      </c>
      <c r="N58" s="1356">
        <v>-30</v>
      </c>
      <c r="O58" s="1348"/>
      <c r="P58" s="1349"/>
      <c r="Q58" s="1349"/>
      <c r="R58" s="1349"/>
      <c r="S58" s="1349"/>
      <c r="T58" s="1350"/>
      <c r="U58" s="1348"/>
      <c r="V58" s="1349"/>
      <c r="W58" s="1349"/>
      <c r="X58" s="1349"/>
      <c r="Y58" s="1349"/>
      <c r="Z58" s="1350"/>
      <c r="AA58" s="1348"/>
      <c r="AB58" s="1349"/>
      <c r="AC58" s="1349"/>
      <c r="AD58" s="1349"/>
      <c r="AE58" s="1349"/>
      <c r="AF58" s="1350"/>
      <c r="AG58" s="1348"/>
      <c r="AH58" s="1349"/>
      <c r="AI58" s="1349"/>
      <c r="AJ58" s="1349"/>
      <c r="AK58" s="1349"/>
      <c r="AL58" s="1350"/>
      <c r="AM58" s="1354">
        <v>141970.95310000001</v>
      </c>
      <c r="AN58" s="1355">
        <v>0</v>
      </c>
      <c r="AO58" s="1355">
        <v>164967.2169</v>
      </c>
      <c r="AP58" s="1356">
        <v>306938.17</v>
      </c>
    </row>
    <row r="59" spans="1:42" s="666" customFormat="1" ht="15" customHeight="1">
      <c r="A59" s="1333" t="s">
        <v>137</v>
      </c>
      <c r="B59" s="1334" t="s">
        <v>138</v>
      </c>
      <c r="C59" s="1148" t="s">
        <v>273</v>
      </c>
      <c r="D59" s="1291">
        <f t="shared" si="1"/>
        <v>102201.7928</v>
      </c>
      <c r="E59" s="1218">
        <f t="shared" si="2"/>
        <v>116670.00719999999</v>
      </c>
      <c r="F59" s="1218">
        <f t="shared" si="3"/>
        <v>0</v>
      </c>
      <c r="G59" s="1218">
        <f t="shared" si="4"/>
        <v>0</v>
      </c>
      <c r="H59" s="1219">
        <f t="shared" si="4"/>
        <v>0</v>
      </c>
      <c r="I59" s="1348"/>
      <c r="J59" s="1349"/>
      <c r="K59" s="1349"/>
      <c r="L59" s="1349"/>
      <c r="M59" s="1349"/>
      <c r="N59" s="1350"/>
      <c r="O59" s="1348"/>
      <c r="P59" s="1349"/>
      <c r="Q59" s="1349"/>
      <c r="R59" s="1349"/>
      <c r="S59" s="1349"/>
      <c r="T59" s="1350"/>
      <c r="U59" s="1354">
        <v>0</v>
      </c>
      <c r="V59" s="1355">
        <v>0</v>
      </c>
      <c r="W59" s="1355">
        <v>-240</v>
      </c>
      <c r="X59" s="1355">
        <v>0</v>
      </c>
      <c r="Y59" s="1355">
        <v>0</v>
      </c>
      <c r="Z59" s="1356">
        <v>-240</v>
      </c>
      <c r="AA59" s="1348"/>
      <c r="AB59" s="1349"/>
      <c r="AC59" s="1349"/>
      <c r="AD59" s="1349"/>
      <c r="AE59" s="1349"/>
      <c r="AF59" s="1350"/>
      <c r="AG59" s="1348"/>
      <c r="AH59" s="1349"/>
      <c r="AI59" s="1349"/>
      <c r="AJ59" s="1349"/>
      <c r="AK59" s="1349"/>
      <c r="AL59" s="1350"/>
      <c r="AM59" s="1354">
        <v>102201.7928</v>
      </c>
      <c r="AN59" s="1355">
        <v>0</v>
      </c>
      <c r="AO59" s="1355">
        <v>116910.00719999999</v>
      </c>
      <c r="AP59" s="1356">
        <v>219111.8</v>
      </c>
    </row>
    <row r="60" spans="1:42" s="666" customFormat="1" ht="15" customHeight="1">
      <c r="A60" s="1333" t="s">
        <v>141</v>
      </c>
      <c r="B60" s="1334" t="s">
        <v>142</v>
      </c>
      <c r="C60" s="1148" t="s">
        <v>274</v>
      </c>
      <c r="D60" s="1291">
        <f t="shared" si="1"/>
        <v>32053.315799999997</v>
      </c>
      <c r="E60" s="1218">
        <f t="shared" si="2"/>
        <v>29433.7042</v>
      </c>
      <c r="F60" s="1218">
        <f t="shared" si="3"/>
        <v>0</v>
      </c>
      <c r="G60" s="1218">
        <f t="shared" si="4"/>
        <v>0</v>
      </c>
      <c r="H60" s="1219">
        <f t="shared" si="4"/>
        <v>0</v>
      </c>
      <c r="I60" s="1354">
        <v>-1092.93</v>
      </c>
      <c r="J60" s="1355">
        <v>0</v>
      </c>
      <c r="K60" s="1355">
        <v>-1050.06</v>
      </c>
      <c r="L60" s="1355">
        <v>0</v>
      </c>
      <c r="M60" s="1355">
        <v>0</v>
      </c>
      <c r="N60" s="1356">
        <v>-2142.9899999999998</v>
      </c>
      <c r="O60" s="1348"/>
      <c r="P60" s="1349"/>
      <c r="Q60" s="1349"/>
      <c r="R60" s="1349"/>
      <c r="S60" s="1349"/>
      <c r="T60" s="1350"/>
      <c r="U60" s="1348"/>
      <c r="V60" s="1349"/>
      <c r="W60" s="1349"/>
      <c r="X60" s="1349"/>
      <c r="Y60" s="1349"/>
      <c r="Z60" s="1350"/>
      <c r="AA60" s="1348"/>
      <c r="AB60" s="1349"/>
      <c r="AC60" s="1349"/>
      <c r="AD60" s="1349"/>
      <c r="AE60" s="1349"/>
      <c r="AF60" s="1350"/>
      <c r="AG60" s="1348"/>
      <c r="AH60" s="1349"/>
      <c r="AI60" s="1349"/>
      <c r="AJ60" s="1349"/>
      <c r="AK60" s="1349"/>
      <c r="AL60" s="1350"/>
      <c r="AM60" s="1354">
        <v>33146.245799999997</v>
      </c>
      <c r="AN60" s="1355">
        <v>0</v>
      </c>
      <c r="AO60" s="1355">
        <v>30483.764200000001</v>
      </c>
      <c r="AP60" s="1356">
        <v>63630.01</v>
      </c>
    </row>
    <row r="61" spans="1:42" s="666" customFormat="1" ht="15" customHeight="1">
      <c r="A61" s="1333" t="s">
        <v>147</v>
      </c>
      <c r="B61" s="1334" t="s">
        <v>148</v>
      </c>
      <c r="C61" s="1148" t="s">
        <v>271</v>
      </c>
      <c r="D61" s="1291">
        <f t="shared" si="1"/>
        <v>36125.598599999998</v>
      </c>
      <c r="E61" s="1218">
        <f t="shared" si="2"/>
        <v>36173.401400000002</v>
      </c>
      <c r="F61" s="1218">
        <f t="shared" si="3"/>
        <v>0</v>
      </c>
      <c r="G61" s="1218">
        <f t="shared" si="4"/>
        <v>0</v>
      </c>
      <c r="H61" s="1219">
        <f t="shared" si="4"/>
        <v>0</v>
      </c>
      <c r="I61" s="1348"/>
      <c r="J61" s="1349"/>
      <c r="K61" s="1349"/>
      <c r="L61" s="1349"/>
      <c r="M61" s="1349"/>
      <c r="N61" s="1350"/>
      <c r="O61" s="1348"/>
      <c r="P61" s="1349"/>
      <c r="Q61" s="1349"/>
      <c r="R61" s="1349"/>
      <c r="S61" s="1349"/>
      <c r="T61" s="1350"/>
      <c r="U61" s="1348"/>
      <c r="V61" s="1349"/>
      <c r="W61" s="1349"/>
      <c r="X61" s="1349"/>
      <c r="Y61" s="1349"/>
      <c r="Z61" s="1350"/>
      <c r="AA61" s="1348"/>
      <c r="AB61" s="1349"/>
      <c r="AC61" s="1349"/>
      <c r="AD61" s="1349"/>
      <c r="AE61" s="1349"/>
      <c r="AF61" s="1350"/>
      <c r="AG61" s="1348"/>
      <c r="AH61" s="1349"/>
      <c r="AI61" s="1349"/>
      <c r="AJ61" s="1349"/>
      <c r="AK61" s="1349"/>
      <c r="AL61" s="1350"/>
      <c r="AM61" s="1354">
        <v>36125.598599999998</v>
      </c>
      <c r="AN61" s="1355">
        <v>0</v>
      </c>
      <c r="AO61" s="1355">
        <v>36173.401400000002</v>
      </c>
      <c r="AP61" s="1356">
        <v>72299</v>
      </c>
    </row>
    <row r="62" spans="1:42" s="666" customFormat="1" ht="15" customHeight="1">
      <c r="A62" s="1333" t="s">
        <v>149</v>
      </c>
      <c r="B62" s="1334" t="s">
        <v>150</v>
      </c>
      <c r="C62" s="1148" t="s">
        <v>272</v>
      </c>
      <c r="D62" s="1291">
        <f t="shared" si="1"/>
        <v>247599.7493</v>
      </c>
      <c r="E62" s="1218">
        <f t="shared" si="2"/>
        <v>211378.98070000001</v>
      </c>
      <c r="F62" s="1218">
        <f t="shared" si="3"/>
        <v>0</v>
      </c>
      <c r="G62" s="1218">
        <f t="shared" si="4"/>
        <v>0</v>
      </c>
      <c r="H62" s="1219">
        <f t="shared" si="4"/>
        <v>0</v>
      </c>
      <c r="I62" s="1354">
        <v>-31.56</v>
      </c>
      <c r="J62" s="1355">
        <v>0</v>
      </c>
      <c r="K62" s="1355">
        <v>-30.33</v>
      </c>
      <c r="L62" s="1355">
        <v>0</v>
      </c>
      <c r="M62" s="1355">
        <v>0</v>
      </c>
      <c r="N62" s="1356">
        <v>-61.89</v>
      </c>
      <c r="O62" s="1348"/>
      <c r="P62" s="1349"/>
      <c r="Q62" s="1349"/>
      <c r="R62" s="1349"/>
      <c r="S62" s="1349"/>
      <c r="T62" s="1350"/>
      <c r="U62" s="1348"/>
      <c r="V62" s="1349"/>
      <c r="W62" s="1349"/>
      <c r="X62" s="1349"/>
      <c r="Y62" s="1349"/>
      <c r="Z62" s="1350"/>
      <c r="AA62" s="1348"/>
      <c r="AB62" s="1349"/>
      <c r="AC62" s="1349"/>
      <c r="AD62" s="1349"/>
      <c r="AE62" s="1349"/>
      <c r="AF62" s="1350"/>
      <c r="AG62" s="1354">
        <v>23500</v>
      </c>
      <c r="AH62" s="1355">
        <v>0</v>
      </c>
      <c r="AI62" s="1355">
        <v>0</v>
      </c>
      <c r="AJ62" s="1355">
        <v>0</v>
      </c>
      <c r="AK62" s="1355">
        <v>0</v>
      </c>
      <c r="AL62" s="1356">
        <v>23500</v>
      </c>
      <c r="AM62" s="1354">
        <v>224131.30929999999</v>
      </c>
      <c r="AN62" s="1355">
        <v>0</v>
      </c>
      <c r="AO62" s="1355">
        <v>211409.3107</v>
      </c>
      <c r="AP62" s="1356">
        <v>435540.62</v>
      </c>
    </row>
    <row r="63" spans="1:42" s="666" customFormat="1" ht="15" customHeight="1">
      <c r="A63" s="1333" t="s">
        <v>151</v>
      </c>
      <c r="B63" s="1334" t="s">
        <v>152</v>
      </c>
      <c r="C63" s="1148" t="s">
        <v>273</v>
      </c>
      <c r="D63" s="1291">
        <f t="shared" si="1"/>
        <v>48211.890899999999</v>
      </c>
      <c r="E63" s="1218">
        <f t="shared" si="2"/>
        <v>59149.969100000002</v>
      </c>
      <c r="F63" s="1218">
        <f t="shared" si="3"/>
        <v>0</v>
      </c>
      <c r="G63" s="1218">
        <f t="shared" si="4"/>
        <v>0</v>
      </c>
      <c r="H63" s="1219">
        <f t="shared" si="4"/>
        <v>0</v>
      </c>
      <c r="I63" s="1354">
        <v>-76.5</v>
      </c>
      <c r="J63" s="1355">
        <v>0</v>
      </c>
      <c r="K63" s="1355">
        <v>-73.5</v>
      </c>
      <c r="L63" s="1355">
        <v>0</v>
      </c>
      <c r="M63" s="1355">
        <v>0</v>
      </c>
      <c r="N63" s="1356">
        <v>-150</v>
      </c>
      <c r="O63" s="1348"/>
      <c r="P63" s="1349"/>
      <c r="Q63" s="1349"/>
      <c r="R63" s="1349"/>
      <c r="S63" s="1349"/>
      <c r="T63" s="1350"/>
      <c r="U63" s="1348"/>
      <c r="V63" s="1349"/>
      <c r="W63" s="1349"/>
      <c r="X63" s="1349"/>
      <c r="Y63" s="1349"/>
      <c r="Z63" s="1350"/>
      <c r="AA63" s="1348"/>
      <c r="AB63" s="1349"/>
      <c r="AC63" s="1349"/>
      <c r="AD63" s="1349"/>
      <c r="AE63" s="1349"/>
      <c r="AF63" s="1350"/>
      <c r="AG63" s="1348"/>
      <c r="AH63" s="1349"/>
      <c r="AI63" s="1349"/>
      <c r="AJ63" s="1349"/>
      <c r="AK63" s="1349"/>
      <c r="AL63" s="1350"/>
      <c r="AM63" s="1354">
        <v>48288.390899999999</v>
      </c>
      <c r="AN63" s="1355">
        <v>0</v>
      </c>
      <c r="AO63" s="1355">
        <v>59223.469100000002</v>
      </c>
      <c r="AP63" s="1356">
        <v>107511.86</v>
      </c>
    </row>
    <row r="64" spans="1:42" s="666" customFormat="1" ht="15" customHeight="1">
      <c r="A64" s="1333" t="s">
        <v>153</v>
      </c>
      <c r="B64" s="1334" t="s">
        <v>154</v>
      </c>
      <c r="C64" s="1148" t="s">
        <v>275</v>
      </c>
      <c r="D64" s="1291">
        <f t="shared" si="1"/>
        <v>631460.78189999994</v>
      </c>
      <c r="E64" s="1218">
        <f t="shared" si="2"/>
        <v>658432.38809999998</v>
      </c>
      <c r="F64" s="1218">
        <f t="shared" si="3"/>
        <v>0</v>
      </c>
      <c r="G64" s="1218">
        <f t="shared" si="4"/>
        <v>0</v>
      </c>
      <c r="H64" s="1219">
        <f t="shared" si="4"/>
        <v>0</v>
      </c>
      <c r="I64" s="1354">
        <v>-2415.56</v>
      </c>
      <c r="J64" s="1355">
        <v>0</v>
      </c>
      <c r="K64" s="1355">
        <v>-2320.83</v>
      </c>
      <c r="L64" s="1355">
        <v>0</v>
      </c>
      <c r="M64" s="1355">
        <v>0</v>
      </c>
      <c r="N64" s="1356">
        <v>-4736.3900000000003</v>
      </c>
      <c r="O64" s="1348"/>
      <c r="P64" s="1349"/>
      <c r="Q64" s="1349"/>
      <c r="R64" s="1349"/>
      <c r="S64" s="1349"/>
      <c r="T64" s="1350"/>
      <c r="U64" s="1354">
        <v>0</v>
      </c>
      <c r="V64" s="1355">
        <v>0</v>
      </c>
      <c r="W64" s="1355">
        <v>-122.9</v>
      </c>
      <c r="X64" s="1355">
        <v>0</v>
      </c>
      <c r="Y64" s="1355">
        <v>0</v>
      </c>
      <c r="Z64" s="1356">
        <v>-122.9</v>
      </c>
      <c r="AA64" s="1348"/>
      <c r="AB64" s="1349"/>
      <c r="AC64" s="1349"/>
      <c r="AD64" s="1349"/>
      <c r="AE64" s="1349"/>
      <c r="AF64" s="1350"/>
      <c r="AG64" s="1348"/>
      <c r="AH64" s="1349"/>
      <c r="AI64" s="1349"/>
      <c r="AJ64" s="1349"/>
      <c r="AK64" s="1349"/>
      <c r="AL64" s="1350"/>
      <c r="AM64" s="1354">
        <v>633876.3419</v>
      </c>
      <c r="AN64" s="1355">
        <v>0</v>
      </c>
      <c r="AO64" s="1355">
        <v>660876.11809999996</v>
      </c>
      <c r="AP64" s="1356">
        <v>1294752.46</v>
      </c>
    </row>
    <row r="65" spans="1:42" s="666" customFormat="1" ht="15" customHeight="1">
      <c r="A65" s="1333" t="s">
        <v>155</v>
      </c>
      <c r="B65" s="1334" t="s">
        <v>156</v>
      </c>
      <c r="C65" s="1148" t="s">
        <v>272</v>
      </c>
      <c r="D65" s="1291">
        <f t="shared" si="1"/>
        <v>50214.294900000001</v>
      </c>
      <c r="E65" s="1218">
        <f t="shared" si="2"/>
        <v>56715.205099999999</v>
      </c>
      <c r="F65" s="1218">
        <f t="shared" si="3"/>
        <v>0</v>
      </c>
      <c r="G65" s="1218">
        <f t="shared" si="4"/>
        <v>0</v>
      </c>
      <c r="H65" s="1219">
        <f t="shared" si="4"/>
        <v>0</v>
      </c>
      <c r="I65" s="1348"/>
      <c r="J65" s="1349"/>
      <c r="K65" s="1349"/>
      <c r="L65" s="1349"/>
      <c r="M65" s="1349"/>
      <c r="N65" s="1350"/>
      <c r="O65" s="1348"/>
      <c r="P65" s="1349"/>
      <c r="Q65" s="1349"/>
      <c r="R65" s="1349"/>
      <c r="S65" s="1349"/>
      <c r="T65" s="1350"/>
      <c r="U65" s="1348"/>
      <c r="V65" s="1349"/>
      <c r="W65" s="1349"/>
      <c r="X65" s="1349"/>
      <c r="Y65" s="1349"/>
      <c r="Z65" s="1350"/>
      <c r="AA65" s="1348"/>
      <c r="AB65" s="1349"/>
      <c r="AC65" s="1349"/>
      <c r="AD65" s="1349"/>
      <c r="AE65" s="1349"/>
      <c r="AF65" s="1350"/>
      <c r="AG65" s="1348"/>
      <c r="AH65" s="1349"/>
      <c r="AI65" s="1349"/>
      <c r="AJ65" s="1349"/>
      <c r="AK65" s="1349"/>
      <c r="AL65" s="1350"/>
      <c r="AM65" s="1354">
        <v>50214.294900000001</v>
      </c>
      <c r="AN65" s="1355">
        <v>0</v>
      </c>
      <c r="AO65" s="1355">
        <v>56715.205099999999</v>
      </c>
      <c r="AP65" s="1356">
        <v>106929.5</v>
      </c>
    </row>
    <row r="66" spans="1:42" s="666" customFormat="1" ht="15" customHeight="1">
      <c r="A66" s="1333" t="s">
        <v>157</v>
      </c>
      <c r="B66" s="1334" t="s">
        <v>158</v>
      </c>
      <c r="C66" s="1148" t="s">
        <v>273</v>
      </c>
      <c r="D66" s="1291">
        <f t="shared" si="1"/>
        <v>76662.207699999999</v>
      </c>
      <c r="E66" s="1218">
        <f t="shared" si="2"/>
        <v>88918.192299999995</v>
      </c>
      <c r="F66" s="1218">
        <f t="shared" si="3"/>
        <v>0</v>
      </c>
      <c r="G66" s="1218">
        <f t="shared" si="4"/>
        <v>0</v>
      </c>
      <c r="H66" s="1219">
        <f t="shared" si="4"/>
        <v>0</v>
      </c>
      <c r="I66" s="1348"/>
      <c r="J66" s="1349"/>
      <c r="K66" s="1349"/>
      <c r="L66" s="1349"/>
      <c r="M66" s="1349"/>
      <c r="N66" s="1350"/>
      <c r="O66" s="1348"/>
      <c r="P66" s="1349"/>
      <c r="Q66" s="1349"/>
      <c r="R66" s="1349"/>
      <c r="S66" s="1349"/>
      <c r="T66" s="1350"/>
      <c r="U66" s="1348"/>
      <c r="V66" s="1349"/>
      <c r="W66" s="1349"/>
      <c r="X66" s="1349"/>
      <c r="Y66" s="1349"/>
      <c r="Z66" s="1350"/>
      <c r="AA66" s="1348"/>
      <c r="AB66" s="1349"/>
      <c r="AC66" s="1349"/>
      <c r="AD66" s="1349"/>
      <c r="AE66" s="1349"/>
      <c r="AF66" s="1350"/>
      <c r="AG66" s="1348"/>
      <c r="AH66" s="1349"/>
      <c r="AI66" s="1349"/>
      <c r="AJ66" s="1349"/>
      <c r="AK66" s="1349"/>
      <c r="AL66" s="1350"/>
      <c r="AM66" s="1354">
        <v>76662.207699999999</v>
      </c>
      <c r="AN66" s="1355">
        <v>0</v>
      </c>
      <c r="AO66" s="1355">
        <v>88918.192299999995</v>
      </c>
      <c r="AP66" s="1356">
        <v>165580.4</v>
      </c>
    </row>
    <row r="67" spans="1:42" s="666" customFormat="1" ht="15" customHeight="1">
      <c r="A67" s="1333" t="s">
        <v>163</v>
      </c>
      <c r="B67" s="1334" t="s">
        <v>164</v>
      </c>
      <c r="C67" s="1148" t="s">
        <v>271</v>
      </c>
      <c r="D67" s="1291">
        <f t="shared" si="1"/>
        <v>151673.5508</v>
      </c>
      <c r="E67" s="1218">
        <f t="shared" si="2"/>
        <v>152773.24919999999</v>
      </c>
      <c r="F67" s="1218">
        <f t="shared" si="3"/>
        <v>0</v>
      </c>
      <c r="G67" s="1218">
        <f t="shared" si="4"/>
        <v>0</v>
      </c>
      <c r="H67" s="1219">
        <f t="shared" si="4"/>
        <v>0</v>
      </c>
      <c r="I67" s="1348"/>
      <c r="J67" s="1349"/>
      <c r="K67" s="1349"/>
      <c r="L67" s="1349"/>
      <c r="M67" s="1349"/>
      <c r="N67" s="1350"/>
      <c r="O67" s="1348"/>
      <c r="P67" s="1349"/>
      <c r="Q67" s="1349"/>
      <c r="R67" s="1349"/>
      <c r="S67" s="1349"/>
      <c r="T67" s="1350"/>
      <c r="U67" s="1348"/>
      <c r="V67" s="1349"/>
      <c r="W67" s="1349"/>
      <c r="X67" s="1349"/>
      <c r="Y67" s="1349"/>
      <c r="Z67" s="1350"/>
      <c r="AA67" s="1348"/>
      <c r="AB67" s="1349"/>
      <c r="AC67" s="1349"/>
      <c r="AD67" s="1349"/>
      <c r="AE67" s="1349"/>
      <c r="AF67" s="1350"/>
      <c r="AG67" s="1348"/>
      <c r="AH67" s="1349"/>
      <c r="AI67" s="1349"/>
      <c r="AJ67" s="1349"/>
      <c r="AK67" s="1349"/>
      <c r="AL67" s="1350"/>
      <c r="AM67" s="1354">
        <v>151673.5508</v>
      </c>
      <c r="AN67" s="1355">
        <v>0</v>
      </c>
      <c r="AO67" s="1355">
        <v>152773.24919999999</v>
      </c>
      <c r="AP67" s="1356">
        <v>304446.8</v>
      </c>
    </row>
    <row r="68" spans="1:42" s="666" customFormat="1" ht="15" customHeight="1">
      <c r="A68" s="1333" t="s">
        <v>165</v>
      </c>
      <c r="B68" s="1334" t="s">
        <v>166</v>
      </c>
      <c r="C68" s="1148" t="s">
        <v>273</v>
      </c>
      <c r="D68" s="1291">
        <f t="shared" si="1"/>
        <v>39246.0265</v>
      </c>
      <c r="E68" s="1218">
        <f t="shared" si="2"/>
        <v>33226.273500000003</v>
      </c>
      <c r="F68" s="1218">
        <f t="shared" si="3"/>
        <v>0</v>
      </c>
      <c r="G68" s="1218">
        <f t="shared" si="4"/>
        <v>0</v>
      </c>
      <c r="H68" s="1219">
        <f t="shared" si="4"/>
        <v>0</v>
      </c>
      <c r="I68" s="1354">
        <v>-556.85</v>
      </c>
      <c r="J68" s="1355">
        <v>0</v>
      </c>
      <c r="K68" s="1355">
        <v>-535</v>
      </c>
      <c r="L68" s="1355">
        <v>0</v>
      </c>
      <c r="M68" s="1355">
        <v>0</v>
      </c>
      <c r="N68" s="1356">
        <v>-1091.8499999999999</v>
      </c>
      <c r="O68" s="1348"/>
      <c r="P68" s="1349"/>
      <c r="Q68" s="1349"/>
      <c r="R68" s="1349"/>
      <c r="S68" s="1349"/>
      <c r="T68" s="1350"/>
      <c r="U68" s="1348"/>
      <c r="V68" s="1349"/>
      <c r="W68" s="1349"/>
      <c r="X68" s="1349"/>
      <c r="Y68" s="1349"/>
      <c r="Z68" s="1350"/>
      <c r="AA68" s="1348"/>
      <c r="AB68" s="1349"/>
      <c r="AC68" s="1349"/>
      <c r="AD68" s="1349"/>
      <c r="AE68" s="1349"/>
      <c r="AF68" s="1350"/>
      <c r="AG68" s="1348"/>
      <c r="AH68" s="1349"/>
      <c r="AI68" s="1349"/>
      <c r="AJ68" s="1349"/>
      <c r="AK68" s="1349"/>
      <c r="AL68" s="1350"/>
      <c r="AM68" s="1354">
        <v>39802.876499999998</v>
      </c>
      <c r="AN68" s="1355">
        <v>0</v>
      </c>
      <c r="AO68" s="1355">
        <v>33761.273500000003</v>
      </c>
      <c r="AP68" s="1356">
        <v>73564.149999999994</v>
      </c>
    </row>
    <row r="69" spans="1:42" s="666" customFormat="1" ht="15" customHeight="1">
      <c r="A69" s="1333" t="s">
        <v>169</v>
      </c>
      <c r="B69" s="1334" t="s">
        <v>170</v>
      </c>
      <c r="C69" s="1148" t="s">
        <v>273</v>
      </c>
      <c r="D69" s="1291">
        <f t="shared" si="1"/>
        <v>200026.70860000001</v>
      </c>
      <c r="E69" s="1218">
        <f t="shared" si="2"/>
        <v>202174.4914</v>
      </c>
      <c r="F69" s="1218">
        <f t="shared" si="3"/>
        <v>0</v>
      </c>
      <c r="G69" s="1218">
        <f t="shared" si="4"/>
        <v>0</v>
      </c>
      <c r="H69" s="1219">
        <f t="shared" si="4"/>
        <v>0</v>
      </c>
      <c r="I69" s="1348"/>
      <c r="J69" s="1349"/>
      <c r="K69" s="1349"/>
      <c r="L69" s="1349"/>
      <c r="M69" s="1349"/>
      <c r="N69" s="1350"/>
      <c r="O69" s="1348"/>
      <c r="P69" s="1349"/>
      <c r="Q69" s="1349"/>
      <c r="R69" s="1349"/>
      <c r="S69" s="1349"/>
      <c r="T69" s="1350"/>
      <c r="U69" s="1348"/>
      <c r="V69" s="1349"/>
      <c r="W69" s="1349"/>
      <c r="X69" s="1349"/>
      <c r="Y69" s="1349"/>
      <c r="Z69" s="1350"/>
      <c r="AA69" s="1348"/>
      <c r="AB69" s="1349"/>
      <c r="AC69" s="1349"/>
      <c r="AD69" s="1349"/>
      <c r="AE69" s="1349"/>
      <c r="AF69" s="1350"/>
      <c r="AG69" s="1348"/>
      <c r="AH69" s="1349"/>
      <c r="AI69" s="1349"/>
      <c r="AJ69" s="1349"/>
      <c r="AK69" s="1349"/>
      <c r="AL69" s="1350"/>
      <c r="AM69" s="1354">
        <v>200026.70860000001</v>
      </c>
      <c r="AN69" s="1355">
        <v>0</v>
      </c>
      <c r="AO69" s="1355">
        <v>202174.4914</v>
      </c>
      <c r="AP69" s="1356">
        <v>402201.2</v>
      </c>
    </row>
    <row r="70" spans="1:42" s="666" customFormat="1" ht="15" customHeight="1">
      <c r="A70" s="1333" t="s">
        <v>171</v>
      </c>
      <c r="B70" s="1334" t="s">
        <v>172</v>
      </c>
      <c r="C70" s="1148" t="s">
        <v>274</v>
      </c>
      <c r="D70" s="1291">
        <f t="shared" ref="D70:D124" si="5">+I70+J70+O70+P70+U70+V70+AA70+AB70+AG70+AH70+AM70+AN70</f>
        <v>144731.05180000002</v>
      </c>
      <c r="E70" s="1218">
        <f t="shared" ref="E70:E124" si="6">+K70+Q70+W70+AC70+AI70+AO70</f>
        <v>156436.38820000002</v>
      </c>
      <c r="F70" s="1218">
        <f t="shared" ref="F70:F124" si="7">+G70+H70</f>
        <v>0</v>
      </c>
      <c r="G70" s="1218">
        <f t="shared" ref="G70:H124" si="8">+L70+R70+X70+AD70+AJ70</f>
        <v>0</v>
      </c>
      <c r="H70" s="1219">
        <f t="shared" si="8"/>
        <v>0</v>
      </c>
      <c r="I70" s="1354">
        <v>-179.02</v>
      </c>
      <c r="J70" s="1355">
        <v>0</v>
      </c>
      <c r="K70" s="1355">
        <v>-171.99</v>
      </c>
      <c r="L70" s="1355">
        <v>0</v>
      </c>
      <c r="M70" s="1355">
        <v>0</v>
      </c>
      <c r="N70" s="1356">
        <v>-351.01</v>
      </c>
      <c r="O70" s="1348"/>
      <c r="P70" s="1349"/>
      <c r="Q70" s="1349"/>
      <c r="R70" s="1349"/>
      <c r="S70" s="1349"/>
      <c r="T70" s="1350"/>
      <c r="U70" s="1354">
        <v>0</v>
      </c>
      <c r="V70" s="1355">
        <v>0</v>
      </c>
      <c r="W70" s="1355">
        <v>-10</v>
      </c>
      <c r="X70" s="1355">
        <v>0</v>
      </c>
      <c r="Y70" s="1355">
        <v>0</v>
      </c>
      <c r="Z70" s="1356">
        <v>-10</v>
      </c>
      <c r="AA70" s="1348"/>
      <c r="AB70" s="1349"/>
      <c r="AC70" s="1349"/>
      <c r="AD70" s="1349"/>
      <c r="AE70" s="1349"/>
      <c r="AF70" s="1350"/>
      <c r="AG70" s="1348"/>
      <c r="AH70" s="1349"/>
      <c r="AI70" s="1349"/>
      <c r="AJ70" s="1349"/>
      <c r="AK70" s="1349"/>
      <c r="AL70" s="1350"/>
      <c r="AM70" s="1354">
        <v>144910.07180000001</v>
      </c>
      <c r="AN70" s="1355">
        <v>0</v>
      </c>
      <c r="AO70" s="1355">
        <v>156618.37820000001</v>
      </c>
      <c r="AP70" s="1356">
        <v>301528.45</v>
      </c>
    </row>
    <row r="71" spans="1:42" s="666" customFormat="1" ht="15" customHeight="1">
      <c r="A71" s="1333" t="s">
        <v>173</v>
      </c>
      <c r="B71" s="1334" t="s">
        <v>174</v>
      </c>
      <c r="C71" s="1148" t="s">
        <v>274</v>
      </c>
      <c r="D71" s="1291">
        <f t="shared" si="5"/>
        <v>107884.67390000001</v>
      </c>
      <c r="E71" s="1218">
        <f t="shared" si="6"/>
        <v>114201.76609999999</v>
      </c>
      <c r="F71" s="1218">
        <f t="shared" si="7"/>
        <v>0</v>
      </c>
      <c r="G71" s="1218">
        <f t="shared" si="8"/>
        <v>0</v>
      </c>
      <c r="H71" s="1219">
        <f t="shared" si="8"/>
        <v>0</v>
      </c>
      <c r="I71" s="1348"/>
      <c r="J71" s="1349"/>
      <c r="K71" s="1349"/>
      <c r="L71" s="1349"/>
      <c r="M71" s="1349"/>
      <c r="N71" s="1350"/>
      <c r="O71" s="1354">
        <v>255</v>
      </c>
      <c r="P71" s="1355">
        <v>0</v>
      </c>
      <c r="Q71" s="1355">
        <v>245</v>
      </c>
      <c r="R71" s="1355">
        <v>0</v>
      </c>
      <c r="S71" s="1355">
        <v>0</v>
      </c>
      <c r="T71" s="1356">
        <v>500</v>
      </c>
      <c r="U71" s="1348"/>
      <c r="V71" s="1349"/>
      <c r="W71" s="1349"/>
      <c r="X71" s="1349"/>
      <c r="Y71" s="1349"/>
      <c r="Z71" s="1350"/>
      <c r="AA71" s="1348"/>
      <c r="AB71" s="1349"/>
      <c r="AC71" s="1349"/>
      <c r="AD71" s="1349"/>
      <c r="AE71" s="1349"/>
      <c r="AF71" s="1350"/>
      <c r="AG71" s="1354">
        <v>19567.939999999999</v>
      </c>
      <c r="AH71" s="1355">
        <v>0</v>
      </c>
      <c r="AI71" s="1355">
        <v>0</v>
      </c>
      <c r="AJ71" s="1355">
        <v>0</v>
      </c>
      <c r="AK71" s="1355">
        <v>0</v>
      </c>
      <c r="AL71" s="1356">
        <v>19567.939999999999</v>
      </c>
      <c r="AM71" s="1354">
        <v>88061.733900000007</v>
      </c>
      <c r="AN71" s="1355">
        <v>0</v>
      </c>
      <c r="AO71" s="1355">
        <v>113956.76609999999</v>
      </c>
      <c r="AP71" s="1356">
        <v>202018.5</v>
      </c>
    </row>
    <row r="72" spans="1:42" s="666" customFormat="1" ht="15" customHeight="1">
      <c r="A72" s="1333" t="s">
        <v>175</v>
      </c>
      <c r="B72" s="1334" t="s">
        <v>176</v>
      </c>
      <c r="C72" s="1148" t="s">
        <v>275</v>
      </c>
      <c r="D72" s="1291">
        <f t="shared" si="5"/>
        <v>147197.34279999998</v>
      </c>
      <c r="E72" s="1218">
        <f t="shared" si="6"/>
        <v>198753.84720000002</v>
      </c>
      <c r="F72" s="1218">
        <f t="shared" si="7"/>
        <v>0</v>
      </c>
      <c r="G72" s="1218">
        <f t="shared" si="8"/>
        <v>0</v>
      </c>
      <c r="H72" s="1219">
        <f t="shared" si="8"/>
        <v>0</v>
      </c>
      <c r="I72" s="1354">
        <v>-1324.98</v>
      </c>
      <c r="J72" s="1355">
        <v>0</v>
      </c>
      <c r="K72" s="1355">
        <v>-1273.02</v>
      </c>
      <c r="L72" s="1355">
        <v>0</v>
      </c>
      <c r="M72" s="1355">
        <v>0</v>
      </c>
      <c r="N72" s="1356">
        <v>-2598</v>
      </c>
      <c r="O72" s="1348"/>
      <c r="P72" s="1349"/>
      <c r="Q72" s="1349"/>
      <c r="R72" s="1349"/>
      <c r="S72" s="1349"/>
      <c r="T72" s="1350"/>
      <c r="U72" s="1348"/>
      <c r="V72" s="1349"/>
      <c r="W72" s="1349"/>
      <c r="X72" s="1349"/>
      <c r="Y72" s="1349"/>
      <c r="Z72" s="1350"/>
      <c r="AA72" s="1348"/>
      <c r="AB72" s="1349"/>
      <c r="AC72" s="1349"/>
      <c r="AD72" s="1349"/>
      <c r="AE72" s="1349"/>
      <c r="AF72" s="1350"/>
      <c r="AG72" s="1348"/>
      <c r="AH72" s="1349"/>
      <c r="AI72" s="1349"/>
      <c r="AJ72" s="1349"/>
      <c r="AK72" s="1349"/>
      <c r="AL72" s="1350"/>
      <c r="AM72" s="1354">
        <v>148522.32279999999</v>
      </c>
      <c r="AN72" s="1355">
        <v>0</v>
      </c>
      <c r="AO72" s="1355">
        <v>200026.86720000001</v>
      </c>
      <c r="AP72" s="1356">
        <v>348549.19</v>
      </c>
    </row>
    <row r="73" spans="1:42" s="666" customFormat="1" ht="15" customHeight="1">
      <c r="A73" s="1333" t="s">
        <v>179</v>
      </c>
      <c r="B73" s="1334" t="s">
        <v>180</v>
      </c>
      <c r="C73" s="1148" t="s">
        <v>272</v>
      </c>
      <c r="D73" s="1291">
        <f t="shared" si="5"/>
        <v>308269.1263</v>
      </c>
      <c r="E73" s="1218">
        <f t="shared" si="6"/>
        <v>307009.27370000002</v>
      </c>
      <c r="F73" s="1218">
        <f t="shared" si="7"/>
        <v>0</v>
      </c>
      <c r="G73" s="1218">
        <f t="shared" si="8"/>
        <v>0</v>
      </c>
      <c r="H73" s="1219">
        <f t="shared" si="8"/>
        <v>0</v>
      </c>
      <c r="I73" s="1354">
        <v>-2309.38</v>
      </c>
      <c r="J73" s="1355">
        <v>0</v>
      </c>
      <c r="K73" s="1355">
        <v>-2218.8200000000002</v>
      </c>
      <c r="L73" s="1355">
        <v>0</v>
      </c>
      <c r="M73" s="1355">
        <v>0</v>
      </c>
      <c r="N73" s="1356">
        <v>-4528.2</v>
      </c>
      <c r="O73" s="1348"/>
      <c r="P73" s="1349"/>
      <c r="Q73" s="1349"/>
      <c r="R73" s="1349"/>
      <c r="S73" s="1349"/>
      <c r="T73" s="1350"/>
      <c r="U73" s="1348"/>
      <c r="V73" s="1349"/>
      <c r="W73" s="1349"/>
      <c r="X73" s="1349"/>
      <c r="Y73" s="1349"/>
      <c r="Z73" s="1350"/>
      <c r="AA73" s="1348"/>
      <c r="AB73" s="1349"/>
      <c r="AC73" s="1349"/>
      <c r="AD73" s="1349"/>
      <c r="AE73" s="1349"/>
      <c r="AF73" s="1350"/>
      <c r="AG73" s="1348"/>
      <c r="AH73" s="1349"/>
      <c r="AI73" s="1349"/>
      <c r="AJ73" s="1349"/>
      <c r="AK73" s="1349"/>
      <c r="AL73" s="1350"/>
      <c r="AM73" s="1354">
        <v>310578.50630000001</v>
      </c>
      <c r="AN73" s="1355">
        <v>0</v>
      </c>
      <c r="AO73" s="1355">
        <v>309228.09370000003</v>
      </c>
      <c r="AP73" s="1356">
        <v>619806.6</v>
      </c>
    </row>
    <row r="74" spans="1:42" s="666" customFormat="1" ht="15" customHeight="1">
      <c r="A74" s="1333" t="s">
        <v>183</v>
      </c>
      <c r="B74" s="1334" t="s">
        <v>184</v>
      </c>
      <c r="C74" s="1148" t="s">
        <v>273</v>
      </c>
      <c r="D74" s="1291">
        <f t="shared" si="5"/>
        <v>71669.6345</v>
      </c>
      <c r="E74" s="1218">
        <f t="shared" si="6"/>
        <v>75136.9755</v>
      </c>
      <c r="F74" s="1218">
        <f t="shared" si="7"/>
        <v>0</v>
      </c>
      <c r="G74" s="1218">
        <f t="shared" si="8"/>
        <v>0</v>
      </c>
      <c r="H74" s="1219">
        <f t="shared" si="8"/>
        <v>0</v>
      </c>
      <c r="I74" s="1348"/>
      <c r="J74" s="1349"/>
      <c r="K74" s="1349"/>
      <c r="L74" s="1349"/>
      <c r="M74" s="1349"/>
      <c r="N74" s="1350"/>
      <c r="O74" s="1348"/>
      <c r="P74" s="1349"/>
      <c r="Q74" s="1349"/>
      <c r="R74" s="1349"/>
      <c r="S74" s="1349"/>
      <c r="T74" s="1350"/>
      <c r="U74" s="1348"/>
      <c r="V74" s="1349"/>
      <c r="W74" s="1349"/>
      <c r="X74" s="1349"/>
      <c r="Y74" s="1349"/>
      <c r="Z74" s="1350"/>
      <c r="AA74" s="1348"/>
      <c r="AB74" s="1349"/>
      <c r="AC74" s="1349"/>
      <c r="AD74" s="1349"/>
      <c r="AE74" s="1349"/>
      <c r="AF74" s="1350"/>
      <c r="AG74" s="1348"/>
      <c r="AH74" s="1349"/>
      <c r="AI74" s="1349"/>
      <c r="AJ74" s="1349"/>
      <c r="AK74" s="1349"/>
      <c r="AL74" s="1350"/>
      <c r="AM74" s="1354">
        <v>71669.6345</v>
      </c>
      <c r="AN74" s="1355">
        <v>0</v>
      </c>
      <c r="AO74" s="1355">
        <v>75136.9755</v>
      </c>
      <c r="AP74" s="1356">
        <v>146806.60999999999</v>
      </c>
    </row>
    <row r="75" spans="1:42" s="666" customFormat="1" ht="15" customHeight="1">
      <c r="A75" s="1333" t="s">
        <v>185</v>
      </c>
      <c r="B75" s="1334" t="s">
        <v>186</v>
      </c>
      <c r="C75" s="1148" t="s">
        <v>273</v>
      </c>
      <c r="D75" s="1291">
        <f t="shared" si="5"/>
        <v>183015.93369999999</v>
      </c>
      <c r="E75" s="1218">
        <f t="shared" si="6"/>
        <v>194019.26630000002</v>
      </c>
      <c r="F75" s="1218">
        <f t="shared" si="7"/>
        <v>0</v>
      </c>
      <c r="G75" s="1218">
        <f t="shared" si="8"/>
        <v>0</v>
      </c>
      <c r="H75" s="1219">
        <f t="shared" si="8"/>
        <v>0</v>
      </c>
      <c r="I75" s="1354">
        <v>-147.9</v>
      </c>
      <c r="J75" s="1355">
        <v>0</v>
      </c>
      <c r="K75" s="1355">
        <v>-142.1</v>
      </c>
      <c r="L75" s="1355">
        <v>0</v>
      </c>
      <c r="M75" s="1355">
        <v>0</v>
      </c>
      <c r="N75" s="1356">
        <v>-290</v>
      </c>
      <c r="O75" s="1348"/>
      <c r="P75" s="1349"/>
      <c r="Q75" s="1349"/>
      <c r="R75" s="1349"/>
      <c r="S75" s="1349"/>
      <c r="T75" s="1350"/>
      <c r="U75" s="1354">
        <v>0</v>
      </c>
      <c r="V75" s="1355">
        <v>0</v>
      </c>
      <c r="W75" s="1355">
        <v>529.79999999999995</v>
      </c>
      <c r="X75" s="1355">
        <v>0</v>
      </c>
      <c r="Y75" s="1355">
        <v>0</v>
      </c>
      <c r="Z75" s="1356">
        <v>529.79999999999995</v>
      </c>
      <c r="AA75" s="1348"/>
      <c r="AB75" s="1349"/>
      <c r="AC75" s="1349"/>
      <c r="AD75" s="1349"/>
      <c r="AE75" s="1349"/>
      <c r="AF75" s="1350"/>
      <c r="AG75" s="1348"/>
      <c r="AH75" s="1349"/>
      <c r="AI75" s="1349"/>
      <c r="AJ75" s="1349"/>
      <c r="AK75" s="1349"/>
      <c r="AL75" s="1350"/>
      <c r="AM75" s="1354">
        <v>183163.83369999999</v>
      </c>
      <c r="AN75" s="1355">
        <v>0</v>
      </c>
      <c r="AO75" s="1355">
        <v>193631.56630000001</v>
      </c>
      <c r="AP75" s="1356">
        <v>376795.4</v>
      </c>
    </row>
    <row r="76" spans="1:42" s="666" customFormat="1" ht="15" customHeight="1">
      <c r="A76" s="1333" t="s">
        <v>187</v>
      </c>
      <c r="B76" s="1334" t="s">
        <v>188</v>
      </c>
      <c r="C76" s="1148" t="s">
        <v>271</v>
      </c>
      <c r="D76" s="1291">
        <f t="shared" si="5"/>
        <v>102638.1018</v>
      </c>
      <c r="E76" s="1218">
        <f t="shared" si="6"/>
        <v>104460.8982</v>
      </c>
      <c r="F76" s="1218">
        <f t="shared" si="7"/>
        <v>0</v>
      </c>
      <c r="G76" s="1218">
        <f t="shared" si="8"/>
        <v>0</v>
      </c>
      <c r="H76" s="1219">
        <f t="shared" si="8"/>
        <v>0</v>
      </c>
      <c r="I76" s="1354">
        <v>-1008.78</v>
      </c>
      <c r="J76" s="1355">
        <v>0</v>
      </c>
      <c r="K76" s="1355">
        <v>-969.22</v>
      </c>
      <c r="L76" s="1355">
        <v>0</v>
      </c>
      <c r="M76" s="1355">
        <v>0</v>
      </c>
      <c r="N76" s="1356">
        <v>-1978</v>
      </c>
      <c r="O76" s="1348"/>
      <c r="P76" s="1349"/>
      <c r="Q76" s="1349"/>
      <c r="R76" s="1349"/>
      <c r="S76" s="1349"/>
      <c r="T76" s="1350"/>
      <c r="U76" s="1348"/>
      <c r="V76" s="1349"/>
      <c r="W76" s="1349"/>
      <c r="X76" s="1349"/>
      <c r="Y76" s="1349"/>
      <c r="Z76" s="1350"/>
      <c r="AA76" s="1348"/>
      <c r="AB76" s="1349"/>
      <c r="AC76" s="1349"/>
      <c r="AD76" s="1349"/>
      <c r="AE76" s="1349"/>
      <c r="AF76" s="1350"/>
      <c r="AG76" s="1348"/>
      <c r="AH76" s="1349"/>
      <c r="AI76" s="1349"/>
      <c r="AJ76" s="1349"/>
      <c r="AK76" s="1349"/>
      <c r="AL76" s="1350"/>
      <c r="AM76" s="1354">
        <v>103646.8818</v>
      </c>
      <c r="AN76" s="1355">
        <v>0</v>
      </c>
      <c r="AO76" s="1355">
        <v>105430.1182</v>
      </c>
      <c r="AP76" s="1356">
        <v>209077</v>
      </c>
    </row>
    <row r="77" spans="1:42" s="666" customFormat="1" ht="15" customHeight="1">
      <c r="A77" s="1333" t="s">
        <v>189</v>
      </c>
      <c r="B77" s="1334" t="s">
        <v>190</v>
      </c>
      <c r="C77" s="1148" t="s">
        <v>274</v>
      </c>
      <c r="D77" s="1291">
        <f t="shared" si="5"/>
        <v>2397269.1331000002</v>
      </c>
      <c r="E77" s="1218">
        <f t="shared" si="6"/>
        <v>2547743.2269000001</v>
      </c>
      <c r="F77" s="1218">
        <f t="shared" si="7"/>
        <v>0.01</v>
      </c>
      <c r="G77" s="1218">
        <f t="shared" si="8"/>
        <v>0</v>
      </c>
      <c r="H77" s="1219">
        <f t="shared" si="8"/>
        <v>0.01</v>
      </c>
      <c r="I77" s="1354">
        <v>-13301.77</v>
      </c>
      <c r="J77" s="1355">
        <v>0</v>
      </c>
      <c r="K77" s="1355">
        <v>-12780.1</v>
      </c>
      <c r="L77" s="1355">
        <v>0</v>
      </c>
      <c r="M77" s="1355">
        <v>0.01</v>
      </c>
      <c r="N77" s="1356">
        <v>-26081.86</v>
      </c>
      <c r="O77" s="1354">
        <v>609.79</v>
      </c>
      <c r="P77" s="1355">
        <v>0</v>
      </c>
      <c r="Q77" s="1355">
        <v>585.87</v>
      </c>
      <c r="R77" s="1355">
        <v>0</v>
      </c>
      <c r="S77" s="1355">
        <v>0</v>
      </c>
      <c r="T77" s="1356">
        <v>1195.6600000000001</v>
      </c>
      <c r="U77" s="1348"/>
      <c r="V77" s="1349"/>
      <c r="W77" s="1349"/>
      <c r="X77" s="1349"/>
      <c r="Y77" s="1349"/>
      <c r="Z77" s="1350"/>
      <c r="AA77" s="1348"/>
      <c r="AB77" s="1349"/>
      <c r="AC77" s="1349"/>
      <c r="AD77" s="1349"/>
      <c r="AE77" s="1349"/>
      <c r="AF77" s="1350"/>
      <c r="AG77" s="1348"/>
      <c r="AH77" s="1349"/>
      <c r="AI77" s="1349"/>
      <c r="AJ77" s="1349"/>
      <c r="AK77" s="1349"/>
      <c r="AL77" s="1350"/>
      <c r="AM77" s="1354">
        <v>2409961.1131000002</v>
      </c>
      <c r="AN77" s="1355">
        <v>0</v>
      </c>
      <c r="AO77" s="1355">
        <v>2559937.4569000001</v>
      </c>
      <c r="AP77" s="1356">
        <v>4969898.57</v>
      </c>
    </row>
    <row r="78" spans="1:42" s="666" customFormat="1" ht="15" customHeight="1">
      <c r="A78" s="1333" t="s">
        <v>191</v>
      </c>
      <c r="B78" s="1334" t="s">
        <v>192</v>
      </c>
      <c r="C78" s="1148" t="s">
        <v>275</v>
      </c>
      <c r="D78" s="1291">
        <f t="shared" si="5"/>
        <v>340207.07659999997</v>
      </c>
      <c r="E78" s="1218">
        <f t="shared" si="6"/>
        <v>260460.44340000002</v>
      </c>
      <c r="F78" s="1218">
        <f t="shared" si="7"/>
        <v>0</v>
      </c>
      <c r="G78" s="1218">
        <f t="shared" si="8"/>
        <v>0</v>
      </c>
      <c r="H78" s="1219">
        <f t="shared" si="8"/>
        <v>0</v>
      </c>
      <c r="I78" s="1354">
        <v>-194.82</v>
      </c>
      <c r="J78" s="1355">
        <v>0</v>
      </c>
      <c r="K78" s="1355">
        <v>-187.18</v>
      </c>
      <c r="L78" s="1355">
        <v>0</v>
      </c>
      <c r="M78" s="1355">
        <v>0</v>
      </c>
      <c r="N78" s="1356">
        <v>-382</v>
      </c>
      <c r="O78" s="1348"/>
      <c r="P78" s="1349"/>
      <c r="Q78" s="1349"/>
      <c r="R78" s="1349"/>
      <c r="S78" s="1349"/>
      <c r="T78" s="1350"/>
      <c r="U78" s="1348"/>
      <c r="V78" s="1349"/>
      <c r="W78" s="1349"/>
      <c r="X78" s="1349"/>
      <c r="Y78" s="1349"/>
      <c r="Z78" s="1350"/>
      <c r="AA78" s="1348"/>
      <c r="AB78" s="1349"/>
      <c r="AC78" s="1349"/>
      <c r="AD78" s="1349"/>
      <c r="AE78" s="1349"/>
      <c r="AF78" s="1350"/>
      <c r="AG78" s="1354">
        <v>95820.2</v>
      </c>
      <c r="AH78" s="1355">
        <v>0</v>
      </c>
      <c r="AI78" s="1355">
        <v>0</v>
      </c>
      <c r="AJ78" s="1355">
        <v>0</v>
      </c>
      <c r="AK78" s="1355">
        <v>0</v>
      </c>
      <c r="AL78" s="1356">
        <v>95820.2</v>
      </c>
      <c r="AM78" s="1354">
        <v>244581.6966</v>
      </c>
      <c r="AN78" s="1355">
        <v>0</v>
      </c>
      <c r="AO78" s="1355">
        <v>260647.62340000001</v>
      </c>
      <c r="AP78" s="1356">
        <v>505229.32</v>
      </c>
    </row>
    <row r="79" spans="1:42" s="666" customFormat="1" ht="15" customHeight="1">
      <c r="A79" s="1333" t="s">
        <v>195</v>
      </c>
      <c r="B79" s="1334" t="s">
        <v>196</v>
      </c>
      <c r="C79" s="1148" t="s">
        <v>274</v>
      </c>
      <c r="D79" s="1291">
        <f t="shared" si="5"/>
        <v>11753.159</v>
      </c>
      <c r="E79" s="1218">
        <f t="shared" si="6"/>
        <v>9939.6409999999996</v>
      </c>
      <c r="F79" s="1218">
        <f t="shared" si="7"/>
        <v>0</v>
      </c>
      <c r="G79" s="1218">
        <f t="shared" si="8"/>
        <v>0</v>
      </c>
      <c r="H79" s="1219">
        <f t="shared" si="8"/>
        <v>0</v>
      </c>
      <c r="I79" s="1348"/>
      <c r="J79" s="1349"/>
      <c r="K79" s="1349"/>
      <c r="L79" s="1349"/>
      <c r="M79" s="1349"/>
      <c r="N79" s="1350"/>
      <c r="O79" s="1348"/>
      <c r="P79" s="1349"/>
      <c r="Q79" s="1349"/>
      <c r="R79" s="1349"/>
      <c r="S79" s="1349"/>
      <c r="T79" s="1350"/>
      <c r="U79" s="1348"/>
      <c r="V79" s="1349"/>
      <c r="W79" s="1349"/>
      <c r="X79" s="1349"/>
      <c r="Y79" s="1349"/>
      <c r="Z79" s="1350"/>
      <c r="AA79" s="1348"/>
      <c r="AB79" s="1349"/>
      <c r="AC79" s="1349"/>
      <c r="AD79" s="1349"/>
      <c r="AE79" s="1349"/>
      <c r="AF79" s="1350"/>
      <c r="AG79" s="1348"/>
      <c r="AH79" s="1349"/>
      <c r="AI79" s="1349"/>
      <c r="AJ79" s="1349"/>
      <c r="AK79" s="1349"/>
      <c r="AL79" s="1350"/>
      <c r="AM79" s="1354">
        <v>11753.159</v>
      </c>
      <c r="AN79" s="1355">
        <v>0</v>
      </c>
      <c r="AO79" s="1355">
        <v>9939.6409999999996</v>
      </c>
      <c r="AP79" s="1356">
        <v>21692.799999999999</v>
      </c>
    </row>
    <row r="80" spans="1:42" s="666" customFormat="1" ht="15" customHeight="1">
      <c r="A80" s="1333" t="s">
        <v>199</v>
      </c>
      <c r="B80" s="1334" t="s">
        <v>200</v>
      </c>
      <c r="C80" s="1148" t="s">
        <v>273</v>
      </c>
      <c r="D80" s="1291">
        <f t="shared" si="5"/>
        <v>43715.133000000002</v>
      </c>
      <c r="E80" s="1218">
        <f t="shared" si="6"/>
        <v>41313.866999999998</v>
      </c>
      <c r="F80" s="1218">
        <f t="shared" si="7"/>
        <v>0</v>
      </c>
      <c r="G80" s="1218">
        <f t="shared" si="8"/>
        <v>0</v>
      </c>
      <c r="H80" s="1219">
        <f t="shared" si="8"/>
        <v>0</v>
      </c>
      <c r="I80" s="1348"/>
      <c r="J80" s="1349"/>
      <c r="K80" s="1349"/>
      <c r="L80" s="1349"/>
      <c r="M80" s="1349"/>
      <c r="N80" s="1350"/>
      <c r="O80" s="1348"/>
      <c r="P80" s="1349"/>
      <c r="Q80" s="1349"/>
      <c r="R80" s="1349"/>
      <c r="S80" s="1349"/>
      <c r="T80" s="1350"/>
      <c r="U80" s="1348"/>
      <c r="V80" s="1349"/>
      <c r="W80" s="1349"/>
      <c r="X80" s="1349"/>
      <c r="Y80" s="1349"/>
      <c r="Z80" s="1350"/>
      <c r="AA80" s="1348"/>
      <c r="AB80" s="1349"/>
      <c r="AC80" s="1349"/>
      <c r="AD80" s="1349"/>
      <c r="AE80" s="1349"/>
      <c r="AF80" s="1350"/>
      <c r="AG80" s="1348"/>
      <c r="AH80" s="1349"/>
      <c r="AI80" s="1349"/>
      <c r="AJ80" s="1349"/>
      <c r="AK80" s="1349"/>
      <c r="AL80" s="1350"/>
      <c r="AM80" s="1354">
        <v>43715.133000000002</v>
      </c>
      <c r="AN80" s="1355">
        <v>0</v>
      </c>
      <c r="AO80" s="1355">
        <v>41313.866999999998</v>
      </c>
      <c r="AP80" s="1356">
        <v>85029</v>
      </c>
    </row>
    <row r="81" spans="1:42" s="666" customFormat="1" ht="15" customHeight="1">
      <c r="A81" s="1333" t="s">
        <v>203</v>
      </c>
      <c r="B81" s="1334" t="s">
        <v>204</v>
      </c>
      <c r="C81" s="1148" t="s">
        <v>272</v>
      </c>
      <c r="D81" s="1291">
        <f t="shared" si="5"/>
        <v>489628.13559999998</v>
      </c>
      <c r="E81" s="1218">
        <f t="shared" si="6"/>
        <v>500006.23440000002</v>
      </c>
      <c r="F81" s="1218">
        <f t="shared" si="7"/>
        <v>0</v>
      </c>
      <c r="G81" s="1218">
        <f t="shared" si="8"/>
        <v>0</v>
      </c>
      <c r="H81" s="1219">
        <f t="shared" si="8"/>
        <v>0</v>
      </c>
      <c r="I81" s="1354">
        <v>-1184.1500000000001</v>
      </c>
      <c r="J81" s="1355">
        <v>0</v>
      </c>
      <c r="K81" s="1355">
        <v>-1137.72</v>
      </c>
      <c r="L81" s="1355">
        <v>0</v>
      </c>
      <c r="M81" s="1355">
        <v>0</v>
      </c>
      <c r="N81" s="1356">
        <v>-2321.87</v>
      </c>
      <c r="O81" s="1348"/>
      <c r="P81" s="1349"/>
      <c r="Q81" s="1349"/>
      <c r="R81" s="1349"/>
      <c r="S81" s="1349"/>
      <c r="T81" s="1350"/>
      <c r="U81" s="1348"/>
      <c r="V81" s="1349"/>
      <c r="W81" s="1349"/>
      <c r="X81" s="1349"/>
      <c r="Y81" s="1349"/>
      <c r="Z81" s="1350"/>
      <c r="AA81" s="1348"/>
      <c r="AB81" s="1349"/>
      <c r="AC81" s="1349"/>
      <c r="AD81" s="1349"/>
      <c r="AE81" s="1349"/>
      <c r="AF81" s="1350"/>
      <c r="AG81" s="1348"/>
      <c r="AH81" s="1349"/>
      <c r="AI81" s="1349"/>
      <c r="AJ81" s="1349"/>
      <c r="AK81" s="1349"/>
      <c r="AL81" s="1350"/>
      <c r="AM81" s="1354">
        <v>490812.2856</v>
      </c>
      <c r="AN81" s="1355">
        <v>0</v>
      </c>
      <c r="AO81" s="1355">
        <v>501143.95439999999</v>
      </c>
      <c r="AP81" s="1356">
        <v>991956.24</v>
      </c>
    </row>
    <row r="82" spans="1:42" s="666" customFormat="1" ht="15" customHeight="1">
      <c r="A82" s="1333" t="s">
        <v>205</v>
      </c>
      <c r="B82" s="1334" t="s">
        <v>206</v>
      </c>
      <c r="C82" s="1148" t="s">
        <v>272</v>
      </c>
      <c r="D82" s="1291">
        <f t="shared" si="5"/>
        <v>118638.0977</v>
      </c>
      <c r="E82" s="1218">
        <f t="shared" si="6"/>
        <v>118658.8023</v>
      </c>
      <c r="F82" s="1218">
        <f t="shared" si="7"/>
        <v>0</v>
      </c>
      <c r="G82" s="1218">
        <f t="shared" si="8"/>
        <v>0</v>
      </c>
      <c r="H82" s="1219">
        <f t="shared" si="8"/>
        <v>0</v>
      </c>
      <c r="I82" s="1348"/>
      <c r="J82" s="1349"/>
      <c r="K82" s="1349"/>
      <c r="L82" s="1349"/>
      <c r="M82" s="1349"/>
      <c r="N82" s="1350"/>
      <c r="O82" s="1348"/>
      <c r="P82" s="1349"/>
      <c r="Q82" s="1349"/>
      <c r="R82" s="1349"/>
      <c r="S82" s="1349"/>
      <c r="T82" s="1350"/>
      <c r="U82" s="1348"/>
      <c r="V82" s="1349"/>
      <c r="W82" s="1349"/>
      <c r="X82" s="1349"/>
      <c r="Y82" s="1349"/>
      <c r="Z82" s="1350"/>
      <c r="AA82" s="1348"/>
      <c r="AB82" s="1349"/>
      <c r="AC82" s="1349"/>
      <c r="AD82" s="1349"/>
      <c r="AE82" s="1349"/>
      <c r="AF82" s="1350"/>
      <c r="AG82" s="1348"/>
      <c r="AH82" s="1349"/>
      <c r="AI82" s="1349"/>
      <c r="AJ82" s="1349"/>
      <c r="AK82" s="1349"/>
      <c r="AL82" s="1350"/>
      <c r="AM82" s="1354">
        <v>118638.0977</v>
      </c>
      <c r="AN82" s="1355">
        <v>0</v>
      </c>
      <c r="AO82" s="1355">
        <v>118658.8023</v>
      </c>
      <c r="AP82" s="1356">
        <v>237296.9</v>
      </c>
    </row>
    <row r="83" spans="1:42" s="666" customFormat="1" ht="15" customHeight="1">
      <c r="A83" s="1333" t="s">
        <v>207</v>
      </c>
      <c r="B83" s="1334" t="s">
        <v>208</v>
      </c>
      <c r="C83" s="1148" t="s">
        <v>274</v>
      </c>
      <c r="D83" s="1291">
        <f t="shared" si="5"/>
        <v>536022.30379999999</v>
      </c>
      <c r="E83" s="1218">
        <f t="shared" si="6"/>
        <v>563836.75619999995</v>
      </c>
      <c r="F83" s="1218">
        <f t="shared" si="7"/>
        <v>0</v>
      </c>
      <c r="G83" s="1218">
        <f t="shared" si="8"/>
        <v>0</v>
      </c>
      <c r="H83" s="1219">
        <f t="shared" si="8"/>
        <v>0</v>
      </c>
      <c r="I83" s="1354">
        <v>-2255.71</v>
      </c>
      <c r="J83" s="1355">
        <v>0</v>
      </c>
      <c r="K83" s="1355">
        <v>-2167.25</v>
      </c>
      <c r="L83" s="1355">
        <v>0</v>
      </c>
      <c r="M83" s="1355">
        <v>0</v>
      </c>
      <c r="N83" s="1356">
        <v>-4422.96</v>
      </c>
      <c r="O83" s="1348"/>
      <c r="P83" s="1349"/>
      <c r="Q83" s="1349"/>
      <c r="R83" s="1349"/>
      <c r="S83" s="1349"/>
      <c r="T83" s="1350"/>
      <c r="U83" s="1348"/>
      <c r="V83" s="1349"/>
      <c r="W83" s="1349"/>
      <c r="X83" s="1349"/>
      <c r="Y83" s="1349"/>
      <c r="Z83" s="1350"/>
      <c r="AA83" s="1348"/>
      <c r="AB83" s="1349"/>
      <c r="AC83" s="1349"/>
      <c r="AD83" s="1349"/>
      <c r="AE83" s="1349"/>
      <c r="AF83" s="1350"/>
      <c r="AG83" s="1354">
        <v>47576.380000000005</v>
      </c>
      <c r="AH83" s="1355">
        <v>0</v>
      </c>
      <c r="AI83" s="1355">
        <v>0</v>
      </c>
      <c r="AJ83" s="1355">
        <v>0</v>
      </c>
      <c r="AK83" s="1355">
        <v>0</v>
      </c>
      <c r="AL83" s="1356">
        <v>47576.380000000005</v>
      </c>
      <c r="AM83" s="1354">
        <v>490701.63380000001</v>
      </c>
      <c r="AN83" s="1355">
        <v>0</v>
      </c>
      <c r="AO83" s="1355">
        <v>566004.00619999995</v>
      </c>
      <c r="AP83" s="1356">
        <v>1056705.6399999999</v>
      </c>
    </row>
    <row r="84" spans="1:42" s="666" customFormat="1" ht="15" customHeight="1">
      <c r="A84" s="1333" t="s">
        <v>209</v>
      </c>
      <c r="B84" s="1334" t="s">
        <v>210</v>
      </c>
      <c r="C84" s="1148" t="s">
        <v>275</v>
      </c>
      <c r="D84" s="1291">
        <f t="shared" si="5"/>
        <v>293520.78879999998</v>
      </c>
      <c r="E84" s="1218">
        <f t="shared" si="6"/>
        <v>321397.46120000002</v>
      </c>
      <c r="F84" s="1218">
        <f t="shared" si="7"/>
        <v>0</v>
      </c>
      <c r="G84" s="1218">
        <f t="shared" si="8"/>
        <v>0</v>
      </c>
      <c r="H84" s="1219">
        <f t="shared" si="8"/>
        <v>0</v>
      </c>
      <c r="I84" s="1354">
        <v>-8.0299999999999994</v>
      </c>
      <c r="J84" s="1355">
        <v>0</v>
      </c>
      <c r="K84" s="1355">
        <v>-7.72</v>
      </c>
      <c r="L84" s="1355">
        <v>0</v>
      </c>
      <c r="M84" s="1355">
        <v>0</v>
      </c>
      <c r="N84" s="1356">
        <v>-15.75</v>
      </c>
      <c r="O84" s="1348"/>
      <c r="P84" s="1349"/>
      <c r="Q84" s="1349"/>
      <c r="R84" s="1349"/>
      <c r="S84" s="1349"/>
      <c r="T84" s="1350"/>
      <c r="U84" s="1348"/>
      <c r="V84" s="1349"/>
      <c r="W84" s="1349"/>
      <c r="X84" s="1349"/>
      <c r="Y84" s="1349"/>
      <c r="Z84" s="1350"/>
      <c r="AA84" s="1348"/>
      <c r="AB84" s="1349"/>
      <c r="AC84" s="1349"/>
      <c r="AD84" s="1349"/>
      <c r="AE84" s="1349"/>
      <c r="AF84" s="1350"/>
      <c r="AG84" s="1348"/>
      <c r="AH84" s="1349"/>
      <c r="AI84" s="1349"/>
      <c r="AJ84" s="1349"/>
      <c r="AK84" s="1349"/>
      <c r="AL84" s="1350"/>
      <c r="AM84" s="1354">
        <v>293528.81880000001</v>
      </c>
      <c r="AN84" s="1355">
        <v>0</v>
      </c>
      <c r="AO84" s="1355">
        <v>321405.18119999999</v>
      </c>
      <c r="AP84" s="1356">
        <v>614934</v>
      </c>
    </row>
    <row r="85" spans="1:42" s="666" customFormat="1" ht="15" customHeight="1">
      <c r="A85" s="1333" t="s">
        <v>211</v>
      </c>
      <c r="B85" s="1334" t="s">
        <v>212</v>
      </c>
      <c r="C85" s="1148" t="s">
        <v>275</v>
      </c>
      <c r="D85" s="1291">
        <f t="shared" si="5"/>
        <v>230024.3548</v>
      </c>
      <c r="E85" s="1218">
        <f t="shared" si="6"/>
        <v>270684.85519999999</v>
      </c>
      <c r="F85" s="1218">
        <f t="shared" si="7"/>
        <v>0</v>
      </c>
      <c r="G85" s="1218">
        <f t="shared" si="8"/>
        <v>0</v>
      </c>
      <c r="H85" s="1219">
        <f t="shared" si="8"/>
        <v>0</v>
      </c>
      <c r="I85" s="1354">
        <v>-86.7</v>
      </c>
      <c r="J85" s="1355">
        <v>0</v>
      </c>
      <c r="K85" s="1355">
        <v>-83.3</v>
      </c>
      <c r="L85" s="1355">
        <v>0</v>
      </c>
      <c r="M85" s="1355">
        <v>0</v>
      </c>
      <c r="N85" s="1356">
        <v>-170</v>
      </c>
      <c r="O85" s="1354">
        <v>255</v>
      </c>
      <c r="P85" s="1355">
        <v>0</v>
      </c>
      <c r="Q85" s="1355">
        <v>245</v>
      </c>
      <c r="R85" s="1355">
        <v>0</v>
      </c>
      <c r="S85" s="1355">
        <v>0</v>
      </c>
      <c r="T85" s="1356">
        <v>500</v>
      </c>
      <c r="U85" s="1348"/>
      <c r="V85" s="1349"/>
      <c r="W85" s="1349"/>
      <c r="X85" s="1349"/>
      <c r="Y85" s="1349"/>
      <c r="Z85" s="1350"/>
      <c r="AA85" s="1348"/>
      <c r="AB85" s="1349"/>
      <c r="AC85" s="1349"/>
      <c r="AD85" s="1349"/>
      <c r="AE85" s="1349"/>
      <c r="AF85" s="1350"/>
      <c r="AG85" s="1348"/>
      <c r="AH85" s="1349"/>
      <c r="AI85" s="1349"/>
      <c r="AJ85" s="1349"/>
      <c r="AK85" s="1349"/>
      <c r="AL85" s="1350"/>
      <c r="AM85" s="1354">
        <v>229856.05480000001</v>
      </c>
      <c r="AN85" s="1355">
        <v>0</v>
      </c>
      <c r="AO85" s="1355">
        <v>270523.15519999998</v>
      </c>
      <c r="AP85" s="1356">
        <v>500379.21</v>
      </c>
    </row>
    <row r="86" spans="1:42" s="666" customFormat="1" ht="15" customHeight="1">
      <c r="A86" s="1333" t="s">
        <v>213</v>
      </c>
      <c r="B86" s="1334" t="s">
        <v>214</v>
      </c>
      <c r="C86" s="1148" t="s">
        <v>274</v>
      </c>
      <c r="D86" s="1291">
        <f t="shared" si="5"/>
        <v>126799.4749</v>
      </c>
      <c r="E86" s="1218">
        <f t="shared" si="6"/>
        <v>186971.25510000001</v>
      </c>
      <c r="F86" s="1218">
        <f t="shared" si="7"/>
        <v>0</v>
      </c>
      <c r="G86" s="1218">
        <f t="shared" si="8"/>
        <v>0</v>
      </c>
      <c r="H86" s="1219">
        <f t="shared" si="8"/>
        <v>0</v>
      </c>
      <c r="I86" s="1348"/>
      <c r="J86" s="1349"/>
      <c r="K86" s="1349"/>
      <c r="L86" s="1349"/>
      <c r="M86" s="1349"/>
      <c r="N86" s="1350"/>
      <c r="O86" s="1348"/>
      <c r="P86" s="1349"/>
      <c r="Q86" s="1349"/>
      <c r="R86" s="1349"/>
      <c r="S86" s="1349"/>
      <c r="T86" s="1350"/>
      <c r="U86" s="1348"/>
      <c r="V86" s="1349"/>
      <c r="W86" s="1349"/>
      <c r="X86" s="1349"/>
      <c r="Y86" s="1349"/>
      <c r="Z86" s="1350"/>
      <c r="AA86" s="1348"/>
      <c r="AB86" s="1349"/>
      <c r="AC86" s="1349"/>
      <c r="AD86" s="1349"/>
      <c r="AE86" s="1349"/>
      <c r="AF86" s="1350"/>
      <c r="AG86" s="1348"/>
      <c r="AH86" s="1349"/>
      <c r="AI86" s="1349"/>
      <c r="AJ86" s="1349"/>
      <c r="AK86" s="1349"/>
      <c r="AL86" s="1350"/>
      <c r="AM86" s="1354">
        <v>126799.4749</v>
      </c>
      <c r="AN86" s="1355">
        <v>0</v>
      </c>
      <c r="AO86" s="1355">
        <v>186971.25510000001</v>
      </c>
      <c r="AP86" s="1356">
        <v>313770.73</v>
      </c>
    </row>
    <row r="87" spans="1:42" s="666" customFormat="1" ht="15" customHeight="1">
      <c r="A87" s="1333" t="s">
        <v>215</v>
      </c>
      <c r="B87" s="1334" t="s">
        <v>216</v>
      </c>
      <c r="C87" s="1148" t="s">
        <v>275</v>
      </c>
      <c r="D87" s="1291">
        <f t="shared" si="5"/>
        <v>264004.47879999998</v>
      </c>
      <c r="E87" s="1218">
        <f t="shared" si="6"/>
        <v>297524.45119999995</v>
      </c>
      <c r="F87" s="1218">
        <f t="shared" si="7"/>
        <v>0</v>
      </c>
      <c r="G87" s="1218">
        <f t="shared" si="8"/>
        <v>0</v>
      </c>
      <c r="H87" s="1219">
        <f t="shared" si="8"/>
        <v>0</v>
      </c>
      <c r="I87" s="1354">
        <v>-210.63</v>
      </c>
      <c r="J87" s="1355">
        <v>0</v>
      </c>
      <c r="K87" s="1355">
        <v>-202.37</v>
      </c>
      <c r="L87" s="1355">
        <v>0</v>
      </c>
      <c r="M87" s="1355">
        <v>0</v>
      </c>
      <c r="N87" s="1356">
        <v>-413</v>
      </c>
      <c r="O87" s="1354">
        <v>1018.6</v>
      </c>
      <c r="P87" s="1355">
        <v>0</v>
      </c>
      <c r="Q87" s="1355">
        <v>978.66</v>
      </c>
      <c r="R87" s="1355">
        <v>0</v>
      </c>
      <c r="S87" s="1355">
        <v>0</v>
      </c>
      <c r="T87" s="1356">
        <v>1997.26</v>
      </c>
      <c r="U87" s="1354">
        <v>0</v>
      </c>
      <c r="V87" s="1355">
        <v>0</v>
      </c>
      <c r="W87" s="1355">
        <v>-110</v>
      </c>
      <c r="X87" s="1355">
        <v>0</v>
      </c>
      <c r="Y87" s="1355">
        <v>0</v>
      </c>
      <c r="Z87" s="1356">
        <v>-110</v>
      </c>
      <c r="AA87" s="1348"/>
      <c r="AB87" s="1349"/>
      <c r="AC87" s="1349"/>
      <c r="AD87" s="1349"/>
      <c r="AE87" s="1349"/>
      <c r="AF87" s="1350"/>
      <c r="AG87" s="1348"/>
      <c r="AH87" s="1349"/>
      <c r="AI87" s="1349"/>
      <c r="AJ87" s="1349"/>
      <c r="AK87" s="1349"/>
      <c r="AL87" s="1350"/>
      <c r="AM87" s="1354">
        <v>263196.50880000001</v>
      </c>
      <c r="AN87" s="1355">
        <v>0</v>
      </c>
      <c r="AO87" s="1355">
        <v>296858.16119999997</v>
      </c>
      <c r="AP87" s="1356">
        <v>560054.67000000004</v>
      </c>
    </row>
    <row r="88" spans="1:42" s="666" customFormat="1" ht="15" customHeight="1">
      <c r="A88" s="1333" t="s">
        <v>217</v>
      </c>
      <c r="B88" s="1334" t="s">
        <v>218</v>
      </c>
      <c r="C88" s="1148" t="s">
        <v>271</v>
      </c>
      <c r="D88" s="1291">
        <f t="shared" si="5"/>
        <v>179454.23670000001</v>
      </c>
      <c r="E88" s="1218">
        <f t="shared" si="6"/>
        <v>175687.44329999998</v>
      </c>
      <c r="F88" s="1218">
        <f t="shared" si="7"/>
        <v>0</v>
      </c>
      <c r="G88" s="1218">
        <f t="shared" si="8"/>
        <v>0</v>
      </c>
      <c r="H88" s="1219">
        <f t="shared" si="8"/>
        <v>0</v>
      </c>
      <c r="I88" s="1354">
        <v>-1085.5999999999999</v>
      </c>
      <c r="J88" s="1355">
        <v>0</v>
      </c>
      <c r="K88" s="1355">
        <v>-1043.01</v>
      </c>
      <c r="L88" s="1355">
        <v>0</v>
      </c>
      <c r="M88" s="1355">
        <v>0</v>
      </c>
      <c r="N88" s="1356">
        <v>-2128.61</v>
      </c>
      <c r="O88" s="1348"/>
      <c r="P88" s="1349"/>
      <c r="Q88" s="1349"/>
      <c r="R88" s="1349"/>
      <c r="S88" s="1349"/>
      <c r="T88" s="1350"/>
      <c r="U88" s="1348"/>
      <c r="V88" s="1349"/>
      <c r="W88" s="1349"/>
      <c r="X88" s="1349"/>
      <c r="Y88" s="1349"/>
      <c r="Z88" s="1350"/>
      <c r="AA88" s="1348"/>
      <c r="AB88" s="1349"/>
      <c r="AC88" s="1349"/>
      <c r="AD88" s="1349"/>
      <c r="AE88" s="1349"/>
      <c r="AF88" s="1350"/>
      <c r="AG88" s="1348"/>
      <c r="AH88" s="1349"/>
      <c r="AI88" s="1349"/>
      <c r="AJ88" s="1349"/>
      <c r="AK88" s="1349"/>
      <c r="AL88" s="1350"/>
      <c r="AM88" s="1354">
        <v>180539.83670000001</v>
      </c>
      <c r="AN88" s="1355">
        <v>0</v>
      </c>
      <c r="AO88" s="1355">
        <v>176730.45329999999</v>
      </c>
      <c r="AP88" s="1356">
        <v>357270.29</v>
      </c>
    </row>
    <row r="89" spans="1:42" s="666" customFormat="1" ht="15" customHeight="1">
      <c r="A89" s="1333" t="s">
        <v>219</v>
      </c>
      <c r="B89" s="1334" t="s">
        <v>220</v>
      </c>
      <c r="C89" s="1148" t="s">
        <v>274</v>
      </c>
      <c r="D89" s="1291">
        <f t="shared" si="5"/>
        <v>826420.57270000002</v>
      </c>
      <c r="E89" s="1218">
        <f t="shared" si="6"/>
        <v>712838.52729999996</v>
      </c>
      <c r="F89" s="1218">
        <f t="shared" si="7"/>
        <v>0.03</v>
      </c>
      <c r="G89" s="1218">
        <f t="shared" si="8"/>
        <v>0</v>
      </c>
      <c r="H89" s="1219">
        <f t="shared" si="8"/>
        <v>0.03</v>
      </c>
      <c r="I89" s="1354">
        <v>-230.69</v>
      </c>
      <c r="J89" s="1355">
        <v>0</v>
      </c>
      <c r="K89" s="1355">
        <v>-221.64</v>
      </c>
      <c r="L89" s="1355">
        <v>0</v>
      </c>
      <c r="M89" s="1355">
        <v>0.03</v>
      </c>
      <c r="N89" s="1356">
        <v>-452.3</v>
      </c>
      <c r="O89" s="1348"/>
      <c r="P89" s="1349"/>
      <c r="Q89" s="1349"/>
      <c r="R89" s="1349"/>
      <c r="S89" s="1349"/>
      <c r="T89" s="1350"/>
      <c r="U89" s="1348"/>
      <c r="V89" s="1349"/>
      <c r="W89" s="1349"/>
      <c r="X89" s="1349"/>
      <c r="Y89" s="1349"/>
      <c r="Z89" s="1350"/>
      <c r="AA89" s="1348"/>
      <c r="AB89" s="1349"/>
      <c r="AC89" s="1349"/>
      <c r="AD89" s="1349"/>
      <c r="AE89" s="1349"/>
      <c r="AF89" s="1350"/>
      <c r="AG89" s="1354">
        <v>205158.54</v>
      </c>
      <c r="AH89" s="1355">
        <v>0</v>
      </c>
      <c r="AI89" s="1355">
        <v>0</v>
      </c>
      <c r="AJ89" s="1355">
        <v>0</v>
      </c>
      <c r="AK89" s="1355">
        <v>0</v>
      </c>
      <c r="AL89" s="1356">
        <v>205158.54</v>
      </c>
      <c r="AM89" s="1354">
        <v>621492.72270000004</v>
      </c>
      <c r="AN89" s="1355">
        <v>0</v>
      </c>
      <c r="AO89" s="1355">
        <v>713060.16729999997</v>
      </c>
      <c r="AP89" s="1356">
        <v>1334552.8899999999</v>
      </c>
    </row>
    <row r="90" spans="1:42" s="666" customFormat="1" ht="15" customHeight="1">
      <c r="A90" s="1333" t="s">
        <v>221</v>
      </c>
      <c r="B90" s="1334" t="s">
        <v>222</v>
      </c>
      <c r="C90" s="1148" t="s">
        <v>274</v>
      </c>
      <c r="D90" s="1291">
        <f t="shared" si="5"/>
        <v>478589.5883</v>
      </c>
      <c r="E90" s="1218">
        <f t="shared" si="6"/>
        <v>527304.17170000006</v>
      </c>
      <c r="F90" s="1218">
        <f t="shared" si="7"/>
        <v>0.01</v>
      </c>
      <c r="G90" s="1218">
        <f t="shared" si="8"/>
        <v>0</v>
      </c>
      <c r="H90" s="1219">
        <f t="shared" si="8"/>
        <v>0.01</v>
      </c>
      <c r="I90" s="1354">
        <v>-1405.98</v>
      </c>
      <c r="J90" s="1355">
        <v>0</v>
      </c>
      <c r="K90" s="1355">
        <v>-1350.85</v>
      </c>
      <c r="L90" s="1355">
        <v>0</v>
      </c>
      <c r="M90" s="1355">
        <v>0.01</v>
      </c>
      <c r="N90" s="1356">
        <v>-2756.82</v>
      </c>
      <c r="O90" s="1348"/>
      <c r="P90" s="1349"/>
      <c r="Q90" s="1349"/>
      <c r="R90" s="1349"/>
      <c r="S90" s="1349"/>
      <c r="T90" s="1350"/>
      <c r="U90" s="1348"/>
      <c r="V90" s="1349"/>
      <c r="W90" s="1349"/>
      <c r="X90" s="1349"/>
      <c r="Y90" s="1349"/>
      <c r="Z90" s="1350"/>
      <c r="AA90" s="1348"/>
      <c r="AB90" s="1349"/>
      <c r="AC90" s="1349"/>
      <c r="AD90" s="1349"/>
      <c r="AE90" s="1349"/>
      <c r="AF90" s="1350"/>
      <c r="AG90" s="1348"/>
      <c r="AH90" s="1349"/>
      <c r="AI90" s="1349"/>
      <c r="AJ90" s="1349"/>
      <c r="AK90" s="1349"/>
      <c r="AL90" s="1350"/>
      <c r="AM90" s="1354">
        <v>479995.56829999998</v>
      </c>
      <c r="AN90" s="1355">
        <v>0</v>
      </c>
      <c r="AO90" s="1355">
        <v>528655.02170000004</v>
      </c>
      <c r="AP90" s="1356">
        <v>1008650.59</v>
      </c>
    </row>
    <row r="91" spans="1:42" s="666" customFormat="1" ht="15" customHeight="1">
      <c r="A91" s="1333" t="s">
        <v>225</v>
      </c>
      <c r="B91" s="1334" t="s">
        <v>226</v>
      </c>
      <c r="C91" s="1148" t="s">
        <v>271</v>
      </c>
      <c r="D91" s="1291">
        <f t="shared" si="5"/>
        <v>62062.539799999999</v>
      </c>
      <c r="E91" s="1218">
        <f t="shared" si="6"/>
        <v>88689.410199999998</v>
      </c>
      <c r="F91" s="1218">
        <f t="shared" si="7"/>
        <v>0</v>
      </c>
      <c r="G91" s="1218">
        <f t="shared" si="8"/>
        <v>0</v>
      </c>
      <c r="H91" s="1219">
        <f t="shared" si="8"/>
        <v>0</v>
      </c>
      <c r="I91" s="1348"/>
      <c r="J91" s="1349"/>
      <c r="K91" s="1349"/>
      <c r="L91" s="1349"/>
      <c r="M91" s="1349"/>
      <c r="N91" s="1350"/>
      <c r="O91" s="1348"/>
      <c r="P91" s="1349"/>
      <c r="Q91" s="1349"/>
      <c r="R91" s="1349"/>
      <c r="S91" s="1349"/>
      <c r="T91" s="1350"/>
      <c r="U91" s="1348"/>
      <c r="V91" s="1349"/>
      <c r="W91" s="1349"/>
      <c r="X91" s="1349"/>
      <c r="Y91" s="1349"/>
      <c r="Z91" s="1350"/>
      <c r="AA91" s="1348"/>
      <c r="AB91" s="1349"/>
      <c r="AC91" s="1349"/>
      <c r="AD91" s="1349"/>
      <c r="AE91" s="1349"/>
      <c r="AF91" s="1350"/>
      <c r="AG91" s="1348"/>
      <c r="AH91" s="1349"/>
      <c r="AI91" s="1349"/>
      <c r="AJ91" s="1349"/>
      <c r="AK91" s="1349"/>
      <c r="AL91" s="1350"/>
      <c r="AM91" s="1354">
        <v>62062.539799999999</v>
      </c>
      <c r="AN91" s="1355">
        <v>0</v>
      </c>
      <c r="AO91" s="1355">
        <v>88689.410199999998</v>
      </c>
      <c r="AP91" s="1356">
        <v>150751.95000000001</v>
      </c>
    </row>
    <row r="92" spans="1:42" s="666" customFormat="1" ht="15" customHeight="1">
      <c r="A92" s="1333" t="s">
        <v>227</v>
      </c>
      <c r="B92" s="1334" t="s">
        <v>228</v>
      </c>
      <c r="C92" s="1148" t="s">
        <v>271</v>
      </c>
      <c r="D92" s="1291">
        <f t="shared" si="5"/>
        <v>113498.106</v>
      </c>
      <c r="E92" s="1218">
        <f t="shared" si="6"/>
        <v>119655.414</v>
      </c>
      <c r="F92" s="1218">
        <f t="shared" si="7"/>
        <v>0</v>
      </c>
      <c r="G92" s="1218">
        <f t="shared" si="8"/>
        <v>0</v>
      </c>
      <c r="H92" s="1219">
        <f t="shared" si="8"/>
        <v>0</v>
      </c>
      <c r="I92" s="1354">
        <v>-608.94000000000005</v>
      </c>
      <c r="J92" s="1355">
        <v>0</v>
      </c>
      <c r="K92" s="1355">
        <v>-585.05999999999995</v>
      </c>
      <c r="L92" s="1355">
        <v>0</v>
      </c>
      <c r="M92" s="1355">
        <v>0</v>
      </c>
      <c r="N92" s="1356">
        <v>-1194</v>
      </c>
      <c r="O92" s="1348"/>
      <c r="P92" s="1349"/>
      <c r="Q92" s="1349"/>
      <c r="R92" s="1349"/>
      <c r="S92" s="1349"/>
      <c r="T92" s="1350"/>
      <c r="U92" s="1348"/>
      <c r="V92" s="1349"/>
      <c r="W92" s="1349"/>
      <c r="X92" s="1349"/>
      <c r="Y92" s="1349"/>
      <c r="Z92" s="1350"/>
      <c r="AA92" s="1348"/>
      <c r="AB92" s="1349"/>
      <c r="AC92" s="1349"/>
      <c r="AD92" s="1349"/>
      <c r="AE92" s="1349"/>
      <c r="AF92" s="1350"/>
      <c r="AG92" s="1348"/>
      <c r="AH92" s="1349"/>
      <c r="AI92" s="1349"/>
      <c r="AJ92" s="1349"/>
      <c r="AK92" s="1349"/>
      <c r="AL92" s="1350"/>
      <c r="AM92" s="1354">
        <v>114107.046</v>
      </c>
      <c r="AN92" s="1355">
        <v>0</v>
      </c>
      <c r="AO92" s="1355">
        <v>120240.474</v>
      </c>
      <c r="AP92" s="1356">
        <v>234347.51999999999</v>
      </c>
    </row>
    <row r="93" spans="1:42" s="666" customFormat="1" ht="15" customHeight="1">
      <c r="A93" s="1333" t="s">
        <v>229</v>
      </c>
      <c r="B93" s="1334" t="s">
        <v>230</v>
      </c>
      <c r="C93" s="1148" t="s">
        <v>275</v>
      </c>
      <c r="D93" s="1291">
        <f t="shared" si="5"/>
        <v>343807.42729999998</v>
      </c>
      <c r="E93" s="1218">
        <f t="shared" si="6"/>
        <v>354806.46269999997</v>
      </c>
      <c r="F93" s="1218">
        <f t="shared" si="7"/>
        <v>0</v>
      </c>
      <c r="G93" s="1218">
        <f t="shared" si="8"/>
        <v>0</v>
      </c>
      <c r="H93" s="1219">
        <f t="shared" si="8"/>
        <v>0</v>
      </c>
      <c r="I93" s="1354">
        <v>-1012.56</v>
      </c>
      <c r="J93" s="1355">
        <v>0</v>
      </c>
      <c r="K93" s="1355">
        <v>-972.85</v>
      </c>
      <c r="L93" s="1355">
        <v>0</v>
      </c>
      <c r="M93" s="1355">
        <v>0</v>
      </c>
      <c r="N93" s="1356">
        <v>-1985.41</v>
      </c>
      <c r="O93" s="1354">
        <v>540.6</v>
      </c>
      <c r="P93" s="1355">
        <v>0</v>
      </c>
      <c r="Q93" s="1355">
        <v>519.4</v>
      </c>
      <c r="R93" s="1355">
        <v>0</v>
      </c>
      <c r="S93" s="1355">
        <v>0</v>
      </c>
      <c r="T93" s="1356">
        <v>1060</v>
      </c>
      <c r="U93" s="1354">
        <v>0</v>
      </c>
      <c r="V93" s="1355">
        <v>0</v>
      </c>
      <c r="W93" s="1355">
        <v>-125</v>
      </c>
      <c r="X93" s="1355">
        <v>0</v>
      </c>
      <c r="Y93" s="1355">
        <v>0</v>
      </c>
      <c r="Z93" s="1356">
        <v>-125</v>
      </c>
      <c r="AA93" s="1348"/>
      <c r="AB93" s="1349"/>
      <c r="AC93" s="1349"/>
      <c r="AD93" s="1349"/>
      <c r="AE93" s="1349"/>
      <c r="AF93" s="1350"/>
      <c r="AG93" s="1348"/>
      <c r="AH93" s="1349"/>
      <c r="AI93" s="1349"/>
      <c r="AJ93" s="1349"/>
      <c r="AK93" s="1349"/>
      <c r="AL93" s="1350"/>
      <c r="AM93" s="1354">
        <v>344279.3873</v>
      </c>
      <c r="AN93" s="1355">
        <v>0</v>
      </c>
      <c r="AO93" s="1355">
        <v>355384.91269999999</v>
      </c>
      <c r="AP93" s="1356">
        <v>699664.3</v>
      </c>
    </row>
    <row r="94" spans="1:42" s="666" customFormat="1" ht="15" customHeight="1">
      <c r="A94" s="1333" t="s">
        <v>233</v>
      </c>
      <c r="B94" s="1334" t="s">
        <v>234</v>
      </c>
      <c r="C94" s="1148" t="s">
        <v>274</v>
      </c>
      <c r="D94" s="1291">
        <f t="shared" si="5"/>
        <v>220829.53</v>
      </c>
      <c r="E94" s="1218">
        <f t="shared" si="6"/>
        <v>257908.2</v>
      </c>
      <c r="F94" s="1218">
        <f t="shared" si="7"/>
        <v>0</v>
      </c>
      <c r="G94" s="1218">
        <f t="shared" si="8"/>
        <v>0</v>
      </c>
      <c r="H94" s="1219">
        <f t="shared" si="8"/>
        <v>0</v>
      </c>
      <c r="I94" s="1354">
        <v>-588.9</v>
      </c>
      <c r="J94" s="1355">
        <v>0</v>
      </c>
      <c r="K94" s="1355">
        <v>-565.79999999999995</v>
      </c>
      <c r="L94" s="1355">
        <v>0</v>
      </c>
      <c r="M94" s="1355">
        <v>0</v>
      </c>
      <c r="N94" s="1356">
        <v>-1154.7</v>
      </c>
      <c r="O94" s="1348"/>
      <c r="P94" s="1349"/>
      <c r="Q94" s="1349"/>
      <c r="R94" s="1349"/>
      <c r="S94" s="1349"/>
      <c r="T94" s="1350"/>
      <c r="U94" s="1348"/>
      <c r="V94" s="1349"/>
      <c r="W94" s="1349"/>
      <c r="X94" s="1349"/>
      <c r="Y94" s="1349"/>
      <c r="Z94" s="1350"/>
      <c r="AA94" s="1348"/>
      <c r="AB94" s="1349"/>
      <c r="AC94" s="1349"/>
      <c r="AD94" s="1349"/>
      <c r="AE94" s="1349"/>
      <c r="AF94" s="1350"/>
      <c r="AG94" s="1348"/>
      <c r="AH94" s="1349"/>
      <c r="AI94" s="1349"/>
      <c r="AJ94" s="1349"/>
      <c r="AK94" s="1349"/>
      <c r="AL94" s="1350"/>
      <c r="AM94" s="1354">
        <v>221418.43</v>
      </c>
      <c r="AN94" s="1355">
        <v>0</v>
      </c>
      <c r="AO94" s="1355">
        <v>258474</v>
      </c>
      <c r="AP94" s="1356">
        <v>479892.43</v>
      </c>
    </row>
    <row r="95" spans="1:42" s="666" customFormat="1" ht="15" customHeight="1">
      <c r="A95" s="1333" t="s">
        <v>235</v>
      </c>
      <c r="B95" s="1334" t="s">
        <v>236</v>
      </c>
      <c r="C95" s="1148" t="s">
        <v>275</v>
      </c>
      <c r="D95" s="1291">
        <f t="shared" si="5"/>
        <v>269305.36089999997</v>
      </c>
      <c r="E95" s="1218">
        <f t="shared" si="6"/>
        <v>278031.03909999999</v>
      </c>
      <c r="F95" s="1218">
        <f t="shared" si="7"/>
        <v>0</v>
      </c>
      <c r="G95" s="1218">
        <f t="shared" si="8"/>
        <v>0</v>
      </c>
      <c r="H95" s="1219">
        <f t="shared" si="8"/>
        <v>0</v>
      </c>
      <c r="I95" s="1354">
        <v>-203.08</v>
      </c>
      <c r="J95" s="1355">
        <v>0</v>
      </c>
      <c r="K95" s="1355">
        <v>-195.12</v>
      </c>
      <c r="L95" s="1355">
        <v>0</v>
      </c>
      <c r="M95" s="1355">
        <v>0</v>
      </c>
      <c r="N95" s="1356">
        <v>-398.2</v>
      </c>
      <c r="O95" s="1348"/>
      <c r="P95" s="1349"/>
      <c r="Q95" s="1349"/>
      <c r="R95" s="1349"/>
      <c r="S95" s="1349"/>
      <c r="T95" s="1350"/>
      <c r="U95" s="1348"/>
      <c r="V95" s="1349"/>
      <c r="W95" s="1349"/>
      <c r="X95" s="1349"/>
      <c r="Y95" s="1349"/>
      <c r="Z95" s="1350"/>
      <c r="AA95" s="1348"/>
      <c r="AB95" s="1349"/>
      <c r="AC95" s="1349"/>
      <c r="AD95" s="1349"/>
      <c r="AE95" s="1349"/>
      <c r="AF95" s="1350"/>
      <c r="AG95" s="1348"/>
      <c r="AH95" s="1349"/>
      <c r="AI95" s="1349"/>
      <c r="AJ95" s="1349"/>
      <c r="AK95" s="1349"/>
      <c r="AL95" s="1350"/>
      <c r="AM95" s="1354">
        <v>269508.44089999999</v>
      </c>
      <c r="AN95" s="1355">
        <v>0</v>
      </c>
      <c r="AO95" s="1355">
        <v>278226.15909999999</v>
      </c>
      <c r="AP95" s="1356">
        <v>547734.6</v>
      </c>
    </row>
    <row r="96" spans="1:42" s="666" customFormat="1" ht="15" customHeight="1">
      <c r="A96" s="1333" t="s">
        <v>237</v>
      </c>
      <c r="B96" s="1334" t="s">
        <v>238</v>
      </c>
      <c r="C96" s="1148" t="s">
        <v>273</v>
      </c>
      <c r="D96" s="1291">
        <f t="shared" si="5"/>
        <v>124177.59259999999</v>
      </c>
      <c r="E96" s="1218">
        <f t="shared" si="6"/>
        <v>118932.3174</v>
      </c>
      <c r="F96" s="1218">
        <f t="shared" si="7"/>
        <v>0</v>
      </c>
      <c r="G96" s="1218">
        <f t="shared" si="8"/>
        <v>0</v>
      </c>
      <c r="H96" s="1219">
        <f t="shared" si="8"/>
        <v>0</v>
      </c>
      <c r="I96" s="1354">
        <v>-196.52</v>
      </c>
      <c r="J96" s="1355">
        <v>0</v>
      </c>
      <c r="K96" s="1355">
        <v>-188.81</v>
      </c>
      <c r="L96" s="1355">
        <v>0</v>
      </c>
      <c r="M96" s="1355">
        <v>0</v>
      </c>
      <c r="N96" s="1356">
        <v>-385.33</v>
      </c>
      <c r="O96" s="1348"/>
      <c r="P96" s="1349"/>
      <c r="Q96" s="1349"/>
      <c r="R96" s="1349"/>
      <c r="S96" s="1349"/>
      <c r="T96" s="1350"/>
      <c r="U96" s="1348"/>
      <c r="V96" s="1349"/>
      <c r="W96" s="1349"/>
      <c r="X96" s="1349"/>
      <c r="Y96" s="1349"/>
      <c r="Z96" s="1350"/>
      <c r="AA96" s="1348"/>
      <c r="AB96" s="1349"/>
      <c r="AC96" s="1349"/>
      <c r="AD96" s="1349"/>
      <c r="AE96" s="1349"/>
      <c r="AF96" s="1350"/>
      <c r="AG96" s="1348"/>
      <c r="AH96" s="1349"/>
      <c r="AI96" s="1349"/>
      <c r="AJ96" s="1349"/>
      <c r="AK96" s="1349"/>
      <c r="AL96" s="1350"/>
      <c r="AM96" s="1354">
        <v>124374.11259999999</v>
      </c>
      <c r="AN96" s="1355">
        <v>0</v>
      </c>
      <c r="AO96" s="1355">
        <v>119121.1274</v>
      </c>
      <c r="AP96" s="1356">
        <v>243495.24</v>
      </c>
    </row>
    <row r="97" spans="1:42" s="666" customFormat="1" ht="15" customHeight="1">
      <c r="A97" s="1333" t="s">
        <v>243</v>
      </c>
      <c r="B97" s="1334" t="s">
        <v>244</v>
      </c>
      <c r="C97" s="1148" t="s">
        <v>275</v>
      </c>
      <c r="D97" s="1291">
        <f t="shared" si="5"/>
        <v>587246.92009999999</v>
      </c>
      <c r="E97" s="1218">
        <f t="shared" si="6"/>
        <v>583623.23990000004</v>
      </c>
      <c r="F97" s="1218">
        <f t="shared" si="7"/>
        <v>0</v>
      </c>
      <c r="G97" s="1218">
        <f t="shared" si="8"/>
        <v>0</v>
      </c>
      <c r="H97" s="1219">
        <f t="shared" si="8"/>
        <v>0</v>
      </c>
      <c r="I97" s="1354">
        <v>-1078.8599999999999</v>
      </c>
      <c r="J97" s="1355">
        <v>0</v>
      </c>
      <c r="K97" s="1355">
        <v>-1036.6199999999999</v>
      </c>
      <c r="L97" s="1355">
        <v>0</v>
      </c>
      <c r="M97" s="1355">
        <v>0</v>
      </c>
      <c r="N97" s="1356">
        <v>-2115.48</v>
      </c>
      <c r="O97" s="1348"/>
      <c r="P97" s="1349"/>
      <c r="Q97" s="1349"/>
      <c r="R97" s="1349"/>
      <c r="S97" s="1349"/>
      <c r="T97" s="1350"/>
      <c r="U97" s="1348"/>
      <c r="V97" s="1349"/>
      <c r="W97" s="1349"/>
      <c r="X97" s="1349"/>
      <c r="Y97" s="1349"/>
      <c r="Z97" s="1350"/>
      <c r="AA97" s="1348"/>
      <c r="AB97" s="1349"/>
      <c r="AC97" s="1349"/>
      <c r="AD97" s="1349"/>
      <c r="AE97" s="1349"/>
      <c r="AF97" s="1350"/>
      <c r="AG97" s="1348"/>
      <c r="AH97" s="1349"/>
      <c r="AI97" s="1349"/>
      <c r="AJ97" s="1349"/>
      <c r="AK97" s="1349"/>
      <c r="AL97" s="1350"/>
      <c r="AM97" s="1354">
        <v>588325.78009999997</v>
      </c>
      <c r="AN97" s="1355">
        <v>0</v>
      </c>
      <c r="AO97" s="1355">
        <v>584659.85990000004</v>
      </c>
      <c r="AP97" s="1356">
        <v>1172985.6399999999</v>
      </c>
    </row>
    <row r="98" spans="1:42" s="666" customFormat="1" ht="15" customHeight="1">
      <c r="A98" s="1333" t="s">
        <v>245</v>
      </c>
      <c r="B98" s="1334" t="s">
        <v>246</v>
      </c>
      <c r="C98" s="1148" t="s">
        <v>275</v>
      </c>
      <c r="D98" s="1291">
        <f t="shared" si="5"/>
        <v>177122.99309999999</v>
      </c>
      <c r="E98" s="1218">
        <f t="shared" si="6"/>
        <v>184879.9969</v>
      </c>
      <c r="F98" s="1218">
        <f t="shared" si="7"/>
        <v>113</v>
      </c>
      <c r="G98" s="1218">
        <f t="shared" si="8"/>
        <v>0</v>
      </c>
      <c r="H98" s="1219">
        <f t="shared" si="8"/>
        <v>113</v>
      </c>
      <c r="I98" s="1354">
        <v>-1389.13</v>
      </c>
      <c r="J98" s="1355">
        <v>0</v>
      </c>
      <c r="K98" s="1355">
        <v>-1334.62</v>
      </c>
      <c r="L98" s="1355">
        <v>0</v>
      </c>
      <c r="M98" s="1355">
        <v>-126.6</v>
      </c>
      <c r="N98" s="1356">
        <v>-2850.35</v>
      </c>
      <c r="O98" s="1348"/>
      <c r="P98" s="1349"/>
      <c r="Q98" s="1349"/>
      <c r="R98" s="1349"/>
      <c r="S98" s="1349"/>
      <c r="T98" s="1350"/>
      <c r="U98" s="1354">
        <v>0</v>
      </c>
      <c r="V98" s="1355">
        <v>0</v>
      </c>
      <c r="W98" s="1355">
        <v>-259.60000000000002</v>
      </c>
      <c r="X98" s="1355">
        <v>0</v>
      </c>
      <c r="Y98" s="1355">
        <v>239.6</v>
      </c>
      <c r="Z98" s="1356">
        <v>-20</v>
      </c>
      <c r="AA98" s="1348"/>
      <c r="AB98" s="1349"/>
      <c r="AC98" s="1349"/>
      <c r="AD98" s="1349"/>
      <c r="AE98" s="1349"/>
      <c r="AF98" s="1350"/>
      <c r="AG98" s="1348"/>
      <c r="AH98" s="1349"/>
      <c r="AI98" s="1349"/>
      <c r="AJ98" s="1349"/>
      <c r="AK98" s="1349"/>
      <c r="AL98" s="1350"/>
      <c r="AM98" s="1354">
        <v>178512.1231</v>
      </c>
      <c r="AN98" s="1355">
        <v>0</v>
      </c>
      <c r="AO98" s="1355">
        <v>186474.2169</v>
      </c>
      <c r="AP98" s="1356">
        <v>364986.34</v>
      </c>
    </row>
    <row r="99" spans="1:42" s="666" customFormat="1" ht="15" customHeight="1">
      <c r="A99" s="1333" t="s">
        <v>247</v>
      </c>
      <c r="B99" s="1334" t="s">
        <v>332</v>
      </c>
      <c r="C99" s="1148" t="s">
        <v>271</v>
      </c>
      <c r="D99" s="1291">
        <f t="shared" si="5"/>
        <v>288013.97229999996</v>
      </c>
      <c r="E99" s="1218">
        <f t="shared" si="6"/>
        <v>281854.45770000003</v>
      </c>
      <c r="F99" s="1218">
        <f t="shared" si="7"/>
        <v>0</v>
      </c>
      <c r="G99" s="1218">
        <f t="shared" si="8"/>
        <v>0</v>
      </c>
      <c r="H99" s="1219">
        <f t="shared" si="8"/>
        <v>0</v>
      </c>
      <c r="I99" s="1354">
        <v>-7.65</v>
      </c>
      <c r="J99" s="1355">
        <v>0</v>
      </c>
      <c r="K99" s="1355">
        <v>-7.35</v>
      </c>
      <c r="L99" s="1355">
        <v>0</v>
      </c>
      <c r="M99" s="1355">
        <v>0</v>
      </c>
      <c r="N99" s="1356">
        <v>-15</v>
      </c>
      <c r="O99" s="1348"/>
      <c r="P99" s="1349"/>
      <c r="Q99" s="1349"/>
      <c r="R99" s="1349"/>
      <c r="S99" s="1349"/>
      <c r="T99" s="1350"/>
      <c r="U99" s="1348"/>
      <c r="V99" s="1349"/>
      <c r="W99" s="1349"/>
      <c r="X99" s="1349"/>
      <c r="Y99" s="1349"/>
      <c r="Z99" s="1350"/>
      <c r="AA99" s="1348"/>
      <c r="AB99" s="1349"/>
      <c r="AC99" s="1349"/>
      <c r="AD99" s="1349"/>
      <c r="AE99" s="1349"/>
      <c r="AF99" s="1350"/>
      <c r="AG99" s="1348"/>
      <c r="AH99" s="1349"/>
      <c r="AI99" s="1349"/>
      <c r="AJ99" s="1349"/>
      <c r="AK99" s="1349"/>
      <c r="AL99" s="1350"/>
      <c r="AM99" s="1354">
        <v>288021.62229999999</v>
      </c>
      <c r="AN99" s="1355">
        <v>0</v>
      </c>
      <c r="AO99" s="1355">
        <v>281861.8077</v>
      </c>
      <c r="AP99" s="1356">
        <v>569883.43000000005</v>
      </c>
    </row>
    <row r="100" spans="1:42" s="666" customFormat="1" ht="15" customHeight="1">
      <c r="A100" s="1333" t="s">
        <v>14</v>
      </c>
      <c r="B100" s="1334" t="s">
        <v>15</v>
      </c>
      <c r="C100" s="1148" t="s">
        <v>274</v>
      </c>
      <c r="D100" s="1291">
        <f t="shared" si="5"/>
        <v>848694.51199999999</v>
      </c>
      <c r="E100" s="1218">
        <f t="shared" si="6"/>
        <v>881266.44800000009</v>
      </c>
      <c r="F100" s="1218">
        <f t="shared" si="7"/>
        <v>371.2</v>
      </c>
      <c r="G100" s="1218">
        <f t="shared" si="8"/>
        <v>0</v>
      </c>
      <c r="H100" s="1219">
        <f t="shared" si="8"/>
        <v>371.2</v>
      </c>
      <c r="I100" s="1354">
        <v>-4955.16</v>
      </c>
      <c r="J100" s="1355">
        <v>0</v>
      </c>
      <c r="K100" s="1355">
        <v>-4760.83</v>
      </c>
      <c r="L100" s="1355">
        <v>0</v>
      </c>
      <c r="M100" s="1355">
        <v>371.2</v>
      </c>
      <c r="N100" s="1356">
        <v>-9344.7900000000009</v>
      </c>
      <c r="O100" s="1348"/>
      <c r="P100" s="1349"/>
      <c r="Q100" s="1349"/>
      <c r="R100" s="1349"/>
      <c r="S100" s="1349"/>
      <c r="T100" s="1350"/>
      <c r="U100" s="1348"/>
      <c r="V100" s="1349"/>
      <c r="W100" s="1349"/>
      <c r="X100" s="1349"/>
      <c r="Y100" s="1349"/>
      <c r="Z100" s="1350"/>
      <c r="AA100" s="1348"/>
      <c r="AB100" s="1349"/>
      <c r="AC100" s="1349"/>
      <c r="AD100" s="1349"/>
      <c r="AE100" s="1349"/>
      <c r="AF100" s="1350"/>
      <c r="AG100" s="1348"/>
      <c r="AH100" s="1349"/>
      <c r="AI100" s="1349"/>
      <c r="AJ100" s="1349"/>
      <c r="AK100" s="1349"/>
      <c r="AL100" s="1350"/>
      <c r="AM100" s="1354">
        <v>853649.67200000002</v>
      </c>
      <c r="AN100" s="1355">
        <v>0</v>
      </c>
      <c r="AO100" s="1355">
        <v>886027.27800000005</v>
      </c>
      <c r="AP100" s="1356">
        <v>1739676.95</v>
      </c>
    </row>
    <row r="101" spans="1:42" s="666" customFormat="1" ht="15" customHeight="1">
      <c r="A101" s="1333" t="s">
        <v>35</v>
      </c>
      <c r="B101" s="1334" t="s">
        <v>36</v>
      </c>
      <c r="C101" s="1148" t="s">
        <v>275</v>
      </c>
      <c r="D101" s="1291">
        <f t="shared" si="5"/>
        <v>398882.92320000002</v>
      </c>
      <c r="E101" s="1218">
        <f t="shared" si="6"/>
        <v>482754.35680000001</v>
      </c>
      <c r="F101" s="1218">
        <f t="shared" si="7"/>
        <v>0</v>
      </c>
      <c r="G101" s="1218">
        <f t="shared" si="8"/>
        <v>0</v>
      </c>
      <c r="H101" s="1219">
        <f t="shared" si="8"/>
        <v>0</v>
      </c>
      <c r="I101" s="1348"/>
      <c r="J101" s="1349"/>
      <c r="K101" s="1349"/>
      <c r="L101" s="1349"/>
      <c r="M101" s="1349"/>
      <c r="N101" s="1350"/>
      <c r="O101" s="1348"/>
      <c r="P101" s="1349"/>
      <c r="Q101" s="1349"/>
      <c r="R101" s="1349"/>
      <c r="S101" s="1349"/>
      <c r="T101" s="1350"/>
      <c r="U101" s="1354">
        <v>0</v>
      </c>
      <c r="V101" s="1355">
        <v>0</v>
      </c>
      <c r="W101" s="1355">
        <v>-2117.44</v>
      </c>
      <c r="X101" s="1355">
        <v>0</v>
      </c>
      <c r="Y101" s="1355">
        <v>0</v>
      </c>
      <c r="Z101" s="1356">
        <v>-2117.44</v>
      </c>
      <c r="AA101" s="1348"/>
      <c r="AB101" s="1349"/>
      <c r="AC101" s="1349"/>
      <c r="AD101" s="1349"/>
      <c r="AE101" s="1349"/>
      <c r="AF101" s="1350"/>
      <c r="AG101" s="1348"/>
      <c r="AH101" s="1349"/>
      <c r="AI101" s="1349"/>
      <c r="AJ101" s="1349"/>
      <c r="AK101" s="1349"/>
      <c r="AL101" s="1350"/>
      <c r="AM101" s="1354">
        <v>398882.92320000002</v>
      </c>
      <c r="AN101" s="1355">
        <v>0</v>
      </c>
      <c r="AO101" s="1355">
        <v>484871.79680000001</v>
      </c>
      <c r="AP101" s="1356">
        <v>883754.72</v>
      </c>
    </row>
    <row r="102" spans="1:42" s="666" customFormat="1" ht="15" customHeight="1">
      <c r="A102" s="1333" t="s">
        <v>53</v>
      </c>
      <c r="B102" s="1334" t="s">
        <v>54</v>
      </c>
      <c r="C102" s="1148" t="s">
        <v>272</v>
      </c>
      <c r="D102" s="1291">
        <f t="shared" si="5"/>
        <v>644361.80409999995</v>
      </c>
      <c r="E102" s="1218">
        <f t="shared" si="6"/>
        <v>670677.50589999999</v>
      </c>
      <c r="F102" s="1218">
        <f t="shared" si="7"/>
        <v>41083.96</v>
      </c>
      <c r="G102" s="1218">
        <f t="shared" si="8"/>
        <v>0</v>
      </c>
      <c r="H102" s="1219">
        <f t="shared" si="8"/>
        <v>41083.96</v>
      </c>
      <c r="I102" s="1354">
        <v>-19906.89</v>
      </c>
      <c r="J102" s="1355">
        <v>0</v>
      </c>
      <c r="K102" s="1355">
        <v>-19126.18</v>
      </c>
      <c r="L102" s="1355">
        <v>0</v>
      </c>
      <c r="M102" s="1355">
        <v>39439.96</v>
      </c>
      <c r="N102" s="1356">
        <v>406.89</v>
      </c>
      <c r="O102" s="1348"/>
      <c r="P102" s="1349"/>
      <c r="Q102" s="1349"/>
      <c r="R102" s="1349"/>
      <c r="S102" s="1349"/>
      <c r="T102" s="1350"/>
      <c r="U102" s="1354">
        <v>0</v>
      </c>
      <c r="V102" s="1355">
        <v>0</v>
      </c>
      <c r="W102" s="1355">
        <v>-712.32</v>
      </c>
      <c r="X102" s="1355">
        <v>0</v>
      </c>
      <c r="Y102" s="1355">
        <v>1644</v>
      </c>
      <c r="Z102" s="1356">
        <v>931.68</v>
      </c>
      <c r="AA102" s="1348"/>
      <c r="AB102" s="1349"/>
      <c r="AC102" s="1349"/>
      <c r="AD102" s="1349"/>
      <c r="AE102" s="1349"/>
      <c r="AF102" s="1350"/>
      <c r="AG102" s="1348"/>
      <c r="AH102" s="1349"/>
      <c r="AI102" s="1349"/>
      <c r="AJ102" s="1349"/>
      <c r="AK102" s="1349"/>
      <c r="AL102" s="1350"/>
      <c r="AM102" s="1354">
        <v>664268.69409999996</v>
      </c>
      <c r="AN102" s="1355">
        <v>0</v>
      </c>
      <c r="AO102" s="1355">
        <v>690516.00589999999</v>
      </c>
      <c r="AP102" s="1356">
        <v>1354784.7</v>
      </c>
    </row>
    <row r="103" spans="1:42" s="666" customFormat="1" ht="15" customHeight="1">
      <c r="A103" s="1333" t="s">
        <v>55</v>
      </c>
      <c r="B103" s="1334" t="s">
        <v>56</v>
      </c>
      <c r="C103" s="1148" t="s">
        <v>271</v>
      </c>
      <c r="D103" s="1291">
        <f t="shared" si="5"/>
        <v>1864071.5548999999</v>
      </c>
      <c r="E103" s="1218">
        <f t="shared" si="6"/>
        <v>1666587.3651000001</v>
      </c>
      <c r="F103" s="1218">
        <f t="shared" si="7"/>
        <v>-2103.52</v>
      </c>
      <c r="G103" s="1218">
        <f t="shared" si="8"/>
        <v>0</v>
      </c>
      <c r="H103" s="1219">
        <f t="shared" si="8"/>
        <v>-2103.52</v>
      </c>
      <c r="I103" s="1354">
        <v>-3353.29</v>
      </c>
      <c r="J103" s="1355">
        <v>0</v>
      </c>
      <c r="K103" s="1355">
        <v>-3221.79</v>
      </c>
      <c r="L103" s="1355">
        <v>0</v>
      </c>
      <c r="M103" s="1355">
        <v>-2103.52</v>
      </c>
      <c r="N103" s="1356">
        <v>-8678.6</v>
      </c>
      <c r="O103" s="1348"/>
      <c r="P103" s="1349"/>
      <c r="Q103" s="1349"/>
      <c r="R103" s="1349"/>
      <c r="S103" s="1349"/>
      <c r="T103" s="1350"/>
      <c r="U103" s="1348"/>
      <c r="V103" s="1349"/>
      <c r="W103" s="1349"/>
      <c r="X103" s="1349"/>
      <c r="Y103" s="1349"/>
      <c r="Z103" s="1350"/>
      <c r="AA103" s="1348"/>
      <c r="AB103" s="1349"/>
      <c r="AC103" s="1349"/>
      <c r="AD103" s="1349"/>
      <c r="AE103" s="1349"/>
      <c r="AF103" s="1350"/>
      <c r="AG103" s="1348"/>
      <c r="AH103" s="1349"/>
      <c r="AI103" s="1349"/>
      <c r="AJ103" s="1349"/>
      <c r="AK103" s="1349"/>
      <c r="AL103" s="1350"/>
      <c r="AM103" s="1354">
        <v>1867424.8448999999</v>
      </c>
      <c r="AN103" s="1355">
        <v>0</v>
      </c>
      <c r="AO103" s="1355">
        <v>1669809.1551000001</v>
      </c>
      <c r="AP103" s="1356">
        <v>3537234</v>
      </c>
    </row>
    <row r="104" spans="1:42" s="666" customFormat="1" ht="15" customHeight="1">
      <c r="A104" s="1333" t="s">
        <v>67</v>
      </c>
      <c r="B104" s="1334" t="s">
        <v>68</v>
      </c>
      <c r="C104" s="1148" t="s">
        <v>272</v>
      </c>
      <c r="D104" s="1291">
        <f t="shared" si="5"/>
        <v>635133.0871</v>
      </c>
      <c r="E104" s="1218">
        <f t="shared" si="6"/>
        <v>571749.47290000005</v>
      </c>
      <c r="F104" s="1218">
        <f t="shared" si="7"/>
        <v>0</v>
      </c>
      <c r="G104" s="1218">
        <f t="shared" si="8"/>
        <v>0</v>
      </c>
      <c r="H104" s="1219">
        <f t="shared" si="8"/>
        <v>0</v>
      </c>
      <c r="I104" s="1354">
        <v>-845.26</v>
      </c>
      <c r="J104" s="1355">
        <v>0</v>
      </c>
      <c r="K104" s="1355">
        <v>-812.11</v>
      </c>
      <c r="L104" s="1355">
        <v>0</v>
      </c>
      <c r="M104" s="1355">
        <v>0</v>
      </c>
      <c r="N104" s="1356">
        <v>-1657.37</v>
      </c>
      <c r="O104" s="1348"/>
      <c r="P104" s="1349"/>
      <c r="Q104" s="1349"/>
      <c r="R104" s="1349"/>
      <c r="S104" s="1349"/>
      <c r="T104" s="1350"/>
      <c r="U104" s="1348"/>
      <c r="V104" s="1349"/>
      <c r="W104" s="1349"/>
      <c r="X104" s="1349"/>
      <c r="Y104" s="1349"/>
      <c r="Z104" s="1350"/>
      <c r="AA104" s="1348"/>
      <c r="AB104" s="1349"/>
      <c r="AC104" s="1349"/>
      <c r="AD104" s="1349"/>
      <c r="AE104" s="1349"/>
      <c r="AF104" s="1350"/>
      <c r="AG104" s="1348"/>
      <c r="AH104" s="1349"/>
      <c r="AI104" s="1349"/>
      <c r="AJ104" s="1349"/>
      <c r="AK104" s="1349"/>
      <c r="AL104" s="1350"/>
      <c r="AM104" s="1354">
        <v>635978.34710000001</v>
      </c>
      <c r="AN104" s="1355">
        <v>0</v>
      </c>
      <c r="AO104" s="1355">
        <v>572561.58290000004</v>
      </c>
      <c r="AP104" s="1356">
        <v>1208539.93</v>
      </c>
    </row>
    <row r="105" spans="1:42" s="666" customFormat="1" ht="15" customHeight="1">
      <c r="A105" s="1333" t="s">
        <v>83</v>
      </c>
      <c r="B105" s="1334" t="s">
        <v>333</v>
      </c>
      <c r="C105" s="1148" t="s">
        <v>271</v>
      </c>
      <c r="D105" s="1291">
        <f t="shared" si="5"/>
        <v>176490.9816</v>
      </c>
      <c r="E105" s="1218">
        <f t="shared" si="6"/>
        <v>177131.33840000001</v>
      </c>
      <c r="F105" s="1218">
        <f t="shared" si="7"/>
        <v>0</v>
      </c>
      <c r="G105" s="1218">
        <f t="shared" si="8"/>
        <v>0</v>
      </c>
      <c r="H105" s="1219">
        <f t="shared" si="8"/>
        <v>0</v>
      </c>
      <c r="I105" s="1348"/>
      <c r="J105" s="1349"/>
      <c r="K105" s="1349"/>
      <c r="L105" s="1349"/>
      <c r="M105" s="1349"/>
      <c r="N105" s="1350"/>
      <c r="O105" s="1348"/>
      <c r="P105" s="1349"/>
      <c r="Q105" s="1349"/>
      <c r="R105" s="1349"/>
      <c r="S105" s="1349"/>
      <c r="T105" s="1350"/>
      <c r="U105" s="1348"/>
      <c r="V105" s="1349"/>
      <c r="W105" s="1349"/>
      <c r="X105" s="1349"/>
      <c r="Y105" s="1349"/>
      <c r="Z105" s="1350"/>
      <c r="AA105" s="1348"/>
      <c r="AB105" s="1349"/>
      <c r="AC105" s="1349"/>
      <c r="AD105" s="1349"/>
      <c r="AE105" s="1349"/>
      <c r="AF105" s="1350"/>
      <c r="AG105" s="1348"/>
      <c r="AH105" s="1349"/>
      <c r="AI105" s="1349"/>
      <c r="AJ105" s="1349"/>
      <c r="AK105" s="1349"/>
      <c r="AL105" s="1350"/>
      <c r="AM105" s="1354">
        <v>176490.9816</v>
      </c>
      <c r="AN105" s="1355">
        <v>0</v>
      </c>
      <c r="AO105" s="1355">
        <v>177131.33840000001</v>
      </c>
      <c r="AP105" s="1356">
        <v>353622.32</v>
      </c>
    </row>
    <row r="106" spans="1:42" s="666" customFormat="1" ht="15" customHeight="1">
      <c r="A106" s="1333" t="s">
        <v>89</v>
      </c>
      <c r="B106" s="1334" t="s">
        <v>90</v>
      </c>
      <c r="C106" s="1148" t="s">
        <v>274</v>
      </c>
      <c r="D106" s="1291">
        <f t="shared" si="5"/>
        <v>368216.83810000005</v>
      </c>
      <c r="E106" s="1218">
        <f t="shared" si="6"/>
        <v>434373.67190000002</v>
      </c>
      <c r="F106" s="1218">
        <f t="shared" si="7"/>
        <v>0</v>
      </c>
      <c r="G106" s="1218">
        <f t="shared" si="8"/>
        <v>0</v>
      </c>
      <c r="H106" s="1219">
        <f t="shared" si="8"/>
        <v>0</v>
      </c>
      <c r="I106" s="1354">
        <v>-353.41</v>
      </c>
      <c r="J106" s="1355">
        <v>0</v>
      </c>
      <c r="K106" s="1355">
        <v>-339.55</v>
      </c>
      <c r="L106" s="1355">
        <v>0</v>
      </c>
      <c r="M106" s="1355">
        <v>0</v>
      </c>
      <c r="N106" s="1356">
        <v>-692.96</v>
      </c>
      <c r="O106" s="1348"/>
      <c r="P106" s="1349"/>
      <c r="Q106" s="1349"/>
      <c r="R106" s="1349"/>
      <c r="S106" s="1349"/>
      <c r="T106" s="1350"/>
      <c r="U106" s="1354">
        <v>0</v>
      </c>
      <c r="V106" s="1355">
        <v>0</v>
      </c>
      <c r="W106" s="1355">
        <v>-55</v>
      </c>
      <c r="X106" s="1355">
        <v>0</v>
      </c>
      <c r="Y106" s="1355">
        <v>0</v>
      </c>
      <c r="Z106" s="1356">
        <v>-55</v>
      </c>
      <c r="AA106" s="1348"/>
      <c r="AB106" s="1349"/>
      <c r="AC106" s="1349"/>
      <c r="AD106" s="1349"/>
      <c r="AE106" s="1349"/>
      <c r="AF106" s="1350"/>
      <c r="AG106" s="1348"/>
      <c r="AH106" s="1349"/>
      <c r="AI106" s="1349"/>
      <c r="AJ106" s="1349"/>
      <c r="AK106" s="1349"/>
      <c r="AL106" s="1350"/>
      <c r="AM106" s="1354">
        <v>368570.24810000003</v>
      </c>
      <c r="AN106" s="1355">
        <v>0</v>
      </c>
      <c r="AO106" s="1355">
        <v>434768.2219</v>
      </c>
      <c r="AP106" s="1356">
        <v>803338.47</v>
      </c>
    </row>
    <row r="107" spans="1:42" s="666" customFormat="1" ht="15" customHeight="1">
      <c r="A107" s="1333" t="s">
        <v>91</v>
      </c>
      <c r="B107" s="1334" t="s">
        <v>92</v>
      </c>
      <c r="C107" s="1148" t="s">
        <v>275</v>
      </c>
      <c r="D107" s="1291">
        <f t="shared" si="5"/>
        <v>100967.3904</v>
      </c>
      <c r="E107" s="1218">
        <f t="shared" si="6"/>
        <v>105840.2696</v>
      </c>
      <c r="F107" s="1218">
        <f t="shared" si="7"/>
        <v>0</v>
      </c>
      <c r="G107" s="1218">
        <f t="shared" si="8"/>
        <v>0</v>
      </c>
      <c r="H107" s="1219">
        <f t="shared" si="8"/>
        <v>0</v>
      </c>
      <c r="I107" s="1354">
        <v>-76.5</v>
      </c>
      <c r="J107" s="1355">
        <v>0</v>
      </c>
      <c r="K107" s="1355">
        <v>-73.5</v>
      </c>
      <c r="L107" s="1355">
        <v>0</v>
      </c>
      <c r="M107" s="1355">
        <v>0</v>
      </c>
      <c r="N107" s="1356">
        <v>-150</v>
      </c>
      <c r="O107" s="1348"/>
      <c r="P107" s="1349"/>
      <c r="Q107" s="1349"/>
      <c r="R107" s="1349"/>
      <c r="S107" s="1349"/>
      <c r="T107" s="1350"/>
      <c r="U107" s="1348"/>
      <c r="V107" s="1349"/>
      <c r="W107" s="1349"/>
      <c r="X107" s="1349"/>
      <c r="Y107" s="1349"/>
      <c r="Z107" s="1350"/>
      <c r="AA107" s="1348"/>
      <c r="AB107" s="1349"/>
      <c r="AC107" s="1349"/>
      <c r="AD107" s="1349"/>
      <c r="AE107" s="1349"/>
      <c r="AF107" s="1350"/>
      <c r="AG107" s="1348"/>
      <c r="AH107" s="1349"/>
      <c r="AI107" s="1349"/>
      <c r="AJ107" s="1349"/>
      <c r="AK107" s="1349"/>
      <c r="AL107" s="1350"/>
      <c r="AM107" s="1354">
        <v>101043.8904</v>
      </c>
      <c r="AN107" s="1355">
        <v>0</v>
      </c>
      <c r="AO107" s="1355">
        <v>105913.7696</v>
      </c>
      <c r="AP107" s="1356">
        <v>206957.66</v>
      </c>
    </row>
    <row r="108" spans="1:42" s="666" customFormat="1" ht="15" customHeight="1">
      <c r="A108" s="1333" t="s">
        <v>107</v>
      </c>
      <c r="B108" s="1334" t="s">
        <v>108</v>
      </c>
      <c r="C108" s="1148" t="s">
        <v>271</v>
      </c>
      <c r="D108" s="1291">
        <f t="shared" si="5"/>
        <v>2792075.7886000001</v>
      </c>
      <c r="E108" s="1218">
        <f t="shared" si="6"/>
        <v>2639829.3114</v>
      </c>
      <c r="F108" s="1218">
        <f t="shared" si="7"/>
        <v>311.04000000000002</v>
      </c>
      <c r="G108" s="1218">
        <f t="shared" si="8"/>
        <v>0</v>
      </c>
      <c r="H108" s="1219">
        <f t="shared" si="8"/>
        <v>311.04000000000002</v>
      </c>
      <c r="I108" s="1354">
        <v>-3298.34</v>
      </c>
      <c r="J108" s="1355">
        <v>0</v>
      </c>
      <c r="K108" s="1355">
        <v>-3169.01</v>
      </c>
      <c r="L108" s="1355">
        <v>0</v>
      </c>
      <c r="M108" s="1355">
        <v>0</v>
      </c>
      <c r="N108" s="1356">
        <v>-6467.35</v>
      </c>
      <c r="O108" s="1354">
        <v>67.61</v>
      </c>
      <c r="P108" s="1355">
        <v>0</v>
      </c>
      <c r="Q108" s="1355">
        <v>64.95</v>
      </c>
      <c r="R108" s="1355">
        <v>0</v>
      </c>
      <c r="S108" s="1355">
        <v>311.04000000000002</v>
      </c>
      <c r="T108" s="1356">
        <v>443.6</v>
      </c>
      <c r="U108" s="1348"/>
      <c r="V108" s="1349"/>
      <c r="W108" s="1349"/>
      <c r="X108" s="1349"/>
      <c r="Y108" s="1349"/>
      <c r="Z108" s="1350"/>
      <c r="AA108" s="1348"/>
      <c r="AB108" s="1349"/>
      <c r="AC108" s="1349"/>
      <c r="AD108" s="1349"/>
      <c r="AE108" s="1349"/>
      <c r="AF108" s="1350"/>
      <c r="AG108" s="1348"/>
      <c r="AH108" s="1349"/>
      <c r="AI108" s="1349"/>
      <c r="AJ108" s="1349"/>
      <c r="AK108" s="1349"/>
      <c r="AL108" s="1350"/>
      <c r="AM108" s="1354">
        <v>2795306.5186000001</v>
      </c>
      <c r="AN108" s="1355">
        <v>0</v>
      </c>
      <c r="AO108" s="1355">
        <v>2642933.3714000001</v>
      </c>
      <c r="AP108" s="1356">
        <v>5438239.8899999997</v>
      </c>
    </row>
    <row r="109" spans="1:42" s="666" customFormat="1" ht="15" customHeight="1">
      <c r="A109" s="1333" t="s">
        <v>117</v>
      </c>
      <c r="B109" s="1334" t="s">
        <v>118</v>
      </c>
      <c r="C109" s="1148" t="s">
        <v>273</v>
      </c>
      <c r="D109" s="1291">
        <f t="shared" si="5"/>
        <v>557031.20120000001</v>
      </c>
      <c r="E109" s="1218">
        <f t="shared" si="6"/>
        <v>574295.88879999996</v>
      </c>
      <c r="F109" s="1218">
        <f t="shared" si="7"/>
        <v>0</v>
      </c>
      <c r="G109" s="1218">
        <f t="shared" si="8"/>
        <v>0</v>
      </c>
      <c r="H109" s="1219">
        <f t="shared" si="8"/>
        <v>0</v>
      </c>
      <c r="I109" s="1348"/>
      <c r="J109" s="1349"/>
      <c r="K109" s="1349"/>
      <c r="L109" s="1349"/>
      <c r="M109" s="1349"/>
      <c r="N109" s="1350"/>
      <c r="O109" s="1354">
        <v>51</v>
      </c>
      <c r="P109" s="1355">
        <v>0</v>
      </c>
      <c r="Q109" s="1355">
        <v>49</v>
      </c>
      <c r="R109" s="1355">
        <v>0</v>
      </c>
      <c r="S109" s="1355">
        <v>0</v>
      </c>
      <c r="T109" s="1356">
        <v>100</v>
      </c>
      <c r="U109" s="1348"/>
      <c r="V109" s="1349"/>
      <c r="W109" s="1349"/>
      <c r="X109" s="1349"/>
      <c r="Y109" s="1349"/>
      <c r="Z109" s="1350"/>
      <c r="AA109" s="1348"/>
      <c r="AB109" s="1349"/>
      <c r="AC109" s="1349"/>
      <c r="AD109" s="1349"/>
      <c r="AE109" s="1349"/>
      <c r="AF109" s="1350"/>
      <c r="AG109" s="1348"/>
      <c r="AH109" s="1349"/>
      <c r="AI109" s="1349"/>
      <c r="AJ109" s="1349"/>
      <c r="AK109" s="1349"/>
      <c r="AL109" s="1350"/>
      <c r="AM109" s="1354">
        <v>556980.20120000001</v>
      </c>
      <c r="AN109" s="1355">
        <v>0</v>
      </c>
      <c r="AO109" s="1355">
        <v>574246.88879999996</v>
      </c>
      <c r="AP109" s="1356">
        <v>1131227.0900000001</v>
      </c>
    </row>
    <row r="110" spans="1:42" s="666" customFormat="1" ht="15" customHeight="1">
      <c r="A110" s="1333" t="s">
        <v>139</v>
      </c>
      <c r="B110" s="1334" t="s">
        <v>140</v>
      </c>
      <c r="C110" s="1148" t="s">
        <v>272</v>
      </c>
      <c r="D110" s="1291">
        <f t="shared" si="5"/>
        <v>1036550.1385</v>
      </c>
      <c r="E110" s="1218">
        <f t="shared" si="6"/>
        <v>891097.45149999997</v>
      </c>
      <c r="F110" s="1218">
        <f t="shared" si="7"/>
        <v>-935.81</v>
      </c>
      <c r="G110" s="1218">
        <f t="shared" si="8"/>
        <v>0</v>
      </c>
      <c r="H110" s="1219">
        <f t="shared" si="8"/>
        <v>-935.81</v>
      </c>
      <c r="I110" s="1354">
        <v>444.93</v>
      </c>
      <c r="J110" s="1355">
        <v>0</v>
      </c>
      <c r="K110" s="1355">
        <v>427.48</v>
      </c>
      <c r="L110" s="1355">
        <v>0</v>
      </c>
      <c r="M110" s="1355">
        <v>-935.81</v>
      </c>
      <c r="N110" s="1356">
        <v>-63.4</v>
      </c>
      <c r="O110" s="1348"/>
      <c r="P110" s="1349"/>
      <c r="Q110" s="1349"/>
      <c r="R110" s="1349"/>
      <c r="S110" s="1349"/>
      <c r="T110" s="1350"/>
      <c r="U110" s="1348"/>
      <c r="V110" s="1349"/>
      <c r="W110" s="1349"/>
      <c r="X110" s="1349"/>
      <c r="Y110" s="1349"/>
      <c r="Z110" s="1350"/>
      <c r="AA110" s="1348"/>
      <c r="AB110" s="1349"/>
      <c r="AC110" s="1349"/>
      <c r="AD110" s="1349"/>
      <c r="AE110" s="1349"/>
      <c r="AF110" s="1350"/>
      <c r="AG110" s="1354">
        <v>108927.23</v>
      </c>
      <c r="AH110" s="1355">
        <v>0</v>
      </c>
      <c r="AI110" s="1355">
        <v>0</v>
      </c>
      <c r="AJ110" s="1355">
        <v>0</v>
      </c>
      <c r="AK110" s="1355">
        <v>0</v>
      </c>
      <c r="AL110" s="1356">
        <v>108927.23</v>
      </c>
      <c r="AM110" s="1354">
        <v>927177.97849999997</v>
      </c>
      <c r="AN110" s="1355">
        <v>0</v>
      </c>
      <c r="AO110" s="1355">
        <v>890669.97149999999</v>
      </c>
      <c r="AP110" s="1356">
        <v>1817847.95</v>
      </c>
    </row>
    <row r="111" spans="1:42" s="666" customFormat="1" ht="15" customHeight="1">
      <c r="A111" s="1333" t="s">
        <v>143</v>
      </c>
      <c r="B111" s="1334" t="s">
        <v>144</v>
      </c>
      <c r="C111" s="1148" t="s">
        <v>274</v>
      </c>
      <c r="D111" s="1291">
        <f t="shared" si="5"/>
        <v>388173.01630000002</v>
      </c>
      <c r="E111" s="1218">
        <f t="shared" si="6"/>
        <v>391470.93369999999</v>
      </c>
      <c r="F111" s="1218">
        <f t="shared" si="7"/>
        <v>0</v>
      </c>
      <c r="G111" s="1218">
        <f t="shared" si="8"/>
        <v>0</v>
      </c>
      <c r="H111" s="1219">
        <f t="shared" si="8"/>
        <v>0</v>
      </c>
      <c r="I111" s="1348"/>
      <c r="J111" s="1349"/>
      <c r="K111" s="1349"/>
      <c r="L111" s="1349"/>
      <c r="M111" s="1349"/>
      <c r="N111" s="1350"/>
      <c r="O111" s="1348"/>
      <c r="P111" s="1349"/>
      <c r="Q111" s="1349"/>
      <c r="R111" s="1349"/>
      <c r="S111" s="1349"/>
      <c r="T111" s="1350"/>
      <c r="U111" s="1348"/>
      <c r="V111" s="1349"/>
      <c r="W111" s="1349"/>
      <c r="X111" s="1349"/>
      <c r="Y111" s="1349"/>
      <c r="Z111" s="1350"/>
      <c r="AA111" s="1348"/>
      <c r="AB111" s="1349"/>
      <c r="AC111" s="1349"/>
      <c r="AD111" s="1349"/>
      <c r="AE111" s="1349"/>
      <c r="AF111" s="1350"/>
      <c r="AG111" s="1348"/>
      <c r="AH111" s="1349"/>
      <c r="AI111" s="1349"/>
      <c r="AJ111" s="1349"/>
      <c r="AK111" s="1349"/>
      <c r="AL111" s="1350"/>
      <c r="AM111" s="1354">
        <v>388173.01630000002</v>
      </c>
      <c r="AN111" s="1355">
        <v>0</v>
      </c>
      <c r="AO111" s="1355">
        <v>391470.93369999999</v>
      </c>
      <c r="AP111" s="1356">
        <v>779643.95</v>
      </c>
    </row>
    <row r="112" spans="1:42" s="666" customFormat="1" ht="15" customHeight="1">
      <c r="A112" s="1333" t="s">
        <v>145</v>
      </c>
      <c r="B112" s="1334" t="s">
        <v>146</v>
      </c>
      <c r="C112" s="1148" t="s">
        <v>274</v>
      </c>
      <c r="D112" s="1291">
        <f t="shared" si="5"/>
        <v>79961.282099999997</v>
      </c>
      <c r="E112" s="1218">
        <f t="shared" si="6"/>
        <v>77366.217900000003</v>
      </c>
      <c r="F112" s="1218">
        <f t="shared" si="7"/>
        <v>-273</v>
      </c>
      <c r="G112" s="1218">
        <f t="shared" si="8"/>
        <v>0</v>
      </c>
      <c r="H112" s="1219">
        <f t="shared" si="8"/>
        <v>-273</v>
      </c>
      <c r="I112" s="1354">
        <v>0</v>
      </c>
      <c r="J112" s="1355">
        <v>0</v>
      </c>
      <c r="K112" s="1355">
        <v>0</v>
      </c>
      <c r="L112" s="1355">
        <v>0</v>
      </c>
      <c r="M112" s="1355">
        <v>-273</v>
      </c>
      <c r="N112" s="1356">
        <v>-273</v>
      </c>
      <c r="O112" s="1348"/>
      <c r="P112" s="1349"/>
      <c r="Q112" s="1349"/>
      <c r="R112" s="1349"/>
      <c r="S112" s="1349"/>
      <c r="T112" s="1350"/>
      <c r="U112" s="1348"/>
      <c r="V112" s="1349"/>
      <c r="W112" s="1349"/>
      <c r="X112" s="1349"/>
      <c r="Y112" s="1349"/>
      <c r="Z112" s="1350"/>
      <c r="AA112" s="1348"/>
      <c r="AB112" s="1349"/>
      <c r="AC112" s="1349"/>
      <c r="AD112" s="1349"/>
      <c r="AE112" s="1349"/>
      <c r="AF112" s="1350"/>
      <c r="AG112" s="1348"/>
      <c r="AH112" s="1349"/>
      <c r="AI112" s="1349"/>
      <c r="AJ112" s="1349"/>
      <c r="AK112" s="1349"/>
      <c r="AL112" s="1350"/>
      <c r="AM112" s="1354">
        <v>79961.282099999997</v>
      </c>
      <c r="AN112" s="1355">
        <v>0</v>
      </c>
      <c r="AO112" s="1355">
        <v>77366.217900000003</v>
      </c>
      <c r="AP112" s="1356">
        <v>157327.5</v>
      </c>
    </row>
    <row r="113" spans="1:42" s="666" customFormat="1" ht="15" customHeight="1">
      <c r="A113" s="1333" t="s">
        <v>159</v>
      </c>
      <c r="B113" s="1334" t="s">
        <v>160</v>
      </c>
      <c r="C113" s="1148" t="s">
        <v>271</v>
      </c>
      <c r="D113" s="1291">
        <f t="shared" si="5"/>
        <v>3029178.6761999996</v>
      </c>
      <c r="E113" s="1218">
        <f t="shared" si="6"/>
        <v>2963820.9638</v>
      </c>
      <c r="F113" s="1218">
        <f t="shared" si="7"/>
        <v>0</v>
      </c>
      <c r="G113" s="1218">
        <f t="shared" si="8"/>
        <v>0</v>
      </c>
      <c r="H113" s="1219">
        <f t="shared" si="8"/>
        <v>0</v>
      </c>
      <c r="I113" s="1354">
        <v>-1353.91</v>
      </c>
      <c r="J113" s="1355">
        <v>0</v>
      </c>
      <c r="K113" s="1355">
        <v>-1300.82</v>
      </c>
      <c r="L113" s="1355">
        <v>0</v>
      </c>
      <c r="M113" s="1355">
        <v>0</v>
      </c>
      <c r="N113" s="1356">
        <v>-2654.73</v>
      </c>
      <c r="O113" s="1354">
        <v>765</v>
      </c>
      <c r="P113" s="1355">
        <v>0</v>
      </c>
      <c r="Q113" s="1355">
        <v>735</v>
      </c>
      <c r="R113" s="1355">
        <v>0</v>
      </c>
      <c r="S113" s="1355">
        <v>0</v>
      </c>
      <c r="T113" s="1356">
        <v>1500</v>
      </c>
      <c r="U113" s="1348"/>
      <c r="V113" s="1349"/>
      <c r="W113" s="1349"/>
      <c r="X113" s="1349"/>
      <c r="Y113" s="1349"/>
      <c r="Z113" s="1350"/>
      <c r="AA113" s="1348"/>
      <c r="AB113" s="1349"/>
      <c r="AC113" s="1349"/>
      <c r="AD113" s="1349"/>
      <c r="AE113" s="1349"/>
      <c r="AF113" s="1350"/>
      <c r="AG113" s="1348"/>
      <c r="AH113" s="1349"/>
      <c r="AI113" s="1349"/>
      <c r="AJ113" s="1349"/>
      <c r="AK113" s="1349"/>
      <c r="AL113" s="1350"/>
      <c r="AM113" s="1354">
        <v>3029767.5861999998</v>
      </c>
      <c r="AN113" s="1355">
        <v>0</v>
      </c>
      <c r="AO113" s="1355">
        <v>2964386.7837999999</v>
      </c>
      <c r="AP113" s="1356">
        <v>5994154.3700000001</v>
      </c>
    </row>
    <row r="114" spans="1:42" s="666" customFormat="1" ht="15" customHeight="1">
      <c r="A114" s="1333" t="s">
        <v>161</v>
      </c>
      <c r="B114" s="1334" t="s">
        <v>162</v>
      </c>
      <c r="C114" s="1148" t="s">
        <v>271</v>
      </c>
      <c r="D114" s="1291">
        <f t="shared" si="5"/>
        <v>4165752.5262000002</v>
      </c>
      <c r="E114" s="1218">
        <f t="shared" si="6"/>
        <v>3508587.5338000003</v>
      </c>
      <c r="F114" s="1218">
        <f t="shared" si="7"/>
        <v>-18337.419999999998</v>
      </c>
      <c r="G114" s="1218">
        <f t="shared" si="8"/>
        <v>0</v>
      </c>
      <c r="H114" s="1219">
        <f t="shared" si="8"/>
        <v>-18337.419999999998</v>
      </c>
      <c r="I114" s="1354">
        <v>-6894.99</v>
      </c>
      <c r="J114" s="1355">
        <v>0</v>
      </c>
      <c r="K114" s="1355">
        <v>-6624.63</v>
      </c>
      <c r="L114" s="1355">
        <v>0</v>
      </c>
      <c r="M114" s="1355">
        <v>-18337.419999999998</v>
      </c>
      <c r="N114" s="1356">
        <v>-31857.040000000001</v>
      </c>
      <c r="O114" s="1348"/>
      <c r="P114" s="1349"/>
      <c r="Q114" s="1349"/>
      <c r="R114" s="1349"/>
      <c r="S114" s="1349"/>
      <c r="T114" s="1350"/>
      <c r="U114" s="1348"/>
      <c r="V114" s="1349"/>
      <c r="W114" s="1349"/>
      <c r="X114" s="1349"/>
      <c r="Y114" s="1349"/>
      <c r="Z114" s="1350"/>
      <c r="AA114" s="1348"/>
      <c r="AB114" s="1349"/>
      <c r="AC114" s="1349"/>
      <c r="AD114" s="1349"/>
      <c r="AE114" s="1349"/>
      <c r="AF114" s="1350"/>
      <c r="AG114" s="1354">
        <v>303164.59000000003</v>
      </c>
      <c r="AH114" s="1355">
        <v>0</v>
      </c>
      <c r="AI114" s="1355">
        <v>7191</v>
      </c>
      <c r="AJ114" s="1355">
        <v>0</v>
      </c>
      <c r="AK114" s="1355">
        <v>0</v>
      </c>
      <c r="AL114" s="1356">
        <v>310355.59000000003</v>
      </c>
      <c r="AM114" s="1354">
        <v>3869482.9262000001</v>
      </c>
      <c r="AN114" s="1355">
        <v>0</v>
      </c>
      <c r="AO114" s="1355">
        <v>3508021.1638000002</v>
      </c>
      <c r="AP114" s="1356">
        <v>7377504.0899999999</v>
      </c>
    </row>
    <row r="115" spans="1:42" s="666" customFormat="1" ht="15" customHeight="1">
      <c r="A115" s="1333" t="s">
        <v>167</v>
      </c>
      <c r="B115" s="1334" t="s">
        <v>168</v>
      </c>
      <c r="C115" s="1148" t="s">
        <v>275</v>
      </c>
      <c r="D115" s="1291">
        <f t="shared" si="5"/>
        <v>71825.239199999996</v>
      </c>
      <c r="E115" s="1218">
        <f t="shared" si="6"/>
        <v>68564.960800000001</v>
      </c>
      <c r="F115" s="1218">
        <f t="shared" si="7"/>
        <v>0</v>
      </c>
      <c r="G115" s="1218">
        <f t="shared" si="8"/>
        <v>0</v>
      </c>
      <c r="H115" s="1219">
        <f t="shared" si="8"/>
        <v>0</v>
      </c>
      <c r="I115" s="1354">
        <v>-285.08999999999997</v>
      </c>
      <c r="J115" s="1355">
        <v>0</v>
      </c>
      <c r="K115" s="1355">
        <v>-273.91000000000003</v>
      </c>
      <c r="L115" s="1355">
        <v>0</v>
      </c>
      <c r="M115" s="1355">
        <v>0</v>
      </c>
      <c r="N115" s="1356">
        <v>-559</v>
      </c>
      <c r="O115" s="1348"/>
      <c r="P115" s="1349"/>
      <c r="Q115" s="1349"/>
      <c r="R115" s="1349"/>
      <c r="S115" s="1349"/>
      <c r="T115" s="1350"/>
      <c r="U115" s="1354">
        <v>0</v>
      </c>
      <c r="V115" s="1355">
        <v>0</v>
      </c>
      <c r="W115" s="1355">
        <v>-100</v>
      </c>
      <c r="X115" s="1355">
        <v>0</v>
      </c>
      <c r="Y115" s="1355">
        <v>0</v>
      </c>
      <c r="Z115" s="1356">
        <v>-100</v>
      </c>
      <c r="AA115" s="1348"/>
      <c r="AB115" s="1349"/>
      <c r="AC115" s="1349"/>
      <c r="AD115" s="1349"/>
      <c r="AE115" s="1349"/>
      <c r="AF115" s="1350"/>
      <c r="AG115" s="1348"/>
      <c r="AH115" s="1349"/>
      <c r="AI115" s="1349"/>
      <c r="AJ115" s="1349"/>
      <c r="AK115" s="1349"/>
      <c r="AL115" s="1350"/>
      <c r="AM115" s="1354">
        <v>72110.329199999993</v>
      </c>
      <c r="AN115" s="1355">
        <v>0</v>
      </c>
      <c r="AO115" s="1355">
        <v>68938.870800000004</v>
      </c>
      <c r="AP115" s="1356">
        <v>141049.20000000001</v>
      </c>
    </row>
    <row r="116" spans="1:42" s="666" customFormat="1" ht="15" customHeight="1">
      <c r="A116" s="1333" t="s">
        <v>177</v>
      </c>
      <c r="B116" s="1334" t="s">
        <v>178</v>
      </c>
      <c r="C116" s="1148" t="s">
        <v>273</v>
      </c>
      <c r="D116" s="1291">
        <f t="shared" si="5"/>
        <v>910029.87219999998</v>
      </c>
      <c r="E116" s="1218">
        <f t="shared" si="6"/>
        <v>838390.65779999993</v>
      </c>
      <c r="F116" s="1218">
        <f t="shared" si="7"/>
        <v>-1458.81</v>
      </c>
      <c r="G116" s="1218">
        <f t="shared" si="8"/>
        <v>0</v>
      </c>
      <c r="H116" s="1219">
        <f t="shared" si="8"/>
        <v>-1458.81</v>
      </c>
      <c r="I116" s="1354">
        <v>-3205.1</v>
      </c>
      <c r="J116" s="1355">
        <v>0</v>
      </c>
      <c r="K116" s="1355">
        <v>-3079.39</v>
      </c>
      <c r="L116" s="1355">
        <v>0</v>
      </c>
      <c r="M116" s="1355">
        <v>-1458.81</v>
      </c>
      <c r="N116" s="1356">
        <v>-7743.3</v>
      </c>
      <c r="O116" s="1348"/>
      <c r="P116" s="1349"/>
      <c r="Q116" s="1349"/>
      <c r="R116" s="1349"/>
      <c r="S116" s="1349"/>
      <c r="T116" s="1350"/>
      <c r="U116" s="1348"/>
      <c r="V116" s="1349"/>
      <c r="W116" s="1349"/>
      <c r="X116" s="1349"/>
      <c r="Y116" s="1349"/>
      <c r="Z116" s="1350"/>
      <c r="AA116" s="1348"/>
      <c r="AB116" s="1349"/>
      <c r="AC116" s="1349"/>
      <c r="AD116" s="1349"/>
      <c r="AE116" s="1349"/>
      <c r="AF116" s="1350"/>
      <c r="AG116" s="1348"/>
      <c r="AH116" s="1349"/>
      <c r="AI116" s="1349"/>
      <c r="AJ116" s="1349"/>
      <c r="AK116" s="1349"/>
      <c r="AL116" s="1350"/>
      <c r="AM116" s="1354">
        <v>913234.97219999996</v>
      </c>
      <c r="AN116" s="1355">
        <v>0</v>
      </c>
      <c r="AO116" s="1355">
        <v>841470.04779999994</v>
      </c>
      <c r="AP116" s="1356">
        <v>1754705.02</v>
      </c>
    </row>
    <row r="117" spans="1:42" s="666" customFormat="1" ht="15" customHeight="1">
      <c r="A117" s="1333" t="s">
        <v>181</v>
      </c>
      <c r="B117" s="1334" t="s">
        <v>182</v>
      </c>
      <c r="C117" s="1148" t="s">
        <v>271</v>
      </c>
      <c r="D117" s="1291">
        <f t="shared" si="5"/>
        <v>1962583.8643</v>
      </c>
      <c r="E117" s="1218">
        <f t="shared" si="6"/>
        <v>1754932.3356999999</v>
      </c>
      <c r="F117" s="1218">
        <f t="shared" si="7"/>
        <v>3326.55</v>
      </c>
      <c r="G117" s="1218">
        <f t="shared" si="8"/>
        <v>0</v>
      </c>
      <c r="H117" s="1219">
        <f t="shared" si="8"/>
        <v>3326.55</v>
      </c>
      <c r="I117" s="1348"/>
      <c r="J117" s="1349"/>
      <c r="K117" s="1349"/>
      <c r="L117" s="1349"/>
      <c r="M117" s="1349"/>
      <c r="N117" s="1350"/>
      <c r="O117" s="1348"/>
      <c r="P117" s="1349"/>
      <c r="Q117" s="1349"/>
      <c r="R117" s="1349"/>
      <c r="S117" s="1349"/>
      <c r="T117" s="1350"/>
      <c r="U117" s="1348"/>
      <c r="V117" s="1349"/>
      <c r="W117" s="1349"/>
      <c r="X117" s="1349"/>
      <c r="Y117" s="1349"/>
      <c r="Z117" s="1350"/>
      <c r="AA117" s="1348"/>
      <c r="AB117" s="1349"/>
      <c r="AC117" s="1349"/>
      <c r="AD117" s="1349"/>
      <c r="AE117" s="1349"/>
      <c r="AF117" s="1350"/>
      <c r="AG117" s="1354">
        <v>58015.85</v>
      </c>
      <c r="AH117" s="1355">
        <v>0</v>
      </c>
      <c r="AI117" s="1355">
        <v>0</v>
      </c>
      <c r="AJ117" s="1355">
        <v>0</v>
      </c>
      <c r="AK117" s="1355">
        <v>3326.55</v>
      </c>
      <c r="AL117" s="1356">
        <v>61342.400000000001</v>
      </c>
      <c r="AM117" s="1354">
        <v>1904568.0142999999</v>
      </c>
      <c r="AN117" s="1355">
        <v>0</v>
      </c>
      <c r="AO117" s="1355">
        <v>1754932.3356999999</v>
      </c>
      <c r="AP117" s="1356">
        <v>3659500.35</v>
      </c>
    </row>
    <row r="118" spans="1:42" s="666" customFormat="1" ht="15" customHeight="1">
      <c r="A118" s="1333" t="s">
        <v>193</v>
      </c>
      <c r="B118" s="1334" t="s">
        <v>194</v>
      </c>
      <c r="C118" s="1148" t="s">
        <v>275</v>
      </c>
      <c r="D118" s="1291">
        <f t="shared" si="5"/>
        <v>109936.4213</v>
      </c>
      <c r="E118" s="1218">
        <f t="shared" si="6"/>
        <v>109749.1787</v>
      </c>
      <c r="F118" s="1218">
        <f t="shared" si="7"/>
        <v>0</v>
      </c>
      <c r="G118" s="1218">
        <f t="shared" si="8"/>
        <v>0</v>
      </c>
      <c r="H118" s="1219">
        <f t="shared" si="8"/>
        <v>0</v>
      </c>
      <c r="I118" s="1348"/>
      <c r="J118" s="1349"/>
      <c r="K118" s="1349"/>
      <c r="L118" s="1349"/>
      <c r="M118" s="1349"/>
      <c r="N118" s="1350"/>
      <c r="O118" s="1348"/>
      <c r="P118" s="1349"/>
      <c r="Q118" s="1349"/>
      <c r="R118" s="1349"/>
      <c r="S118" s="1349"/>
      <c r="T118" s="1350"/>
      <c r="U118" s="1348"/>
      <c r="V118" s="1349"/>
      <c r="W118" s="1349"/>
      <c r="X118" s="1349"/>
      <c r="Y118" s="1349"/>
      <c r="Z118" s="1350"/>
      <c r="AA118" s="1348"/>
      <c r="AB118" s="1349"/>
      <c r="AC118" s="1349"/>
      <c r="AD118" s="1349"/>
      <c r="AE118" s="1349"/>
      <c r="AF118" s="1350"/>
      <c r="AG118" s="1348"/>
      <c r="AH118" s="1349"/>
      <c r="AI118" s="1349"/>
      <c r="AJ118" s="1349"/>
      <c r="AK118" s="1349"/>
      <c r="AL118" s="1350"/>
      <c r="AM118" s="1354">
        <v>109936.4213</v>
      </c>
      <c r="AN118" s="1355">
        <v>0</v>
      </c>
      <c r="AO118" s="1355">
        <v>109749.1787</v>
      </c>
      <c r="AP118" s="1356">
        <v>219685.6</v>
      </c>
    </row>
    <row r="119" spans="1:42" s="666" customFormat="1" ht="15" customHeight="1">
      <c r="A119" s="1333" t="s">
        <v>197</v>
      </c>
      <c r="B119" s="1334" t="s">
        <v>334</v>
      </c>
      <c r="C119" s="1148" t="s">
        <v>273</v>
      </c>
      <c r="D119" s="1291">
        <f t="shared" si="5"/>
        <v>4677547.0185000002</v>
      </c>
      <c r="E119" s="1218">
        <f t="shared" si="6"/>
        <v>4376757.4115000004</v>
      </c>
      <c r="F119" s="1218">
        <f t="shared" si="7"/>
        <v>0</v>
      </c>
      <c r="G119" s="1218">
        <f t="shared" si="8"/>
        <v>0</v>
      </c>
      <c r="H119" s="1219">
        <f t="shared" si="8"/>
        <v>0</v>
      </c>
      <c r="I119" s="1354">
        <v>-4762.59</v>
      </c>
      <c r="J119" s="1355">
        <v>0</v>
      </c>
      <c r="K119" s="1355">
        <v>-4575.8</v>
      </c>
      <c r="L119" s="1355">
        <v>0</v>
      </c>
      <c r="M119" s="1355">
        <v>0</v>
      </c>
      <c r="N119" s="1356">
        <v>-9338.39</v>
      </c>
      <c r="O119" s="1354">
        <v>899.43</v>
      </c>
      <c r="P119" s="1355">
        <v>0</v>
      </c>
      <c r="Q119" s="1355">
        <v>864.17</v>
      </c>
      <c r="R119" s="1355">
        <v>0</v>
      </c>
      <c r="S119" s="1355">
        <v>0</v>
      </c>
      <c r="T119" s="1356">
        <v>1763.6</v>
      </c>
      <c r="U119" s="1354">
        <v>0</v>
      </c>
      <c r="V119" s="1355">
        <v>0</v>
      </c>
      <c r="W119" s="1355">
        <v>-382</v>
      </c>
      <c r="X119" s="1355">
        <v>0</v>
      </c>
      <c r="Y119" s="1355">
        <v>0</v>
      </c>
      <c r="Z119" s="1356">
        <v>-382</v>
      </c>
      <c r="AA119" s="1348"/>
      <c r="AB119" s="1349"/>
      <c r="AC119" s="1349"/>
      <c r="AD119" s="1349"/>
      <c r="AE119" s="1349"/>
      <c r="AF119" s="1350"/>
      <c r="AG119" s="1348"/>
      <c r="AH119" s="1349"/>
      <c r="AI119" s="1349"/>
      <c r="AJ119" s="1349"/>
      <c r="AK119" s="1349"/>
      <c r="AL119" s="1350"/>
      <c r="AM119" s="1354">
        <v>4681410.1785000004</v>
      </c>
      <c r="AN119" s="1355">
        <v>0</v>
      </c>
      <c r="AO119" s="1355">
        <v>4380851.0415000003</v>
      </c>
      <c r="AP119" s="1356">
        <v>9062261.2200000007</v>
      </c>
    </row>
    <row r="120" spans="1:42" s="666" customFormat="1" ht="15" customHeight="1">
      <c r="A120" s="1333" t="s">
        <v>201</v>
      </c>
      <c r="B120" s="1334" t="s">
        <v>335</v>
      </c>
      <c r="C120" s="1148" t="s">
        <v>272</v>
      </c>
      <c r="D120" s="1291">
        <f t="shared" si="5"/>
        <v>2223288.9718999998</v>
      </c>
      <c r="E120" s="1218">
        <f t="shared" si="6"/>
        <v>1971175.9780999999</v>
      </c>
      <c r="F120" s="1218">
        <f t="shared" si="7"/>
        <v>-1287.21</v>
      </c>
      <c r="G120" s="1218">
        <f t="shared" si="8"/>
        <v>0</v>
      </c>
      <c r="H120" s="1219">
        <f t="shared" si="8"/>
        <v>-1287.21</v>
      </c>
      <c r="I120" s="1354">
        <v>-5630.39</v>
      </c>
      <c r="J120" s="1355">
        <v>0</v>
      </c>
      <c r="K120" s="1355">
        <v>-5409.61</v>
      </c>
      <c r="L120" s="1355">
        <v>0</v>
      </c>
      <c r="M120" s="1355">
        <v>-1287.21</v>
      </c>
      <c r="N120" s="1356">
        <v>-12327.21</v>
      </c>
      <c r="O120" s="1354">
        <v>1275</v>
      </c>
      <c r="P120" s="1355">
        <v>0</v>
      </c>
      <c r="Q120" s="1355">
        <v>1225</v>
      </c>
      <c r="R120" s="1355">
        <v>0</v>
      </c>
      <c r="S120" s="1355">
        <v>0</v>
      </c>
      <c r="T120" s="1356">
        <v>2500</v>
      </c>
      <c r="U120" s="1348"/>
      <c r="V120" s="1349"/>
      <c r="W120" s="1349"/>
      <c r="X120" s="1349"/>
      <c r="Y120" s="1349"/>
      <c r="Z120" s="1350"/>
      <c r="AA120" s="1348"/>
      <c r="AB120" s="1349"/>
      <c r="AC120" s="1349"/>
      <c r="AD120" s="1349"/>
      <c r="AE120" s="1349"/>
      <c r="AF120" s="1350"/>
      <c r="AG120" s="1354">
        <v>369242.47</v>
      </c>
      <c r="AH120" s="1355">
        <v>0</v>
      </c>
      <c r="AI120" s="1355">
        <v>0</v>
      </c>
      <c r="AJ120" s="1355">
        <v>0</v>
      </c>
      <c r="AK120" s="1355">
        <v>0</v>
      </c>
      <c r="AL120" s="1356">
        <v>369242.47</v>
      </c>
      <c r="AM120" s="1354">
        <v>1858401.8918999999</v>
      </c>
      <c r="AN120" s="1355">
        <v>0</v>
      </c>
      <c r="AO120" s="1355">
        <v>1975360.5881000001</v>
      </c>
      <c r="AP120" s="1356">
        <v>3833762.48</v>
      </c>
    </row>
    <row r="121" spans="1:42" s="666" customFormat="1" ht="15" customHeight="1">
      <c r="A121" s="1333" t="s">
        <v>223</v>
      </c>
      <c r="B121" s="1334" t="s">
        <v>224</v>
      </c>
      <c r="C121" s="1148" t="s">
        <v>271</v>
      </c>
      <c r="D121" s="1291">
        <f t="shared" si="5"/>
        <v>683237.65710000007</v>
      </c>
      <c r="E121" s="1218">
        <f t="shared" si="6"/>
        <v>542543.84289999993</v>
      </c>
      <c r="F121" s="1218">
        <f t="shared" si="7"/>
        <v>0</v>
      </c>
      <c r="G121" s="1218">
        <f t="shared" si="8"/>
        <v>0</v>
      </c>
      <c r="H121" s="1219">
        <f t="shared" si="8"/>
        <v>0</v>
      </c>
      <c r="I121" s="1354">
        <v>-3629.58</v>
      </c>
      <c r="J121" s="1355">
        <v>0</v>
      </c>
      <c r="K121" s="1355">
        <v>-3487.26</v>
      </c>
      <c r="L121" s="1355">
        <v>0</v>
      </c>
      <c r="M121" s="1355">
        <v>0</v>
      </c>
      <c r="N121" s="1356">
        <v>-7116.84</v>
      </c>
      <c r="O121" s="1354">
        <v>759</v>
      </c>
      <c r="P121" s="1355">
        <v>0</v>
      </c>
      <c r="Q121" s="1355">
        <v>729.23</v>
      </c>
      <c r="R121" s="1355">
        <v>0</v>
      </c>
      <c r="S121" s="1355">
        <v>0</v>
      </c>
      <c r="T121" s="1356">
        <v>1488.23</v>
      </c>
      <c r="U121" s="1348"/>
      <c r="V121" s="1349"/>
      <c r="W121" s="1349"/>
      <c r="X121" s="1349"/>
      <c r="Y121" s="1349"/>
      <c r="Z121" s="1350"/>
      <c r="AA121" s="1348"/>
      <c r="AB121" s="1349"/>
      <c r="AC121" s="1349"/>
      <c r="AD121" s="1349"/>
      <c r="AE121" s="1349"/>
      <c r="AF121" s="1350"/>
      <c r="AG121" s="1354">
        <v>86535.48</v>
      </c>
      <c r="AH121" s="1355">
        <v>0</v>
      </c>
      <c r="AI121" s="1355">
        <v>0</v>
      </c>
      <c r="AJ121" s="1355">
        <v>0</v>
      </c>
      <c r="AK121" s="1355">
        <v>0</v>
      </c>
      <c r="AL121" s="1356">
        <v>86535.48</v>
      </c>
      <c r="AM121" s="1354">
        <v>599572.75710000005</v>
      </c>
      <c r="AN121" s="1355">
        <v>0</v>
      </c>
      <c r="AO121" s="1355">
        <v>545301.87289999996</v>
      </c>
      <c r="AP121" s="1356">
        <v>1144874.6299999999</v>
      </c>
    </row>
    <row r="122" spans="1:42" s="666" customFormat="1" ht="15" customHeight="1">
      <c r="A122" s="1333" t="s">
        <v>231</v>
      </c>
      <c r="B122" s="1334" t="s">
        <v>232</v>
      </c>
      <c r="C122" s="1148" t="s">
        <v>271</v>
      </c>
      <c r="D122" s="1291">
        <f t="shared" si="5"/>
        <v>1817963.1953</v>
      </c>
      <c r="E122" s="1218">
        <f t="shared" si="6"/>
        <v>1526447.1346999998</v>
      </c>
      <c r="F122" s="1218">
        <f t="shared" si="7"/>
        <v>929.02</v>
      </c>
      <c r="G122" s="1218">
        <f t="shared" si="8"/>
        <v>0</v>
      </c>
      <c r="H122" s="1219">
        <f t="shared" si="8"/>
        <v>929.02</v>
      </c>
      <c r="I122" s="1354">
        <v>-10880.54</v>
      </c>
      <c r="J122" s="1355">
        <v>0</v>
      </c>
      <c r="K122" s="1355">
        <v>-10453.86</v>
      </c>
      <c r="L122" s="1355">
        <v>0</v>
      </c>
      <c r="M122" s="1355">
        <v>929.02</v>
      </c>
      <c r="N122" s="1356">
        <v>-20405.38</v>
      </c>
      <c r="O122" s="1348"/>
      <c r="P122" s="1349"/>
      <c r="Q122" s="1349"/>
      <c r="R122" s="1349"/>
      <c r="S122" s="1349"/>
      <c r="T122" s="1350"/>
      <c r="U122" s="1348"/>
      <c r="V122" s="1349"/>
      <c r="W122" s="1349"/>
      <c r="X122" s="1349"/>
      <c r="Y122" s="1349"/>
      <c r="Z122" s="1350"/>
      <c r="AA122" s="1348"/>
      <c r="AB122" s="1349"/>
      <c r="AC122" s="1349"/>
      <c r="AD122" s="1349"/>
      <c r="AE122" s="1349"/>
      <c r="AF122" s="1350"/>
      <c r="AG122" s="1354">
        <v>181303.1</v>
      </c>
      <c r="AH122" s="1355">
        <v>0</v>
      </c>
      <c r="AI122" s="1355">
        <v>0</v>
      </c>
      <c r="AJ122" s="1355">
        <v>0</v>
      </c>
      <c r="AK122" s="1355">
        <v>0</v>
      </c>
      <c r="AL122" s="1356">
        <v>181303.1</v>
      </c>
      <c r="AM122" s="1354">
        <v>1647540.6353</v>
      </c>
      <c r="AN122" s="1355">
        <v>0</v>
      </c>
      <c r="AO122" s="1355">
        <v>1536900.9946999999</v>
      </c>
      <c r="AP122" s="1356">
        <v>3184441.63</v>
      </c>
    </row>
    <row r="123" spans="1:42" s="666" customFormat="1" ht="15" customHeight="1">
      <c r="A123" s="1333" t="s">
        <v>239</v>
      </c>
      <c r="B123" s="1334" t="s">
        <v>240</v>
      </c>
      <c r="C123" s="1148" t="s">
        <v>271</v>
      </c>
      <c r="D123" s="1291">
        <f t="shared" si="5"/>
        <v>127380.82759999999</v>
      </c>
      <c r="E123" s="1218">
        <f t="shared" si="6"/>
        <v>71912.9424</v>
      </c>
      <c r="F123" s="1218">
        <f t="shared" si="7"/>
        <v>1282.44</v>
      </c>
      <c r="G123" s="1218">
        <f t="shared" si="8"/>
        <v>0</v>
      </c>
      <c r="H123" s="1219">
        <f t="shared" si="8"/>
        <v>1282.44</v>
      </c>
      <c r="I123" s="1348"/>
      <c r="J123" s="1349"/>
      <c r="K123" s="1349"/>
      <c r="L123" s="1349"/>
      <c r="M123" s="1349"/>
      <c r="N123" s="1350"/>
      <c r="O123" s="1348"/>
      <c r="P123" s="1349"/>
      <c r="Q123" s="1349"/>
      <c r="R123" s="1349"/>
      <c r="S123" s="1349"/>
      <c r="T123" s="1350"/>
      <c r="U123" s="1348"/>
      <c r="V123" s="1349"/>
      <c r="W123" s="1349"/>
      <c r="X123" s="1349"/>
      <c r="Y123" s="1349"/>
      <c r="Z123" s="1350"/>
      <c r="AA123" s="1348"/>
      <c r="AB123" s="1349"/>
      <c r="AC123" s="1349"/>
      <c r="AD123" s="1349"/>
      <c r="AE123" s="1349"/>
      <c r="AF123" s="1350"/>
      <c r="AG123" s="1354">
        <v>62130.77</v>
      </c>
      <c r="AH123" s="1355">
        <v>0</v>
      </c>
      <c r="AI123" s="1355">
        <v>0</v>
      </c>
      <c r="AJ123" s="1355">
        <v>0</v>
      </c>
      <c r="AK123" s="1355">
        <v>1282.44</v>
      </c>
      <c r="AL123" s="1356">
        <v>63413.21</v>
      </c>
      <c r="AM123" s="1354">
        <v>65250.0576</v>
      </c>
      <c r="AN123" s="1355">
        <v>0</v>
      </c>
      <c r="AO123" s="1355">
        <v>71912.9424</v>
      </c>
      <c r="AP123" s="1356">
        <v>137163</v>
      </c>
    </row>
    <row r="124" spans="1:42" s="666" customFormat="1" ht="15" customHeight="1">
      <c r="A124" s="1333" t="s">
        <v>241</v>
      </c>
      <c r="B124" s="1334" t="s">
        <v>242</v>
      </c>
      <c r="C124" s="1151" t="s">
        <v>274</v>
      </c>
      <c r="D124" s="1291">
        <f t="shared" si="5"/>
        <v>230297.97699999998</v>
      </c>
      <c r="E124" s="1218">
        <f t="shared" si="6"/>
        <v>245058.92299999998</v>
      </c>
      <c r="F124" s="1218">
        <f t="shared" si="7"/>
        <v>0</v>
      </c>
      <c r="G124" s="1218">
        <f t="shared" si="8"/>
        <v>0</v>
      </c>
      <c r="H124" s="1219">
        <f t="shared" si="8"/>
        <v>0</v>
      </c>
      <c r="I124" s="1357">
        <v>-425.44</v>
      </c>
      <c r="J124" s="1358">
        <v>0</v>
      </c>
      <c r="K124" s="1358">
        <v>-408.76</v>
      </c>
      <c r="L124" s="1358">
        <v>0</v>
      </c>
      <c r="M124" s="1358">
        <v>0</v>
      </c>
      <c r="N124" s="1359">
        <v>-834.2</v>
      </c>
      <c r="O124" s="1348"/>
      <c r="P124" s="1349"/>
      <c r="Q124" s="1349"/>
      <c r="R124" s="1349"/>
      <c r="S124" s="1349"/>
      <c r="T124" s="1350"/>
      <c r="U124" s="1357">
        <v>0</v>
      </c>
      <c r="V124" s="1358">
        <v>0</v>
      </c>
      <c r="W124" s="1358">
        <v>-415</v>
      </c>
      <c r="X124" s="1358">
        <v>0</v>
      </c>
      <c r="Y124" s="1358">
        <v>0</v>
      </c>
      <c r="Z124" s="1359">
        <v>-415</v>
      </c>
      <c r="AA124" s="1348"/>
      <c r="AB124" s="1349"/>
      <c r="AC124" s="1349"/>
      <c r="AD124" s="1349"/>
      <c r="AE124" s="1349"/>
      <c r="AF124" s="1350"/>
      <c r="AG124" s="1348"/>
      <c r="AH124" s="1349"/>
      <c r="AI124" s="1349"/>
      <c r="AJ124" s="1349"/>
      <c r="AK124" s="1349"/>
      <c r="AL124" s="1350"/>
      <c r="AM124" s="1357">
        <v>230723.41699999999</v>
      </c>
      <c r="AN124" s="1358">
        <v>0</v>
      </c>
      <c r="AO124" s="1358">
        <v>245882.68299999999</v>
      </c>
      <c r="AP124" s="1359">
        <v>476606.1</v>
      </c>
    </row>
    <row r="125" spans="1:42">
      <c r="I125" s="1336"/>
      <c r="J125" s="1336"/>
      <c r="K125" s="1336"/>
      <c r="L125" s="1336"/>
      <c r="M125" s="1336"/>
      <c r="N125" s="1336"/>
      <c r="O125" s="1336"/>
      <c r="P125" s="1336"/>
      <c r="Q125" s="1336"/>
      <c r="R125" s="1336"/>
      <c r="S125" s="1336"/>
      <c r="T125" s="1336"/>
      <c r="U125" s="1336"/>
      <c r="V125" s="1336"/>
      <c r="W125" s="1336"/>
      <c r="X125" s="1336"/>
      <c r="Y125" s="1336"/>
      <c r="Z125" s="1336"/>
      <c r="AA125" s="1336"/>
      <c r="AB125" s="1336"/>
      <c r="AC125" s="1336"/>
      <c r="AD125" s="1336"/>
      <c r="AE125" s="1336"/>
      <c r="AF125" s="1336"/>
      <c r="AG125" s="1336"/>
      <c r="AH125" s="1336"/>
      <c r="AI125" s="1336"/>
      <c r="AJ125" s="1336"/>
      <c r="AK125" s="1336"/>
      <c r="AL125" s="1336"/>
      <c r="AM125" s="1336"/>
      <c r="AN125" s="1336"/>
      <c r="AO125" s="1336"/>
      <c r="AP125" s="1336"/>
    </row>
    <row r="127" spans="1:42" s="511" customFormat="1">
      <c r="A127" s="511" t="s">
        <v>1135</v>
      </c>
      <c r="B127" s="1082"/>
      <c r="C127" s="1082"/>
      <c r="D127" s="1016"/>
    </row>
    <row r="128" spans="1:42" s="511" customFormat="1"/>
    <row r="129" spans="1:3" s="542" customFormat="1">
      <c r="A129" s="542" t="s">
        <v>249</v>
      </c>
    </row>
    <row r="130" spans="1:3">
      <c r="A130" s="543" t="s">
        <v>250</v>
      </c>
      <c r="B130" s="544" t="s">
        <v>251</v>
      </c>
      <c r="C130" s="544"/>
    </row>
  </sheetData>
  <autoFilter ref="A3:C3"/>
  <hyperlinks>
    <hyperlink ref="B130" r:id="rId1"/>
  </hyperlinks>
  <pageMargins left="0.7" right="0.7" top="0.75" bottom="0.75" header="0.3" footer="0.3"/>
</worksheet>
</file>

<file path=xl/worksheets/sheet36.xml><?xml version="1.0" encoding="utf-8"?>
<worksheet xmlns="http://schemas.openxmlformats.org/spreadsheetml/2006/main" xmlns:r="http://schemas.openxmlformats.org/officeDocument/2006/relationships">
  <dimension ref="A1:AF130"/>
  <sheetViews>
    <sheetView workbookViewId="0">
      <pane ySplit="5" topLeftCell="A104" activePane="bottomLeft" state="frozen"/>
      <selection pane="bottomLeft" activeCell="A127" sqref="A127"/>
    </sheetView>
  </sheetViews>
  <sheetFormatPr defaultColWidth="13.25" defaultRowHeight="15.75"/>
  <cols>
    <col min="1" max="1" width="13.25" style="280"/>
    <col min="2" max="2" width="23.375" style="280" customWidth="1"/>
    <col min="3" max="3" width="16.75" style="280" customWidth="1"/>
    <col min="4" max="5" width="13.25" style="280"/>
    <col min="6" max="6" width="19.875" style="280" customWidth="1"/>
    <col min="7" max="10" width="13.25" style="280"/>
    <col min="11" max="32" width="13.25" style="1118"/>
    <col min="33" max="16384" width="13.25" style="280"/>
  </cols>
  <sheetData>
    <row r="1" spans="1:32">
      <c r="A1" s="270" t="s">
        <v>1039</v>
      </c>
      <c r="I1" s="1215"/>
      <c r="J1" s="1215"/>
      <c r="K1" s="1215"/>
      <c r="L1" s="1215"/>
      <c r="M1" s="1215"/>
      <c r="N1" s="1215"/>
      <c r="O1" s="1215"/>
      <c r="P1" s="1215"/>
      <c r="Q1" s="1215"/>
      <c r="R1" s="1215"/>
      <c r="S1" s="1215"/>
      <c r="T1" s="1215"/>
      <c r="U1" s="1215"/>
      <c r="V1" s="1215"/>
      <c r="W1" s="1215"/>
      <c r="X1" s="1215"/>
      <c r="Y1" s="1215"/>
      <c r="Z1" s="1215"/>
      <c r="AA1" s="1215"/>
      <c r="AB1" s="1215"/>
      <c r="AC1" s="1215"/>
      <c r="AD1" s="1215"/>
      <c r="AE1" s="1215"/>
      <c r="AF1" s="1215"/>
    </row>
    <row r="2" spans="1:32">
      <c r="B2" s="1216"/>
      <c r="C2" s="1458"/>
      <c r="I2" s="1215"/>
      <c r="J2" s="1215"/>
      <c r="K2" s="1215"/>
      <c r="L2" s="1215"/>
      <c r="M2" s="1215"/>
      <c r="N2" s="1215"/>
      <c r="O2" s="1215"/>
      <c r="P2" s="1215"/>
      <c r="Q2" s="1215"/>
      <c r="R2" s="1215"/>
      <c r="S2" s="1215"/>
      <c r="T2" s="1215"/>
      <c r="U2" s="1215"/>
      <c r="V2" s="1215"/>
      <c r="W2" s="1215"/>
      <c r="X2" s="1215"/>
      <c r="Y2" s="1215"/>
      <c r="Z2" s="1215"/>
      <c r="AA2" s="1215"/>
      <c r="AB2" s="1215"/>
      <c r="AC2" s="1215"/>
      <c r="AD2" s="1215"/>
      <c r="AE2" s="1215"/>
      <c r="AF2" s="1215"/>
    </row>
    <row r="3" spans="1:32" s="1118" customFormat="1">
      <c r="A3" s="280"/>
      <c r="B3" s="280"/>
      <c r="C3" s="280"/>
      <c r="D3" s="280"/>
      <c r="E3" s="280"/>
      <c r="G3" s="280"/>
      <c r="I3" s="1217"/>
      <c r="J3" s="1217"/>
      <c r="K3" s="1217"/>
      <c r="L3" s="1217"/>
      <c r="M3" s="1217"/>
      <c r="N3" s="1217"/>
      <c r="O3" s="1217"/>
      <c r="P3" s="1217"/>
      <c r="Q3" s="1217"/>
      <c r="R3" s="1217"/>
      <c r="S3" s="1217"/>
      <c r="T3" s="1217"/>
      <c r="U3" s="1217"/>
      <c r="V3" s="1217"/>
      <c r="W3" s="1217"/>
      <c r="X3" s="1217"/>
      <c r="Y3" s="1217"/>
      <c r="Z3" s="1217"/>
      <c r="AA3" s="1217"/>
      <c r="AB3" s="1217"/>
      <c r="AC3" s="1217"/>
      <c r="AD3" s="1217"/>
      <c r="AE3" s="1217"/>
      <c r="AF3" s="1217"/>
    </row>
    <row r="4" spans="1:32" s="1118" customFormat="1" ht="31.5">
      <c r="A4" s="1430" t="s">
        <v>4</v>
      </c>
      <c r="B4" s="1430" t="s">
        <v>5</v>
      </c>
      <c r="C4" s="1459" t="s">
        <v>252</v>
      </c>
      <c r="D4" s="1431" t="s">
        <v>336</v>
      </c>
      <c r="E4" s="1432" t="s">
        <v>337</v>
      </c>
      <c r="F4" s="1432" t="s">
        <v>498</v>
      </c>
      <c r="G4" s="1432" t="s">
        <v>338</v>
      </c>
      <c r="H4" s="1433" t="s">
        <v>538</v>
      </c>
      <c r="I4" s="1434" t="s">
        <v>574</v>
      </c>
      <c r="J4" s="1435" t="s">
        <v>575</v>
      </c>
      <c r="K4" s="1435" t="s">
        <v>576</v>
      </c>
      <c r="L4" s="1435" t="s">
        <v>577</v>
      </c>
      <c r="M4" s="1435" t="s">
        <v>578</v>
      </c>
      <c r="N4" s="1444" t="s">
        <v>579</v>
      </c>
      <c r="O4" s="1446" t="s">
        <v>580</v>
      </c>
      <c r="P4" s="1447" t="s">
        <v>581</v>
      </c>
      <c r="Q4" s="1447" t="s">
        <v>582</v>
      </c>
      <c r="R4" s="1447" t="s">
        <v>583</v>
      </c>
      <c r="S4" s="1447" t="s">
        <v>584</v>
      </c>
      <c r="T4" s="1448" t="s">
        <v>585</v>
      </c>
      <c r="U4" s="1446" t="s">
        <v>586</v>
      </c>
      <c r="V4" s="1447" t="s">
        <v>587</v>
      </c>
      <c r="W4" s="1447" t="s">
        <v>588</v>
      </c>
      <c r="X4" s="1447" t="s">
        <v>589</v>
      </c>
      <c r="Y4" s="1447" t="s">
        <v>590</v>
      </c>
      <c r="Z4" s="1448" t="s">
        <v>591</v>
      </c>
      <c r="AA4" s="1446" t="s">
        <v>592</v>
      </c>
      <c r="AB4" s="1447" t="s">
        <v>593</v>
      </c>
      <c r="AC4" s="1447" t="s">
        <v>594</v>
      </c>
      <c r="AD4" s="1447" t="s">
        <v>595</v>
      </c>
      <c r="AE4" s="1447" t="s">
        <v>596</v>
      </c>
      <c r="AF4" s="1448" t="s">
        <v>597</v>
      </c>
    </row>
    <row r="5" spans="1:32" s="1118" customFormat="1">
      <c r="A5" s="1437">
        <v>999</v>
      </c>
      <c r="B5" s="1437" t="s">
        <v>9</v>
      </c>
      <c r="C5" s="1460"/>
      <c r="D5" s="1438">
        <f t="shared" ref="D5:M5" si="0">SUM(D6:D125)</f>
        <v>639174.17000000004</v>
      </c>
      <c r="E5" s="1439">
        <f t="shared" si="0"/>
        <v>22738496.289999999</v>
      </c>
      <c r="F5" s="1439">
        <f t="shared" si="0"/>
        <v>8149315.4999999981</v>
      </c>
      <c r="G5" s="1439">
        <f t="shared" si="0"/>
        <v>5898340.9499999993</v>
      </c>
      <c r="H5" s="1440">
        <f t="shared" si="0"/>
        <v>2250974.5499999993</v>
      </c>
      <c r="I5" s="1438">
        <f t="shared" si="0"/>
        <v>0</v>
      </c>
      <c r="J5" s="1439">
        <f t="shared" si="0"/>
        <v>0</v>
      </c>
      <c r="K5" s="1439">
        <f t="shared" si="0"/>
        <v>22127876.890000004</v>
      </c>
      <c r="L5" s="1439">
        <f t="shared" si="0"/>
        <v>5531969.1800000016</v>
      </c>
      <c r="M5" s="1439">
        <f t="shared" si="0"/>
        <v>47913.72</v>
      </c>
      <c r="N5" s="1445">
        <f t="shared" ref="N5:Z5" si="1">SUM(N6:N125)</f>
        <v>27707759.789999995</v>
      </c>
      <c r="O5" s="1442">
        <f t="shared" si="1"/>
        <v>0</v>
      </c>
      <c r="P5" s="1443">
        <f t="shared" si="1"/>
        <v>0</v>
      </c>
      <c r="Q5" s="1443">
        <f t="shared" si="1"/>
        <v>610619.4</v>
      </c>
      <c r="R5" s="1443">
        <f t="shared" si="1"/>
        <v>366371.77</v>
      </c>
      <c r="S5" s="1443">
        <f t="shared" si="1"/>
        <v>2201855.8299999991</v>
      </c>
      <c r="T5" s="1441">
        <f t="shared" si="1"/>
        <v>3178846.9999999991</v>
      </c>
      <c r="U5" s="1442">
        <f t="shared" si="1"/>
        <v>639174.17000000004</v>
      </c>
      <c r="V5" s="1443">
        <f t="shared" si="1"/>
        <v>0</v>
      </c>
      <c r="W5" s="1443">
        <f t="shared" si="1"/>
        <v>0</v>
      </c>
      <c r="X5" s="1443">
        <f t="shared" si="1"/>
        <v>0</v>
      </c>
      <c r="Y5" s="1443">
        <f t="shared" si="1"/>
        <v>1205</v>
      </c>
      <c r="Z5" s="1441">
        <f t="shared" si="1"/>
        <v>640379.17000000004</v>
      </c>
      <c r="AA5" s="1438">
        <f t="shared" ref="AA5:AF5" si="2">SUM(AA6:AA125)</f>
        <v>0</v>
      </c>
      <c r="AB5" s="1439">
        <f t="shared" si="2"/>
        <v>0</v>
      </c>
      <c r="AC5" s="1439">
        <f t="shared" si="2"/>
        <v>0</v>
      </c>
      <c r="AD5" s="1439">
        <f t="shared" si="2"/>
        <v>0</v>
      </c>
      <c r="AE5" s="1439">
        <f t="shared" si="2"/>
        <v>0</v>
      </c>
      <c r="AF5" s="1440">
        <f t="shared" si="2"/>
        <v>0</v>
      </c>
    </row>
    <row r="6" spans="1:32" s="1315" customFormat="1">
      <c r="A6" s="1436" t="s">
        <v>10</v>
      </c>
      <c r="B6" s="1436" t="s">
        <v>11</v>
      </c>
      <c r="C6" s="1148" t="s">
        <v>271</v>
      </c>
      <c r="D6" s="1291">
        <f>+I6+J6+O6+P6+U6+V6+AA6+AB6</f>
        <v>288</v>
      </c>
      <c r="E6" s="1218">
        <f>+K6+Q6+W6+AC6</f>
        <v>181946.4</v>
      </c>
      <c r="F6" s="1218">
        <f>+G6+H6</f>
        <v>45486.6</v>
      </c>
      <c r="G6" s="1218">
        <f>+L6+R6+X6+AD6</f>
        <v>45486.6</v>
      </c>
      <c r="H6" s="1219">
        <f>+M6+S6+Y6+AE6</f>
        <v>0</v>
      </c>
      <c r="I6" s="1452">
        <v>0</v>
      </c>
      <c r="J6" s="1452">
        <v>0</v>
      </c>
      <c r="K6" s="1452">
        <v>181946.4</v>
      </c>
      <c r="L6" s="1452">
        <v>45486.6</v>
      </c>
      <c r="M6" s="1452">
        <v>0</v>
      </c>
      <c r="N6" s="1453">
        <v>227433</v>
      </c>
      <c r="O6" s="1449"/>
      <c r="P6" s="1450"/>
      <c r="Q6" s="1450"/>
      <c r="R6" s="1450"/>
      <c r="S6" s="1450"/>
      <c r="T6" s="1451"/>
      <c r="U6" s="1454">
        <v>288</v>
      </c>
      <c r="V6" s="1455">
        <v>0</v>
      </c>
      <c r="W6" s="1455">
        <v>0</v>
      </c>
      <c r="X6" s="1455">
        <v>0</v>
      </c>
      <c r="Y6" s="1455">
        <v>0</v>
      </c>
      <c r="Z6" s="1456">
        <v>288</v>
      </c>
      <c r="AA6" s="1449"/>
      <c r="AB6" s="1450"/>
      <c r="AC6" s="1450"/>
      <c r="AD6" s="1450"/>
      <c r="AE6" s="1450"/>
      <c r="AF6" s="1451"/>
    </row>
    <row r="7" spans="1:32" s="1315" customFormat="1">
      <c r="A7" s="1436" t="s">
        <v>12</v>
      </c>
      <c r="B7" s="1436" t="s">
        <v>13</v>
      </c>
      <c r="C7" s="1148" t="s">
        <v>272</v>
      </c>
      <c r="D7" s="1291">
        <f t="shared" ref="D7:D70" si="3">+I7+J7+O7+P7+U7+V7+AA7+AB7</f>
        <v>2562</v>
      </c>
      <c r="E7" s="1218">
        <f t="shared" ref="E7:E70" si="4">+K7+Q7+W7+AC7</f>
        <v>151884.56</v>
      </c>
      <c r="F7" s="1218">
        <f t="shared" ref="F7:F70" si="5">+G7+H7</f>
        <v>38670.44</v>
      </c>
      <c r="G7" s="1218">
        <f t="shared" ref="G7:H70" si="6">+L7+R7+X7+AD7</f>
        <v>38670.51</v>
      </c>
      <c r="H7" s="1219">
        <f t="shared" si="6"/>
        <v>-7.0000000000000007E-2</v>
      </c>
      <c r="I7" s="1452">
        <v>0</v>
      </c>
      <c r="J7" s="1452">
        <v>0</v>
      </c>
      <c r="K7" s="1452">
        <v>149886.39999999999</v>
      </c>
      <c r="L7" s="1452">
        <v>37471.599999999999</v>
      </c>
      <c r="M7" s="1452">
        <v>0</v>
      </c>
      <c r="N7" s="1453">
        <v>187358</v>
      </c>
      <c r="O7" s="1454">
        <v>0</v>
      </c>
      <c r="P7" s="1455">
        <v>0</v>
      </c>
      <c r="Q7" s="1455">
        <v>1998.16</v>
      </c>
      <c r="R7" s="1455">
        <v>1198.9100000000001</v>
      </c>
      <c r="S7" s="1455">
        <v>-7.0000000000000007E-2</v>
      </c>
      <c r="T7" s="1456">
        <v>3197</v>
      </c>
      <c r="U7" s="1454">
        <v>2562</v>
      </c>
      <c r="V7" s="1455">
        <v>0</v>
      </c>
      <c r="W7" s="1455">
        <v>0</v>
      </c>
      <c r="X7" s="1455">
        <v>0</v>
      </c>
      <c r="Y7" s="1455">
        <v>0</v>
      </c>
      <c r="Z7" s="1456">
        <v>2562</v>
      </c>
      <c r="AA7" s="1449"/>
      <c r="AB7" s="1450"/>
      <c r="AC7" s="1450"/>
      <c r="AD7" s="1450"/>
      <c r="AE7" s="1450"/>
      <c r="AF7" s="1451"/>
    </row>
    <row r="8" spans="1:32" s="1315" customFormat="1">
      <c r="A8" s="1436" t="s">
        <v>16</v>
      </c>
      <c r="B8" s="1436" t="s">
        <v>307</v>
      </c>
      <c r="C8" s="1148" t="s">
        <v>272</v>
      </c>
      <c r="D8" s="1291">
        <f t="shared" si="3"/>
        <v>0</v>
      </c>
      <c r="E8" s="1218">
        <f t="shared" si="4"/>
        <v>81908.14</v>
      </c>
      <c r="F8" s="1218">
        <f t="shared" si="5"/>
        <v>20477.04</v>
      </c>
      <c r="G8" s="1218">
        <f t="shared" si="6"/>
        <v>20477.04</v>
      </c>
      <c r="H8" s="1219">
        <f t="shared" si="6"/>
        <v>0</v>
      </c>
      <c r="I8" s="1452">
        <v>0</v>
      </c>
      <c r="J8" s="1452">
        <v>0</v>
      </c>
      <c r="K8" s="1452">
        <v>81908.14</v>
      </c>
      <c r="L8" s="1452">
        <v>20477.04</v>
      </c>
      <c r="M8" s="1452">
        <v>0</v>
      </c>
      <c r="N8" s="1453">
        <v>102385.18</v>
      </c>
      <c r="O8" s="1449"/>
      <c r="P8" s="1450"/>
      <c r="Q8" s="1450"/>
      <c r="R8" s="1450"/>
      <c r="S8" s="1450"/>
      <c r="T8" s="1451"/>
      <c r="U8" s="1449"/>
      <c r="V8" s="1450"/>
      <c r="W8" s="1450"/>
      <c r="X8" s="1450"/>
      <c r="Y8" s="1450"/>
      <c r="Z8" s="1451"/>
      <c r="AA8" s="1449"/>
      <c r="AB8" s="1450"/>
      <c r="AC8" s="1450"/>
      <c r="AD8" s="1450"/>
      <c r="AE8" s="1450"/>
      <c r="AF8" s="1451"/>
    </row>
    <row r="9" spans="1:32" s="1315" customFormat="1">
      <c r="A9" s="1436" t="s">
        <v>18</v>
      </c>
      <c r="B9" s="1436" t="s">
        <v>19</v>
      </c>
      <c r="C9" s="1148" t="s">
        <v>273</v>
      </c>
      <c r="D9" s="1291">
        <f t="shared" si="3"/>
        <v>0</v>
      </c>
      <c r="E9" s="1218">
        <f t="shared" si="4"/>
        <v>77892</v>
      </c>
      <c r="F9" s="1218">
        <f t="shared" si="5"/>
        <v>19473</v>
      </c>
      <c r="G9" s="1218">
        <f t="shared" si="6"/>
        <v>19473</v>
      </c>
      <c r="H9" s="1219">
        <f t="shared" si="6"/>
        <v>0</v>
      </c>
      <c r="I9" s="1452">
        <v>0</v>
      </c>
      <c r="J9" s="1452">
        <v>0</v>
      </c>
      <c r="K9" s="1452">
        <v>77892</v>
      </c>
      <c r="L9" s="1452">
        <v>19473</v>
      </c>
      <c r="M9" s="1452">
        <v>0</v>
      </c>
      <c r="N9" s="1453">
        <v>97365</v>
      </c>
      <c r="O9" s="1449"/>
      <c r="P9" s="1450"/>
      <c r="Q9" s="1450"/>
      <c r="R9" s="1450"/>
      <c r="S9" s="1450"/>
      <c r="T9" s="1451"/>
      <c r="U9" s="1449"/>
      <c r="V9" s="1450"/>
      <c r="W9" s="1450"/>
      <c r="X9" s="1450"/>
      <c r="Y9" s="1450"/>
      <c r="Z9" s="1451"/>
      <c r="AA9" s="1449"/>
      <c r="AB9" s="1450"/>
      <c r="AC9" s="1450"/>
      <c r="AD9" s="1450"/>
      <c r="AE9" s="1450"/>
      <c r="AF9" s="1451"/>
    </row>
    <row r="10" spans="1:32" s="1315" customFormat="1">
      <c r="A10" s="1436" t="s">
        <v>20</v>
      </c>
      <c r="B10" s="1436" t="s">
        <v>21</v>
      </c>
      <c r="C10" s="1148" t="s">
        <v>272</v>
      </c>
      <c r="D10" s="1291">
        <f t="shared" si="3"/>
        <v>0</v>
      </c>
      <c r="E10" s="1218">
        <f t="shared" si="4"/>
        <v>110591.2</v>
      </c>
      <c r="F10" s="1218">
        <f t="shared" si="5"/>
        <v>27647.8</v>
      </c>
      <c r="G10" s="1218">
        <f t="shared" si="6"/>
        <v>27647.8</v>
      </c>
      <c r="H10" s="1219">
        <f t="shared" si="6"/>
        <v>0</v>
      </c>
      <c r="I10" s="1452">
        <v>0</v>
      </c>
      <c r="J10" s="1452">
        <v>0</v>
      </c>
      <c r="K10" s="1452">
        <v>110591.2</v>
      </c>
      <c r="L10" s="1452">
        <v>27647.8</v>
      </c>
      <c r="M10" s="1452">
        <v>0</v>
      </c>
      <c r="N10" s="1453">
        <v>138239</v>
      </c>
      <c r="O10" s="1449"/>
      <c r="P10" s="1450"/>
      <c r="Q10" s="1450"/>
      <c r="R10" s="1450"/>
      <c r="S10" s="1450"/>
      <c r="T10" s="1451"/>
      <c r="U10" s="1449"/>
      <c r="V10" s="1450"/>
      <c r="W10" s="1450"/>
      <c r="X10" s="1450"/>
      <c r="Y10" s="1450"/>
      <c r="Z10" s="1451"/>
      <c r="AA10" s="1449"/>
      <c r="AB10" s="1450"/>
      <c r="AC10" s="1450"/>
      <c r="AD10" s="1450"/>
      <c r="AE10" s="1450"/>
      <c r="AF10" s="1451"/>
    </row>
    <row r="11" spans="1:32" s="1315" customFormat="1">
      <c r="A11" s="1436" t="s">
        <v>22</v>
      </c>
      <c r="B11" s="1436" t="s">
        <v>23</v>
      </c>
      <c r="C11" s="1148" t="s">
        <v>272</v>
      </c>
      <c r="D11" s="1291">
        <f t="shared" si="3"/>
        <v>0</v>
      </c>
      <c r="E11" s="1218">
        <f t="shared" si="4"/>
        <v>89298.4</v>
      </c>
      <c r="F11" s="1218">
        <f t="shared" si="5"/>
        <v>22324.6</v>
      </c>
      <c r="G11" s="1218">
        <f t="shared" si="6"/>
        <v>22324.6</v>
      </c>
      <c r="H11" s="1219">
        <f t="shared" si="6"/>
        <v>0</v>
      </c>
      <c r="I11" s="1452">
        <v>0</v>
      </c>
      <c r="J11" s="1452">
        <v>0</v>
      </c>
      <c r="K11" s="1452">
        <v>89298.4</v>
      </c>
      <c r="L11" s="1452">
        <v>22324.6</v>
      </c>
      <c r="M11" s="1452">
        <v>0</v>
      </c>
      <c r="N11" s="1453">
        <v>111623</v>
      </c>
      <c r="O11" s="1449"/>
      <c r="P11" s="1450"/>
      <c r="Q11" s="1450"/>
      <c r="R11" s="1450"/>
      <c r="S11" s="1450"/>
      <c r="T11" s="1451"/>
      <c r="U11" s="1449"/>
      <c r="V11" s="1450"/>
      <c r="W11" s="1450"/>
      <c r="X11" s="1450"/>
      <c r="Y11" s="1450"/>
      <c r="Z11" s="1451"/>
      <c r="AA11" s="1449"/>
      <c r="AB11" s="1450"/>
      <c r="AC11" s="1450"/>
      <c r="AD11" s="1450"/>
      <c r="AE11" s="1450"/>
      <c r="AF11" s="1451"/>
    </row>
    <row r="12" spans="1:32" s="1315" customFormat="1">
      <c r="A12" s="1436" t="s">
        <v>24</v>
      </c>
      <c r="B12" s="1436" t="s">
        <v>25</v>
      </c>
      <c r="C12" s="1148" t="s">
        <v>274</v>
      </c>
      <c r="D12" s="1291">
        <f t="shared" si="3"/>
        <v>48761.68</v>
      </c>
      <c r="E12" s="1218">
        <f t="shared" si="4"/>
        <v>295617.73</v>
      </c>
      <c r="F12" s="1218">
        <f t="shared" si="5"/>
        <v>571634.14</v>
      </c>
      <c r="G12" s="1218">
        <f t="shared" si="6"/>
        <v>73904.42</v>
      </c>
      <c r="H12" s="1219">
        <f t="shared" si="6"/>
        <v>497729.72</v>
      </c>
      <c r="I12" s="1452">
        <v>0</v>
      </c>
      <c r="J12" s="1452">
        <v>0</v>
      </c>
      <c r="K12" s="1452">
        <v>295617.73</v>
      </c>
      <c r="L12" s="1452">
        <v>73904.42</v>
      </c>
      <c r="M12" s="1452">
        <v>0</v>
      </c>
      <c r="N12" s="1453">
        <v>369522.15</v>
      </c>
      <c r="O12" s="1454">
        <v>0</v>
      </c>
      <c r="P12" s="1455">
        <v>0</v>
      </c>
      <c r="Q12" s="1455">
        <v>0</v>
      </c>
      <c r="R12" s="1455">
        <v>0</v>
      </c>
      <c r="S12" s="1455">
        <v>497729.72</v>
      </c>
      <c r="T12" s="1456">
        <v>497729.72</v>
      </c>
      <c r="U12" s="1454">
        <v>48761.68</v>
      </c>
      <c r="V12" s="1455">
        <v>0</v>
      </c>
      <c r="W12" s="1455">
        <v>0</v>
      </c>
      <c r="X12" s="1455">
        <v>0</v>
      </c>
      <c r="Y12" s="1455">
        <v>0</v>
      </c>
      <c r="Z12" s="1456">
        <v>48761.68</v>
      </c>
      <c r="AA12" s="1449"/>
      <c r="AB12" s="1450"/>
      <c r="AC12" s="1450"/>
      <c r="AD12" s="1450"/>
      <c r="AE12" s="1450"/>
      <c r="AF12" s="1451"/>
    </row>
    <row r="13" spans="1:32" s="1315" customFormat="1" ht="31.5">
      <c r="A13" s="1436" t="s">
        <v>26</v>
      </c>
      <c r="B13" s="1436" t="s">
        <v>908</v>
      </c>
      <c r="C13" s="1148" t="s">
        <v>272</v>
      </c>
      <c r="D13" s="1291">
        <f t="shared" si="3"/>
        <v>968</v>
      </c>
      <c r="E13" s="1218">
        <f t="shared" si="4"/>
        <v>324163.63</v>
      </c>
      <c r="F13" s="1218">
        <f t="shared" si="5"/>
        <v>111224.88999999998</v>
      </c>
      <c r="G13" s="1218">
        <f t="shared" si="6"/>
        <v>88174.9</v>
      </c>
      <c r="H13" s="1219">
        <f t="shared" si="6"/>
        <v>23049.989999999998</v>
      </c>
      <c r="I13" s="1452">
        <v>0</v>
      </c>
      <c r="J13" s="1452">
        <v>0</v>
      </c>
      <c r="K13" s="1452">
        <v>303780.8</v>
      </c>
      <c r="L13" s="1452">
        <v>75945.2</v>
      </c>
      <c r="M13" s="1452">
        <v>0</v>
      </c>
      <c r="N13" s="1453">
        <v>379726</v>
      </c>
      <c r="O13" s="1454">
        <v>0</v>
      </c>
      <c r="P13" s="1455">
        <v>0</v>
      </c>
      <c r="Q13" s="1455">
        <v>20382.830000000002</v>
      </c>
      <c r="R13" s="1455">
        <v>12229.7</v>
      </c>
      <c r="S13" s="1455">
        <v>23049.989999999998</v>
      </c>
      <c r="T13" s="1456">
        <v>55662.520000000004</v>
      </c>
      <c r="U13" s="1454">
        <v>968</v>
      </c>
      <c r="V13" s="1455">
        <v>0</v>
      </c>
      <c r="W13" s="1455">
        <v>0</v>
      </c>
      <c r="X13" s="1455">
        <v>0</v>
      </c>
      <c r="Y13" s="1455">
        <v>0</v>
      </c>
      <c r="Z13" s="1456">
        <v>968</v>
      </c>
      <c r="AA13" s="1449"/>
      <c r="AB13" s="1450"/>
      <c r="AC13" s="1450"/>
      <c r="AD13" s="1450"/>
      <c r="AE13" s="1450"/>
      <c r="AF13" s="1451"/>
    </row>
    <row r="14" spans="1:32" s="1315" customFormat="1">
      <c r="A14" s="1436" t="s">
        <v>27</v>
      </c>
      <c r="B14" s="1436" t="s">
        <v>28</v>
      </c>
      <c r="C14" s="1148" t="s">
        <v>272</v>
      </c>
      <c r="D14" s="1291">
        <f t="shared" si="3"/>
        <v>0</v>
      </c>
      <c r="E14" s="1218">
        <f t="shared" si="4"/>
        <v>4982.3999999999996</v>
      </c>
      <c r="F14" s="1218">
        <f t="shared" si="5"/>
        <v>1245.5999999999999</v>
      </c>
      <c r="G14" s="1218">
        <f t="shared" si="6"/>
        <v>1245.5999999999999</v>
      </c>
      <c r="H14" s="1219">
        <f t="shared" si="6"/>
        <v>0</v>
      </c>
      <c r="I14" s="1452">
        <v>0</v>
      </c>
      <c r="J14" s="1452">
        <v>0</v>
      </c>
      <c r="K14" s="1452">
        <v>4982.3999999999996</v>
      </c>
      <c r="L14" s="1452">
        <v>1245.5999999999999</v>
      </c>
      <c r="M14" s="1452">
        <v>0</v>
      </c>
      <c r="N14" s="1453">
        <v>6228</v>
      </c>
      <c r="O14" s="1449"/>
      <c r="P14" s="1450"/>
      <c r="Q14" s="1450"/>
      <c r="R14" s="1450"/>
      <c r="S14" s="1450"/>
      <c r="T14" s="1451"/>
      <c r="U14" s="1449"/>
      <c r="V14" s="1450"/>
      <c r="W14" s="1450"/>
      <c r="X14" s="1450"/>
      <c r="Y14" s="1450"/>
      <c r="Z14" s="1451"/>
      <c r="AA14" s="1449"/>
      <c r="AB14" s="1450"/>
      <c r="AC14" s="1450"/>
      <c r="AD14" s="1450"/>
      <c r="AE14" s="1450"/>
      <c r="AF14" s="1451"/>
    </row>
    <row r="15" spans="1:32" s="1315" customFormat="1">
      <c r="A15" s="1436" t="s">
        <v>29</v>
      </c>
      <c r="B15" s="1436" t="s">
        <v>329</v>
      </c>
      <c r="C15" s="1148" t="s">
        <v>272</v>
      </c>
      <c r="D15" s="1291">
        <f t="shared" si="3"/>
        <v>0</v>
      </c>
      <c r="E15" s="1218">
        <f t="shared" si="4"/>
        <v>220810.4</v>
      </c>
      <c r="F15" s="1218">
        <f t="shared" si="5"/>
        <v>55202.6</v>
      </c>
      <c r="G15" s="1218">
        <f t="shared" si="6"/>
        <v>55202.6</v>
      </c>
      <c r="H15" s="1219">
        <f t="shared" si="6"/>
        <v>0</v>
      </c>
      <c r="I15" s="1452">
        <v>0</v>
      </c>
      <c r="J15" s="1452">
        <v>0</v>
      </c>
      <c r="K15" s="1452">
        <v>220810.4</v>
      </c>
      <c r="L15" s="1452">
        <v>55202.6</v>
      </c>
      <c r="M15" s="1452">
        <v>0</v>
      </c>
      <c r="N15" s="1453">
        <v>276013</v>
      </c>
      <c r="O15" s="1449"/>
      <c r="P15" s="1450"/>
      <c r="Q15" s="1450"/>
      <c r="R15" s="1450"/>
      <c r="S15" s="1450"/>
      <c r="T15" s="1451"/>
      <c r="U15" s="1449"/>
      <c r="V15" s="1450"/>
      <c r="W15" s="1450"/>
      <c r="X15" s="1450"/>
      <c r="Y15" s="1450"/>
      <c r="Z15" s="1451"/>
      <c r="AA15" s="1449"/>
      <c r="AB15" s="1450"/>
      <c r="AC15" s="1450"/>
      <c r="AD15" s="1450"/>
      <c r="AE15" s="1450"/>
      <c r="AF15" s="1451"/>
    </row>
    <row r="16" spans="1:32" s="1315" customFormat="1">
      <c r="A16" s="1436" t="s">
        <v>31</v>
      </c>
      <c r="B16" s="1436" t="s">
        <v>32</v>
      </c>
      <c r="C16" s="1148" t="s">
        <v>275</v>
      </c>
      <c r="D16" s="1291">
        <f t="shared" si="3"/>
        <v>0</v>
      </c>
      <c r="E16" s="1218">
        <f t="shared" si="4"/>
        <v>13008.8</v>
      </c>
      <c r="F16" s="1218">
        <f t="shared" si="5"/>
        <v>3252.2</v>
      </c>
      <c r="G16" s="1218">
        <f t="shared" si="6"/>
        <v>3252.2</v>
      </c>
      <c r="H16" s="1219">
        <f t="shared" si="6"/>
        <v>0</v>
      </c>
      <c r="I16" s="1452">
        <v>0</v>
      </c>
      <c r="J16" s="1452">
        <v>0</v>
      </c>
      <c r="K16" s="1452">
        <v>13008.8</v>
      </c>
      <c r="L16" s="1452">
        <v>3252.2</v>
      </c>
      <c r="M16" s="1452">
        <v>0</v>
      </c>
      <c r="N16" s="1453">
        <v>16261</v>
      </c>
      <c r="O16" s="1449"/>
      <c r="P16" s="1450"/>
      <c r="Q16" s="1450"/>
      <c r="R16" s="1450"/>
      <c r="S16" s="1450"/>
      <c r="T16" s="1451"/>
      <c r="U16" s="1449"/>
      <c r="V16" s="1450"/>
      <c r="W16" s="1450"/>
      <c r="X16" s="1450"/>
      <c r="Y16" s="1450"/>
      <c r="Z16" s="1451"/>
      <c r="AA16" s="1449"/>
      <c r="AB16" s="1450"/>
      <c r="AC16" s="1450"/>
      <c r="AD16" s="1450"/>
      <c r="AE16" s="1450"/>
      <c r="AF16" s="1451"/>
    </row>
    <row r="17" spans="1:32" s="1315" customFormat="1">
      <c r="A17" s="1436" t="s">
        <v>33</v>
      </c>
      <c r="B17" s="1436" t="s">
        <v>34</v>
      </c>
      <c r="C17" s="1148" t="s">
        <v>272</v>
      </c>
      <c r="D17" s="1291">
        <f t="shared" si="3"/>
        <v>0</v>
      </c>
      <c r="E17" s="1218">
        <f t="shared" si="4"/>
        <v>67144</v>
      </c>
      <c r="F17" s="1218">
        <f t="shared" si="5"/>
        <v>16786</v>
      </c>
      <c r="G17" s="1218">
        <f t="shared" si="6"/>
        <v>16786</v>
      </c>
      <c r="H17" s="1219">
        <f t="shared" si="6"/>
        <v>0</v>
      </c>
      <c r="I17" s="1452">
        <v>0</v>
      </c>
      <c r="J17" s="1452">
        <v>0</v>
      </c>
      <c r="K17" s="1452">
        <v>67144</v>
      </c>
      <c r="L17" s="1452">
        <v>16786</v>
      </c>
      <c r="M17" s="1452">
        <v>0</v>
      </c>
      <c r="N17" s="1453">
        <v>83930</v>
      </c>
      <c r="O17" s="1449"/>
      <c r="P17" s="1450"/>
      <c r="Q17" s="1450"/>
      <c r="R17" s="1450"/>
      <c r="S17" s="1450"/>
      <c r="T17" s="1451"/>
      <c r="U17" s="1449"/>
      <c r="V17" s="1450"/>
      <c r="W17" s="1450"/>
      <c r="X17" s="1450"/>
      <c r="Y17" s="1450"/>
      <c r="Z17" s="1451"/>
      <c r="AA17" s="1449"/>
      <c r="AB17" s="1450"/>
      <c r="AC17" s="1450"/>
      <c r="AD17" s="1450"/>
      <c r="AE17" s="1450"/>
      <c r="AF17" s="1451"/>
    </row>
    <row r="18" spans="1:32" s="1315" customFormat="1">
      <c r="A18" s="1436" t="s">
        <v>37</v>
      </c>
      <c r="B18" s="1436" t="s">
        <v>38</v>
      </c>
      <c r="C18" s="1148" t="s">
        <v>271</v>
      </c>
      <c r="D18" s="1291">
        <f t="shared" si="3"/>
        <v>0</v>
      </c>
      <c r="E18" s="1218">
        <f t="shared" si="4"/>
        <v>123418.4</v>
      </c>
      <c r="F18" s="1218">
        <f t="shared" si="5"/>
        <v>30854.6</v>
      </c>
      <c r="G18" s="1218">
        <f t="shared" si="6"/>
        <v>30854.6</v>
      </c>
      <c r="H18" s="1219">
        <f t="shared" si="6"/>
        <v>0</v>
      </c>
      <c r="I18" s="1452">
        <v>0</v>
      </c>
      <c r="J18" s="1452">
        <v>0</v>
      </c>
      <c r="K18" s="1452">
        <v>123418.4</v>
      </c>
      <c r="L18" s="1452">
        <v>30854.6</v>
      </c>
      <c r="M18" s="1452">
        <v>0</v>
      </c>
      <c r="N18" s="1453">
        <v>154273</v>
      </c>
      <c r="O18" s="1449"/>
      <c r="P18" s="1450"/>
      <c r="Q18" s="1450"/>
      <c r="R18" s="1450"/>
      <c r="S18" s="1450"/>
      <c r="T18" s="1451"/>
      <c r="U18" s="1449"/>
      <c r="V18" s="1450"/>
      <c r="W18" s="1450"/>
      <c r="X18" s="1450"/>
      <c r="Y18" s="1450"/>
      <c r="Z18" s="1451"/>
      <c r="AA18" s="1449"/>
      <c r="AB18" s="1450"/>
      <c r="AC18" s="1450"/>
      <c r="AD18" s="1450"/>
      <c r="AE18" s="1450"/>
      <c r="AF18" s="1451"/>
    </row>
    <row r="19" spans="1:32" s="1315" customFormat="1">
      <c r="A19" s="1436" t="s">
        <v>39</v>
      </c>
      <c r="B19" s="1436" t="s">
        <v>40</v>
      </c>
      <c r="C19" s="1148" t="s">
        <v>275</v>
      </c>
      <c r="D19" s="1291">
        <f t="shared" si="3"/>
        <v>0</v>
      </c>
      <c r="E19" s="1218">
        <f t="shared" si="4"/>
        <v>112393.60000000001</v>
      </c>
      <c r="F19" s="1218">
        <f t="shared" si="5"/>
        <v>28098.400000000001</v>
      </c>
      <c r="G19" s="1218">
        <f t="shared" si="6"/>
        <v>28098.400000000001</v>
      </c>
      <c r="H19" s="1219">
        <f t="shared" si="6"/>
        <v>0</v>
      </c>
      <c r="I19" s="1452">
        <v>0</v>
      </c>
      <c r="J19" s="1452">
        <v>0</v>
      </c>
      <c r="K19" s="1452">
        <v>112393.60000000001</v>
      </c>
      <c r="L19" s="1452">
        <v>28098.400000000001</v>
      </c>
      <c r="M19" s="1452">
        <v>0</v>
      </c>
      <c r="N19" s="1453">
        <v>140492</v>
      </c>
      <c r="O19" s="1449"/>
      <c r="P19" s="1450"/>
      <c r="Q19" s="1450"/>
      <c r="R19" s="1450"/>
      <c r="S19" s="1450"/>
      <c r="T19" s="1451"/>
      <c r="U19" s="1449"/>
      <c r="V19" s="1450"/>
      <c r="W19" s="1450"/>
      <c r="X19" s="1450"/>
      <c r="Y19" s="1450"/>
      <c r="Z19" s="1451"/>
      <c r="AA19" s="1449"/>
      <c r="AB19" s="1450"/>
      <c r="AC19" s="1450"/>
      <c r="AD19" s="1450"/>
      <c r="AE19" s="1450"/>
      <c r="AF19" s="1451"/>
    </row>
    <row r="20" spans="1:32" s="1315" customFormat="1">
      <c r="A20" s="1436" t="s">
        <v>41</v>
      </c>
      <c r="B20" s="1436" t="s">
        <v>42</v>
      </c>
      <c r="C20" s="1148" t="s">
        <v>273</v>
      </c>
      <c r="D20" s="1291">
        <f t="shared" si="3"/>
        <v>0</v>
      </c>
      <c r="E20" s="1218">
        <f t="shared" si="4"/>
        <v>65144.800000000003</v>
      </c>
      <c r="F20" s="1218">
        <f t="shared" si="5"/>
        <v>16286.2</v>
      </c>
      <c r="G20" s="1218">
        <f t="shared" si="6"/>
        <v>16286.2</v>
      </c>
      <c r="H20" s="1219">
        <f t="shared" si="6"/>
        <v>0</v>
      </c>
      <c r="I20" s="1452">
        <v>0</v>
      </c>
      <c r="J20" s="1452">
        <v>0</v>
      </c>
      <c r="K20" s="1452">
        <v>65144.800000000003</v>
      </c>
      <c r="L20" s="1452">
        <v>16286.2</v>
      </c>
      <c r="M20" s="1452">
        <v>0</v>
      </c>
      <c r="N20" s="1453">
        <v>81431</v>
      </c>
      <c r="O20" s="1449"/>
      <c r="P20" s="1450"/>
      <c r="Q20" s="1450"/>
      <c r="R20" s="1450"/>
      <c r="S20" s="1450"/>
      <c r="T20" s="1451"/>
      <c r="U20" s="1449"/>
      <c r="V20" s="1450"/>
      <c r="W20" s="1450"/>
      <c r="X20" s="1450"/>
      <c r="Y20" s="1450"/>
      <c r="Z20" s="1451"/>
      <c r="AA20" s="1449"/>
      <c r="AB20" s="1450"/>
      <c r="AC20" s="1450"/>
      <c r="AD20" s="1450"/>
      <c r="AE20" s="1450"/>
      <c r="AF20" s="1451"/>
    </row>
    <row r="21" spans="1:32" s="1315" customFormat="1">
      <c r="A21" s="1436" t="s">
        <v>43</v>
      </c>
      <c r="B21" s="1436" t="s">
        <v>44</v>
      </c>
      <c r="C21" s="1148" t="s">
        <v>272</v>
      </c>
      <c r="D21" s="1291">
        <f t="shared" si="3"/>
        <v>0</v>
      </c>
      <c r="E21" s="1218">
        <f t="shared" si="4"/>
        <v>185921.53</v>
      </c>
      <c r="F21" s="1218">
        <f t="shared" si="5"/>
        <v>51092.47</v>
      </c>
      <c r="G21" s="1218">
        <f t="shared" si="6"/>
        <v>51092.53</v>
      </c>
      <c r="H21" s="1219">
        <f t="shared" si="6"/>
        <v>-0.06</v>
      </c>
      <c r="I21" s="1452">
        <v>0</v>
      </c>
      <c r="J21" s="1452">
        <v>0</v>
      </c>
      <c r="K21" s="1452">
        <v>172744</v>
      </c>
      <c r="L21" s="1452">
        <v>43186</v>
      </c>
      <c r="M21" s="1452">
        <v>0</v>
      </c>
      <c r="N21" s="1453">
        <v>215930</v>
      </c>
      <c r="O21" s="1454">
        <v>0</v>
      </c>
      <c r="P21" s="1455">
        <v>0</v>
      </c>
      <c r="Q21" s="1455">
        <v>13177.53</v>
      </c>
      <c r="R21" s="1455">
        <v>7906.53</v>
      </c>
      <c r="S21" s="1455">
        <v>-0.06</v>
      </c>
      <c r="T21" s="1456">
        <v>21084</v>
      </c>
      <c r="U21" s="1449"/>
      <c r="V21" s="1450"/>
      <c r="W21" s="1450"/>
      <c r="X21" s="1450"/>
      <c r="Y21" s="1450"/>
      <c r="Z21" s="1451"/>
      <c r="AA21" s="1449"/>
      <c r="AB21" s="1450"/>
      <c r="AC21" s="1450"/>
      <c r="AD21" s="1450"/>
      <c r="AE21" s="1450"/>
      <c r="AF21" s="1451"/>
    </row>
    <row r="22" spans="1:32" s="1315" customFormat="1">
      <c r="A22" s="1436" t="s">
        <v>45</v>
      </c>
      <c r="B22" s="1436" t="s">
        <v>46</v>
      </c>
      <c r="C22" s="1148" t="s">
        <v>273</v>
      </c>
      <c r="D22" s="1291">
        <f t="shared" si="3"/>
        <v>0</v>
      </c>
      <c r="E22" s="1218">
        <f t="shared" si="4"/>
        <v>27920.799999999999</v>
      </c>
      <c r="F22" s="1218">
        <f t="shared" si="5"/>
        <v>6980.2</v>
      </c>
      <c r="G22" s="1218">
        <f t="shared" si="6"/>
        <v>6980.2</v>
      </c>
      <c r="H22" s="1219">
        <f t="shared" si="6"/>
        <v>0</v>
      </c>
      <c r="I22" s="1452">
        <v>0</v>
      </c>
      <c r="J22" s="1452">
        <v>0</v>
      </c>
      <c r="K22" s="1452">
        <v>27920.799999999999</v>
      </c>
      <c r="L22" s="1452">
        <v>6980.2</v>
      </c>
      <c r="M22" s="1452">
        <v>0</v>
      </c>
      <c r="N22" s="1453">
        <v>34901</v>
      </c>
      <c r="O22" s="1449"/>
      <c r="P22" s="1450"/>
      <c r="Q22" s="1450"/>
      <c r="R22" s="1450"/>
      <c r="S22" s="1450"/>
      <c r="T22" s="1451"/>
      <c r="U22" s="1449"/>
      <c r="V22" s="1450"/>
      <c r="W22" s="1450"/>
      <c r="X22" s="1450"/>
      <c r="Y22" s="1450"/>
      <c r="Z22" s="1451"/>
      <c r="AA22" s="1449"/>
      <c r="AB22" s="1450"/>
      <c r="AC22" s="1450"/>
      <c r="AD22" s="1450"/>
      <c r="AE22" s="1450"/>
      <c r="AF22" s="1451"/>
    </row>
    <row r="23" spans="1:32" s="1315" customFormat="1">
      <c r="A23" s="1436" t="s">
        <v>47</v>
      </c>
      <c r="B23" s="1436" t="s">
        <v>48</v>
      </c>
      <c r="C23" s="1148" t="s">
        <v>275</v>
      </c>
      <c r="D23" s="1291">
        <f t="shared" si="3"/>
        <v>0</v>
      </c>
      <c r="E23" s="1218">
        <f t="shared" si="4"/>
        <v>160501.6</v>
      </c>
      <c r="F23" s="1218">
        <f t="shared" si="5"/>
        <v>40125.4</v>
      </c>
      <c r="G23" s="1218">
        <f t="shared" si="6"/>
        <v>40125.4</v>
      </c>
      <c r="H23" s="1219">
        <f t="shared" si="6"/>
        <v>0</v>
      </c>
      <c r="I23" s="1452">
        <v>0</v>
      </c>
      <c r="J23" s="1452">
        <v>0</v>
      </c>
      <c r="K23" s="1452">
        <v>160501.6</v>
      </c>
      <c r="L23" s="1452">
        <v>40125.4</v>
      </c>
      <c r="M23" s="1452">
        <v>0</v>
      </c>
      <c r="N23" s="1453">
        <v>200627</v>
      </c>
      <c r="O23" s="1449"/>
      <c r="P23" s="1450"/>
      <c r="Q23" s="1450"/>
      <c r="R23" s="1450"/>
      <c r="S23" s="1450"/>
      <c r="T23" s="1451"/>
      <c r="U23" s="1449"/>
      <c r="V23" s="1450"/>
      <c r="W23" s="1450"/>
      <c r="X23" s="1450"/>
      <c r="Y23" s="1450"/>
      <c r="Z23" s="1451"/>
      <c r="AA23" s="1449"/>
      <c r="AB23" s="1450"/>
      <c r="AC23" s="1450"/>
      <c r="AD23" s="1450"/>
      <c r="AE23" s="1450"/>
      <c r="AF23" s="1451"/>
    </row>
    <row r="24" spans="1:32" s="1315" customFormat="1">
      <c r="A24" s="1436" t="s">
        <v>49</v>
      </c>
      <c r="B24" s="1436" t="s">
        <v>276</v>
      </c>
      <c r="C24" s="1148" t="s">
        <v>273</v>
      </c>
      <c r="D24" s="1291">
        <f t="shared" si="3"/>
        <v>0</v>
      </c>
      <c r="E24" s="1218">
        <f t="shared" si="4"/>
        <v>39154.400000000001</v>
      </c>
      <c r="F24" s="1218">
        <f t="shared" si="5"/>
        <v>9788.6</v>
      </c>
      <c r="G24" s="1218">
        <f t="shared" si="6"/>
        <v>9788.6</v>
      </c>
      <c r="H24" s="1219">
        <f t="shared" si="6"/>
        <v>0</v>
      </c>
      <c r="I24" s="1452">
        <v>0</v>
      </c>
      <c r="J24" s="1452">
        <v>0</v>
      </c>
      <c r="K24" s="1452">
        <v>39154.400000000001</v>
      </c>
      <c r="L24" s="1452">
        <v>9788.6</v>
      </c>
      <c r="M24" s="1452">
        <v>0</v>
      </c>
      <c r="N24" s="1453">
        <v>48943</v>
      </c>
      <c r="O24" s="1449"/>
      <c r="P24" s="1450"/>
      <c r="Q24" s="1450"/>
      <c r="R24" s="1450"/>
      <c r="S24" s="1450"/>
      <c r="T24" s="1451"/>
      <c r="U24" s="1449"/>
      <c r="V24" s="1450"/>
      <c r="W24" s="1450"/>
      <c r="X24" s="1450"/>
      <c r="Y24" s="1450"/>
      <c r="Z24" s="1451"/>
      <c r="AA24" s="1449"/>
      <c r="AB24" s="1450"/>
      <c r="AC24" s="1450"/>
      <c r="AD24" s="1450"/>
      <c r="AE24" s="1450"/>
      <c r="AF24" s="1451"/>
    </row>
    <row r="25" spans="1:32" s="1315" customFormat="1">
      <c r="A25" s="1436" t="s">
        <v>51</v>
      </c>
      <c r="B25" s="1436" t="s">
        <v>52</v>
      </c>
      <c r="C25" s="1148" t="s">
        <v>272</v>
      </c>
      <c r="D25" s="1291">
        <f t="shared" si="3"/>
        <v>0</v>
      </c>
      <c r="E25" s="1218">
        <f t="shared" si="4"/>
        <v>80563.460000000006</v>
      </c>
      <c r="F25" s="1218">
        <f t="shared" si="5"/>
        <v>20140.87</v>
      </c>
      <c r="G25" s="1218">
        <f t="shared" si="6"/>
        <v>20140.87</v>
      </c>
      <c r="H25" s="1219">
        <f t="shared" si="6"/>
        <v>0</v>
      </c>
      <c r="I25" s="1452">
        <v>0</v>
      </c>
      <c r="J25" s="1452">
        <v>0</v>
      </c>
      <c r="K25" s="1452">
        <v>80563.460000000006</v>
      </c>
      <c r="L25" s="1452">
        <v>20140.87</v>
      </c>
      <c r="M25" s="1452">
        <v>0</v>
      </c>
      <c r="N25" s="1453">
        <v>100704.33</v>
      </c>
      <c r="O25" s="1449"/>
      <c r="P25" s="1450"/>
      <c r="Q25" s="1450"/>
      <c r="R25" s="1450"/>
      <c r="S25" s="1450"/>
      <c r="T25" s="1451"/>
      <c r="U25" s="1449"/>
      <c r="V25" s="1450"/>
      <c r="W25" s="1450"/>
      <c r="X25" s="1450"/>
      <c r="Y25" s="1450"/>
      <c r="Z25" s="1451"/>
      <c r="AA25" s="1449"/>
      <c r="AB25" s="1450"/>
      <c r="AC25" s="1450"/>
      <c r="AD25" s="1450"/>
      <c r="AE25" s="1450"/>
      <c r="AF25" s="1451"/>
    </row>
    <row r="26" spans="1:32" s="1315" customFormat="1" ht="31.5">
      <c r="A26" s="1436" t="s">
        <v>57</v>
      </c>
      <c r="B26" s="1436" t="s">
        <v>305</v>
      </c>
      <c r="C26" s="1148" t="s">
        <v>273</v>
      </c>
      <c r="D26" s="1291">
        <f t="shared" si="3"/>
        <v>1211</v>
      </c>
      <c r="E26" s="1218">
        <f t="shared" si="4"/>
        <v>620764.07000000007</v>
      </c>
      <c r="F26" s="1218">
        <f t="shared" si="5"/>
        <v>173064.40000000002</v>
      </c>
      <c r="G26" s="1218">
        <f t="shared" si="6"/>
        <v>173064.45</v>
      </c>
      <c r="H26" s="1219">
        <f t="shared" si="6"/>
        <v>-0.05</v>
      </c>
      <c r="I26" s="1452">
        <v>0</v>
      </c>
      <c r="J26" s="1452">
        <v>0</v>
      </c>
      <c r="K26" s="1452">
        <v>569697.17000000004</v>
      </c>
      <c r="L26" s="1452">
        <v>142424.30000000002</v>
      </c>
      <c r="M26" s="1452">
        <v>0</v>
      </c>
      <c r="N26" s="1453">
        <v>712121.47</v>
      </c>
      <c r="O26" s="1454">
        <v>0</v>
      </c>
      <c r="P26" s="1455">
        <v>0</v>
      </c>
      <c r="Q26" s="1455">
        <v>51066.9</v>
      </c>
      <c r="R26" s="1455">
        <v>30640.15</v>
      </c>
      <c r="S26" s="1455">
        <v>-0.05</v>
      </c>
      <c r="T26" s="1456">
        <v>81707</v>
      </c>
      <c r="U26" s="1454">
        <v>1211</v>
      </c>
      <c r="V26" s="1455">
        <v>0</v>
      </c>
      <c r="W26" s="1455">
        <v>0</v>
      </c>
      <c r="X26" s="1455">
        <v>0</v>
      </c>
      <c r="Y26" s="1455">
        <v>0</v>
      </c>
      <c r="Z26" s="1456">
        <v>1211</v>
      </c>
      <c r="AA26" s="1449"/>
      <c r="AB26" s="1450"/>
      <c r="AC26" s="1450"/>
      <c r="AD26" s="1450"/>
      <c r="AE26" s="1450"/>
      <c r="AF26" s="1451"/>
    </row>
    <row r="27" spans="1:32" s="1315" customFormat="1">
      <c r="A27" s="1436" t="s">
        <v>59</v>
      </c>
      <c r="B27" s="1436" t="s">
        <v>60</v>
      </c>
      <c r="C27" s="1148" t="s">
        <v>274</v>
      </c>
      <c r="D27" s="1291">
        <f t="shared" si="3"/>
        <v>0</v>
      </c>
      <c r="E27" s="1218">
        <f t="shared" si="4"/>
        <v>27252</v>
      </c>
      <c r="F27" s="1218">
        <f t="shared" si="5"/>
        <v>6813</v>
      </c>
      <c r="G27" s="1218">
        <f t="shared" si="6"/>
        <v>6813</v>
      </c>
      <c r="H27" s="1219">
        <f t="shared" si="6"/>
        <v>0</v>
      </c>
      <c r="I27" s="1452">
        <v>0</v>
      </c>
      <c r="J27" s="1452">
        <v>0</v>
      </c>
      <c r="K27" s="1452">
        <v>27252</v>
      </c>
      <c r="L27" s="1452">
        <v>6813</v>
      </c>
      <c r="M27" s="1452">
        <v>0</v>
      </c>
      <c r="N27" s="1453">
        <v>34065</v>
      </c>
      <c r="O27" s="1449"/>
      <c r="P27" s="1450"/>
      <c r="Q27" s="1450"/>
      <c r="R27" s="1450"/>
      <c r="S27" s="1450"/>
      <c r="T27" s="1451"/>
      <c r="U27" s="1449"/>
      <c r="V27" s="1450"/>
      <c r="W27" s="1450"/>
      <c r="X27" s="1450"/>
      <c r="Y27" s="1450"/>
      <c r="Z27" s="1451"/>
      <c r="AA27" s="1449"/>
      <c r="AB27" s="1450"/>
      <c r="AC27" s="1450"/>
      <c r="AD27" s="1450"/>
      <c r="AE27" s="1450"/>
      <c r="AF27" s="1451"/>
    </row>
    <row r="28" spans="1:32" s="1315" customFormat="1">
      <c r="A28" s="1436" t="s">
        <v>61</v>
      </c>
      <c r="B28" s="1436" t="s">
        <v>62</v>
      </c>
      <c r="C28" s="1148" t="s">
        <v>272</v>
      </c>
      <c r="D28" s="1291">
        <f t="shared" si="3"/>
        <v>0</v>
      </c>
      <c r="E28" s="1218">
        <f t="shared" si="4"/>
        <v>22422.400000000001</v>
      </c>
      <c r="F28" s="1218">
        <f t="shared" si="5"/>
        <v>5605.6</v>
      </c>
      <c r="G28" s="1218">
        <f t="shared" si="6"/>
        <v>5605.6</v>
      </c>
      <c r="H28" s="1219">
        <f t="shared" si="6"/>
        <v>0</v>
      </c>
      <c r="I28" s="1452">
        <v>0</v>
      </c>
      <c r="J28" s="1452">
        <v>0</v>
      </c>
      <c r="K28" s="1452">
        <v>22422.400000000001</v>
      </c>
      <c r="L28" s="1452">
        <v>5605.6</v>
      </c>
      <c r="M28" s="1452">
        <v>0</v>
      </c>
      <c r="N28" s="1453">
        <v>28028</v>
      </c>
      <c r="O28" s="1449"/>
      <c r="P28" s="1450"/>
      <c r="Q28" s="1450"/>
      <c r="R28" s="1450"/>
      <c r="S28" s="1450"/>
      <c r="T28" s="1451"/>
      <c r="U28" s="1449"/>
      <c r="V28" s="1450"/>
      <c r="W28" s="1450"/>
      <c r="X28" s="1450"/>
      <c r="Y28" s="1450"/>
      <c r="Z28" s="1451"/>
      <c r="AA28" s="1449"/>
      <c r="AB28" s="1450"/>
      <c r="AC28" s="1450"/>
      <c r="AD28" s="1450"/>
      <c r="AE28" s="1450"/>
      <c r="AF28" s="1451"/>
    </row>
    <row r="29" spans="1:32" s="1315" customFormat="1">
      <c r="A29" s="1436" t="s">
        <v>63</v>
      </c>
      <c r="B29" s="1436" t="s">
        <v>64</v>
      </c>
      <c r="C29" s="1148" t="s">
        <v>274</v>
      </c>
      <c r="D29" s="1291">
        <f t="shared" si="3"/>
        <v>0</v>
      </c>
      <c r="E29" s="1218">
        <f t="shared" si="4"/>
        <v>46504</v>
      </c>
      <c r="F29" s="1218">
        <f t="shared" si="5"/>
        <v>18187.87</v>
      </c>
      <c r="G29" s="1218">
        <f t="shared" si="6"/>
        <v>11626</v>
      </c>
      <c r="H29" s="1219">
        <f t="shared" si="6"/>
        <v>6561.87</v>
      </c>
      <c r="I29" s="1452">
        <v>0</v>
      </c>
      <c r="J29" s="1452">
        <v>0</v>
      </c>
      <c r="K29" s="1452">
        <v>46504</v>
      </c>
      <c r="L29" s="1452">
        <v>11626</v>
      </c>
      <c r="M29" s="1452">
        <v>0</v>
      </c>
      <c r="N29" s="1453">
        <v>58130</v>
      </c>
      <c r="O29" s="1454">
        <v>0</v>
      </c>
      <c r="P29" s="1455">
        <v>0</v>
      </c>
      <c r="Q29" s="1455">
        <v>0</v>
      </c>
      <c r="R29" s="1455">
        <v>0</v>
      </c>
      <c r="S29" s="1455">
        <v>6561.87</v>
      </c>
      <c r="T29" s="1456">
        <v>6561.87</v>
      </c>
      <c r="U29" s="1449"/>
      <c r="V29" s="1450"/>
      <c r="W29" s="1450"/>
      <c r="X29" s="1450"/>
      <c r="Y29" s="1450"/>
      <c r="Z29" s="1451"/>
      <c r="AA29" s="1449"/>
      <c r="AB29" s="1450"/>
      <c r="AC29" s="1450"/>
      <c r="AD29" s="1450"/>
      <c r="AE29" s="1450"/>
      <c r="AF29" s="1451"/>
    </row>
    <row r="30" spans="1:32" s="1315" customFormat="1">
      <c r="A30" s="1436" t="s">
        <v>65</v>
      </c>
      <c r="B30" s="1436" t="s">
        <v>66</v>
      </c>
      <c r="C30" s="1148" t="s">
        <v>273</v>
      </c>
      <c r="D30" s="1291">
        <f t="shared" si="3"/>
        <v>0</v>
      </c>
      <c r="E30" s="1218">
        <f t="shared" si="4"/>
        <v>58908</v>
      </c>
      <c r="F30" s="1218">
        <f t="shared" si="5"/>
        <v>14727</v>
      </c>
      <c r="G30" s="1218">
        <f t="shared" si="6"/>
        <v>14727</v>
      </c>
      <c r="H30" s="1219">
        <f t="shared" si="6"/>
        <v>0</v>
      </c>
      <c r="I30" s="1452">
        <v>0</v>
      </c>
      <c r="J30" s="1452">
        <v>0</v>
      </c>
      <c r="K30" s="1452">
        <v>58908</v>
      </c>
      <c r="L30" s="1452">
        <v>14727</v>
      </c>
      <c r="M30" s="1452">
        <v>0</v>
      </c>
      <c r="N30" s="1453">
        <v>73635</v>
      </c>
      <c r="O30" s="1449"/>
      <c r="P30" s="1450"/>
      <c r="Q30" s="1450"/>
      <c r="R30" s="1450"/>
      <c r="S30" s="1450"/>
      <c r="T30" s="1451"/>
      <c r="U30" s="1449"/>
      <c r="V30" s="1450"/>
      <c r="W30" s="1450"/>
      <c r="X30" s="1450"/>
      <c r="Y30" s="1450"/>
      <c r="Z30" s="1451"/>
      <c r="AA30" s="1449"/>
      <c r="AB30" s="1450"/>
      <c r="AC30" s="1450"/>
      <c r="AD30" s="1450"/>
      <c r="AE30" s="1450"/>
      <c r="AF30" s="1451"/>
    </row>
    <row r="31" spans="1:32" s="1315" customFormat="1">
      <c r="A31" s="1436" t="s">
        <v>69</v>
      </c>
      <c r="B31" s="1436" t="s">
        <v>70</v>
      </c>
      <c r="C31" s="1148" t="s">
        <v>275</v>
      </c>
      <c r="D31" s="1291">
        <f t="shared" si="3"/>
        <v>0</v>
      </c>
      <c r="E31" s="1218">
        <f t="shared" si="4"/>
        <v>32880</v>
      </c>
      <c r="F31" s="1218">
        <f t="shared" si="5"/>
        <v>8220</v>
      </c>
      <c r="G31" s="1218">
        <f t="shared" si="6"/>
        <v>8220</v>
      </c>
      <c r="H31" s="1219">
        <f t="shared" si="6"/>
        <v>0</v>
      </c>
      <c r="I31" s="1452">
        <v>0</v>
      </c>
      <c r="J31" s="1452">
        <v>0</v>
      </c>
      <c r="K31" s="1452">
        <v>32880</v>
      </c>
      <c r="L31" s="1452">
        <v>8220</v>
      </c>
      <c r="M31" s="1452">
        <v>0</v>
      </c>
      <c r="N31" s="1453">
        <v>41100</v>
      </c>
      <c r="O31" s="1449"/>
      <c r="P31" s="1450"/>
      <c r="Q31" s="1450"/>
      <c r="R31" s="1450"/>
      <c r="S31" s="1450"/>
      <c r="T31" s="1451"/>
      <c r="U31" s="1449"/>
      <c r="V31" s="1450"/>
      <c r="W31" s="1450"/>
      <c r="X31" s="1450"/>
      <c r="Y31" s="1450"/>
      <c r="Z31" s="1451"/>
      <c r="AA31" s="1449"/>
      <c r="AB31" s="1450"/>
      <c r="AC31" s="1450"/>
      <c r="AD31" s="1450"/>
      <c r="AE31" s="1450"/>
      <c r="AF31" s="1451"/>
    </row>
    <row r="32" spans="1:32" s="1315" customFormat="1">
      <c r="A32" s="1436" t="s">
        <v>71</v>
      </c>
      <c r="B32" s="1436" t="s">
        <v>72</v>
      </c>
      <c r="C32" s="1148" t="s">
        <v>271</v>
      </c>
      <c r="D32" s="1291">
        <f t="shared" si="3"/>
        <v>0</v>
      </c>
      <c r="E32" s="1218">
        <f t="shared" si="4"/>
        <v>185354.4</v>
      </c>
      <c r="F32" s="1218">
        <f t="shared" si="5"/>
        <v>46338.6</v>
      </c>
      <c r="G32" s="1218">
        <f t="shared" si="6"/>
        <v>46338.6</v>
      </c>
      <c r="H32" s="1219">
        <f t="shared" si="6"/>
        <v>0</v>
      </c>
      <c r="I32" s="1452">
        <v>0</v>
      </c>
      <c r="J32" s="1452">
        <v>0</v>
      </c>
      <c r="K32" s="1452">
        <v>185354.4</v>
      </c>
      <c r="L32" s="1452">
        <v>46338.6</v>
      </c>
      <c r="M32" s="1452">
        <v>0</v>
      </c>
      <c r="N32" s="1453">
        <v>231693</v>
      </c>
      <c r="O32" s="1449"/>
      <c r="P32" s="1450"/>
      <c r="Q32" s="1450"/>
      <c r="R32" s="1450"/>
      <c r="S32" s="1450"/>
      <c r="T32" s="1451"/>
      <c r="U32" s="1449"/>
      <c r="V32" s="1450"/>
      <c r="W32" s="1450"/>
      <c r="X32" s="1450"/>
      <c r="Y32" s="1450"/>
      <c r="Z32" s="1451"/>
      <c r="AA32" s="1449"/>
      <c r="AB32" s="1450"/>
      <c r="AC32" s="1450"/>
      <c r="AD32" s="1450"/>
      <c r="AE32" s="1450"/>
      <c r="AF32" s="1451"/>
    </row>
    <row r="33" spans="1:32" s="1315" customFormat="1">
      <c r="A33" s="1436" t="s">
        <v>73</v>
      </c>
      <c r="B33" s="1436" t="s">
        <v>74</v>
      </c>
      <c r="C33" s="1148" t="s">
        <v>273</v>
      </c>
      <c r="D33" s="1291">
        <f t="shared" si="3"/>
        <v>0</v>
      </c>
      <c r="E33" s="1218">
        <f t="shared" si="4"/>
        <v>20632.8</v>
      </c>
      <c r="F33" s="1218">
        <f t="shared" si="5"/>
        <v>5158.2</v>
      </c>
      <c r="G33" s="1218">
        <f t="shared" si="6"/>
        <v>5158.2</v>
      </c>
      <c r="H33" s="1219">
        <f t="shared" si="6"/>
        <v>0</v>
      </c>
      <c r="I33" s="1452">
        <v>0</v>
      </c>
      <c r="J33" s="1452">
        <v>0</v>
      </c>
      <c r="K33" s="1452">
        <v>20632.8</v>
      </c>
      <c r="L33" s="1452">
        <v>5158.2</v>
      </c>
      <c r="M33" s="1452">
        <v>0</v>
      </c>
      <c r="N33" s="1453">
        <v>25791</v>
      </c>
      <c r="O33" s="1449"/>
      <c r="P33" s="1450"/>
      <c r="Q33" s="1450"/>
      <c r="R33" s="1450"/>
      <c r="S33" s="1450"/>
      <c r="T33" s="1451"/>
      <c r="U33" s="1449"/>
      <c r="V33" s="1450"/>
      <c r="W33" s="1450"/>
      <c r="X33" s="1450"/>
      <c r="Y33" s="1450"/>
      <c r="Z33" s="1451"/>
      <c r="AA33" s="1449"/>
      <c r="AB33" s="1450"/>
      <c r="AC33" s="1450"/>
      <c r="AD33" s="1450"/>
      <c r="AE33" s="1450"/>
      <c r="AF33" s="1451"/>
    </row>
    <row r="34" spans="1:32" s="1315" customFormat="1" ht="31.5">
      <c r="A34" s="1436" t="s">
        <v>75</v>
      </c>
      <c r="B34" s="1436" t="s">
        <v>881</v>
      </c>
      <c r="C34" s="1148" t="s">
        <v>274</v>
      </c>
      <c r="D34" s="1291">
        <f t="shared" si="3"/>
        <v>241188</v>
      </c>
      <c r="E34" s="1218">
        <f t="shared" si="4"/>
        <v>1011147.92</v>
      </c>
      <c r="F34" s="1218">
        <f t="shared" si="5"/>
        <v>1419222.31</v>
      </c>
      <c r="G34" s="1218">
        <f t="shared" si="6"/>
        <v>262810.68</v>
      </c>
      <c r="H34" s="1219">
        <f t="shared" si="6"/>
        <v>1156411.6300000001</v>
      </c>
      <c r="I34" s="1452">
        <v>0</v>
      </c>
      <c r="J34" s="1452">
        <v>0</v>
      </c>
      <c r="K34" s="1452">
        <v>982508.8</v>
      </c>
      <c r="L34" s="1452">
        <v>245627.2</v>
      </c>
      <c r="M34" s="1452">
        <v>25416.32</v>
      </c>
      <c r="N34" s="1453">
        <v>1253552.32</v>
      </c>
      <c r="O34" s="1454">
        <v>0</v>
      </c>
      <c r="P34" s="1455">
        <v>0</v>
      </c>
      <c r="Q34" s="1455">
        <v>28639.119999999999</v>
      </c>
      <c r="R34" s="1455">
        <v>17183.48</v>
      </c>
      <c r="S34" s="1455">
        <v>1130995.31</v>
      </c>
      <c r="T34" s="1456">
        <v>1176817.9099999999</v>
      </c>
      <c r="U34" s="1454">
        <v>241188</v>
      </c>
      <c r="V34" s="1455">
        <v>0</v>
      </c>
      <c r="W34" s="1455">
        <v>0</v>
      </c>
      <c r="X34" s="1455">
        <v>0</v>
      </c>
      <c r="Y34" s="1455">
        <v>0</v>
      </c>
      <c r="Z34" s="1456">
        <v>241188</v>
      </c>
      <c r="AA34" s="1449"/>
      <c r="AB34" s="1450"/>
      <c r="AC34" s="1450"/>
      <c r="AD34" s="1450"/>
      <c r="AE34" s="1450"/>
      <c r="AF34" s="1451"/>
    </row>
    <row r="35" spans="1:32" s="1315" customFormat="1">
      <c r="A35" s="1436" t="s">
        <v>77</v>
      </c>
      <c r="B35" s="1436" t="s">
        <v>78</v>
      </c>
      <c r="C35" s="1148" t="s">
        <v>274</v>
      </c>
      <c r="D35" s="1291">
        <f t="shared" si="3"/>
        <v>0</v>
      </c>
      <c r="E35" s="1218">
        <f t="shared" si="4"/>
        <v>87872.090000000011</v>
      </c>
      <c r="F35" s="1218">
        <f t="shared" si="5"/>
        <v>35630.82</v>
      </c>
      <c r="G35" s="1218">
        <f t="shared" si="6"/>
        <v>24147.32</v>
      </c>
      <c r="H35" s="1219">
        <f t="shared" si="6"/>
        <v>11483.5</v>
      </c>
      <c r="I35" s="1452">
        <v>0</v>
      </c>
      <c r="J35" s="1452">
        <v>0</v>
      </c>
      <c r="K35" s="1452">
        <v>81645.600000000006</v>
      </c>
      <c r="L35" s="1452">
        <v>20411.400000000001</v>
      </c>
      <c r="M35" s="1452">
        <v>0</v>
      </c>
      <c r="N35" s="1453">
        <v>102057</v>
      </c>
      <c r="O35" s="1454">
        <v>0</v>
      </c>
      <c r="P35" s="1455">
        <v>0</v>
      </c>
      <c r="Q35" s="1455">
        <v>6226.49</v>
      </c>
      <c r="R35" s="1455">
        <v>3735.92</v>
      </c>
      <c r="S35" s="1455">
        <v>11483.5</v>
      </c>
      <c r="T35" s="1456">
        <v>21445.91</v>
      </c>
      <c r="U35" s="1449"/>
      <c r="V35" s="1450"/>
      <c r="W35" s="1450"/>
      <c r="X35" s="1450"/>
      <c r="Y35" s="1450"/>
      <c r="Z35" s="1451"/>
      <c r="AA35" s="1449"/>
      <c r="AB35" s="1450"/>
      <c r="AC35" s="1450"/>
      <c r="AD35" s="1450"/>
      <c r="AE35" s="1450"/>
      <c r="AF35" s="1451"/>
    </row>
    <row r="36" spans="1:32" s="1315" customFormat="1">
      <c r="A36" s="1436" t="s">
        <v>79</v>
      </c>
      <c r="B36" s="1436" t="s">
        <v>80</v>
      </c>
      <c r="C36" s="1148" t="s">
        <v>275</v>
      </c>
      <c r="D36" s="1291">
        <f t="shared" si="3"/>
        <v>0</v>
      </c>
      <c r="E36" s="1218">
        <f t="shared" si="4"/>
        <v>48614.400000000001</v>
      </c>
      <c r="F36" s="1218">
        <f t="shared" si="5"/>
        <v>12153.6</v>
      </c>
      <c r="G36" s="1218">
        <f t="shared" si="6"/>
        <v>12153.6</v>
      </c>
      <c r="H36" s="1219">
        <f t="shared" si="6"/>
        <v>0</v>
      </c>
      <c r="I36" s="1452">
        <v>0</v>
      </c>
      <c r="J36" s="1452">
        <v>0</v>
      </c>
      <c r="K36" s="1452">
        <v>48614.400000000001</v>
      </c>
      <c r="L36" s="1452">
        <v>12153.6</v>
      </c>
      <c r="M36" s="1452">
        <v>0</v>
      </c>
      <c r="N36" s="1453">
        <v>60768</v>
      </c>
      <c r="O36" s="1449"/>
      <c r="P36" s="1450"/>
      <c r="Q36" s="1450"/>
      <c r="R36" s="1450"/>
      <c r="S36" s="1450"/>
      <c r="T36" s="1451"/>
      <c r="U36" s="1449"/>
      <c r="V36" s="1450"/>
      <c r="W36" s="1450"/>
      <c r="X36" s="1450"/>
      <c r="Y36" s="1450"/>
      <c r="Z36" s="1451"/>
      <c r="AA36" s="1449"/>
      <c r="AB36" s="1450"/>
      <c r="AC36" s="1450"/>
      <c r="AD36" s="1450"/>
      <c r="AE36" s="1450"/>
      <c r="AF36" s="1451"/>
    </row>
    <row r="37" spans="1:32" s="1315" customFormat="1">
      <c r="A37" s="1436" t="s">
        <v>81</v>
      </c>
      <c r="B37" s="1436" t="s">
        <v>82</v>
      </c>
      <c r="C37" s="1148" t="s">
        <v>273</v>
      </c>
      <c r="D37" s="1291">
        <f t="shared" si="3"/>
        <v>0</v>
      </c>
      <c r="E37" s="1218">
        <f t="shared" si="4"/>
        <v>31490.75</v>
      </c>
      <c r="F37" s="1218">
        <f t="shared" si="5"/>
        <v>9698.130000000001</v>
      </c>
      <c r="G37" s="1218">
        <f t="shared" si="6"/>
        <v>9698.130000000001</v>
      </c>
      <c r="H37" s="1219">
        <f t="shared" si="6"/>
        <v>0</v>
      </c>
      <c r="I37" s="1452">
        <v>0</v>
      </c>
      <c r="J37" s="1452">
        <v>0</v>
      </c>
      <c r="K37" s="1452">
        <v>26275.200000000001</v>
      </c>
      <c r="L37" s="1452">
        <v>6568.8</v>
      </c>
      <c r="M37" s="1452">
        <v>0</v>
      </c>
      <c r="N37" s="1453">
        <v>32844</v>
      </c>
      <c r="O37" s="1454">
        <v>0</v>
      </c>
      <c r="P37" s="1455">
        <v>0</v>
      </c>
      <c r="Q37" s="1455">
        <v>5215.55</v>
      </c>
      <c r="R37" s="1455">
        <v>3129.33</v>
      </c>
      <c r="S37" s="1455">
        <v>0</v>
      </c>
      <c r="T37" s="1456">
        <v>8344.8799999999992</v>
      </c>
      <c r="U37" s="1449"/>
      <c r="V37" s="1450"/>
      <c r="W37" s="1450"/>
      <c r="X37" s="1450"/>
      <c r="Y37" s="1450"/>
      <c r="Z37" s="1451"/>
      <c r="AA37" s="1449"/>
      <c r="AB37" s="1450"/>
      <c r="AC37" s="1450"/>
      <c r="AD37" s="1450"/>
      <c r="AE37" s="1450"/>
      <c r="AF37" s="1451"/>
    </row>
    <row r="38" spans="1:32" s="1315" customFormat="1">
      <c r="A38" s="1436" t="s">
        <v>85</v>
      </c>
      <c r="B38" s="1436" t="s">
        <v>330</v>
      </c>
      <c r="C38" s="1148" t="s">
        <v>272</v>
      </c>
      <c r="D38" s="1291">
        <f t="shared" si="3"/>
        <v>0</v>
      </c>
      <c r="E38" s="1218">
        <f t="shared" si="4"/>
        <v>143615.20000000001</v>
      </c>
      <c r="F38" s="1218">
        <f t="shared" si="5"/>
        <v>36865.800000000003</v>
      </c>
      <c r="G38" s="1218">
        <f t="shared" si="6"/>
        <v>35903.800000000003</v>
      </c>
      <c r="H38" s="1219">
        <f t="shared" si="6"/>
        <v>962</v>
      </c>
      <c r="I38" s="1452">
        <v>0</v>
      </c>
      <c r="J38" s="1452">
        <v>0</v>
      </c>
      <c r="K38" s="1452">
        <v>143615.20000000001</v>
      </c>
      <c r="L38" s="1452">
        <v>35903.800000000003</v>
      </c>
      <c r="M38" s="1452">
        <v>0</v>
      </c>
      <c r="N38" s="1453">
        <v>179519</v>
      </c>
      <c r="O38" s="1454">
        <v>0</v>
      </c>
      <c r="P38" s="1455">
        <v>0</v>
      </c>
      <c r="Q38" s="1455">
        <v>0</v>
      </c>
      <c r="R38" s="1455">
        <v>0</v>
      </c>
      <c r="S38" s="1455">
        <v>962</v>
      </c>
      <c r="T38" s="1456">
        <v>962</v>
      </c>
      <c r="U38" s="1449"/>
      <c r="V38" s="1450"/>
      <c r="W38" s="1450"/>
      <c r="X38" s="1450"/>
      <c r="Y38" s="1450"/>
      <c r="Z38" s="1451"/>
      <c r="AA38" s="1449"/>
      <c r="AB38" s="1450"/>
      <c r="AC38" s="1450"/>
      <c r="AD38" s="1450"/>
      <c r="AE38" s="1450"/>
      <c r="AF38" s="1451"/>
    </row>
    <row r="39" spans="1:32" s="1315" customFormat="1">
      <c r="A39" s="1436" t="s">
        <v>87</v>
      </c>
      <c r="B39" s="1436" t="s">
        <v>88</v>
      </c>
      <c r="C39" s="1148" t="s">
        <v>274</v>
      </c>
      <c r="D39" s="1291">
        <f t="shared" si="3"/>
        <v>0</v>
      </c>
      <c r="E39" s="1218">
        <f t="shared" si="4"/>
        <v>98658.4</v>
      </c>
      <c r="F39" s="1218">
        <f t="shared" si="5"/>
        <v>27804.839999999997</v>
      </c>
      <c r="G39" s="1218">
        <f t="shared" si="6"/>
        <v>24664.6</v>
      </c>
      <c r="H39" s="1219">
        <f t="shared" si="6"/>
        <v>3140.24</v>
      </c>
      <c r="I39" s="1452">
        <v>0</v>
      </c>
      <c r="J39" s="1452">
        <v>0</v>
      </c>
      <c r="K39" s="1452">
        <v>98658.4</v>
      </c>
      <c r="L39" s="1452">
        <v>24664.6</v>
      </c>
      <c r="M39" s="1452">
        <v>0</v>
      </c>
      <c r="N39" s="1453">
        <v>123323</v>
      </c>
      <c r="O39" s="1454">
        <v>0</v>
      </c>
      <c r="P39" s="1455">
        <v>0</v>
      </c>
      <c r="Q39" s="1455">
        <v>0</v>
      </c>
      <c r="R39" s="1455">
        <v>0</v>
      </c>
      <c r="S39" s="1455">
        <v>3140.24</v>
      </c>
      <c r="T39" s="1456">
        <v>3140.24</v>
      </c>
      <c r="U39" s="1449"/>
      <c r="V39" s="1450"/>
      <c r="W39" s="1450"/>
      <c r="X39" s="1450"/>
      <c r="Y39" s="1450"/>
      <c r="Z39" s="1451"/>
      <c r="AA39" s="1449"/>
      <c r="AB39" s="1450"/>
      <c r="AC39" s="1450"/>
      <c r="AD39" s="1450"/>
      <c r="AE39" s="1450"/>
      <c r="AF39" s="1451"/>
    </row>
    <row r="40" spans="1:32" s="1315" customFormat="1">
      <c r="A40" s="1436" t="s">
        <v>93</v>
      </c>
      <c r="B40" s="1436" t="s">
        <v>94</v>
      </c>
      <c r="C40" s="1148" t="s">
        <v>275</v>
      </c>
      <c r="D40" s="1291">
        <f t="shared" si="3"/>
        <v>0</v>
      </c>
      <c r="E40" s="1218">
        <f t="shared" si="4"/>
        <v>33874.400000000001</v>
      </c>
      <c r="F40" s="1218">
        <f t="shared" si="5"/>
        <v>8468.6</v>
      </c>
      <c r="G40" s="1218">
        <f t="shared" si="6"/>
        <v>8468.6</v>
      </c>
      <c r="H40" s="1219">
        <f t="shared" si="6"/>
        <v>0</v>
      </c>
      <c r="I40" s="1452">
        <v>0</v>
      </c>
      <c r="J40" s="1452">
        <v>0</v>
      </c>
      <c r="K40" s="1452">
        <v>33874.400000000001</v>
      </c>
      <c r="L40" s="1452">
        <v>8468.6</v>
      </c>
      <c r="M40" s="1452">
        <v>0</v>
      </c>
      <c r="N40" s="1453">
        <v>42343</v>
      </c>
      <c r="O40" s="1449"/>
      <c r="P40" s="1450"/>
      <c r="Q40" s="1450"/>
      <c r="R40" s="1450"/>
      <c r="S40" s="1450"/>
      <c r="T40" s="1451"/>
      <c r="U40" s="1449"/>
      <c r="V40" s="1450"/>
      <c r="W40" s="1450"/>
      <c r="X40" s="1450"/>
      <c r="Y40" s="1450"/>
      <c r="Z40" s="1451"/>
      <c r="AA40" s="1449"/>
      <c r="AB40" s="1450"/>
      <c r="AC40" s="1450"/>
      <c r="AD40" s="1450"/>
      <c r="AE40" s="1450"/>
      <c r="AF40" s="1451"/>
    </row>
    <row r="41" spans="1:32" s="1315" customFormat="1">
      <c r="A41" s="1436" t="s">
        <v>95</v>
      </c>
      <c r="B41" s="1436" t="s">
        <v>96</v>
      </c>
      <c r="C41" s="1148" t="s">
        <v>271</v>
      </c>
      <c r="D41" s="1291">
        <f t="shared" si="3"/>
        <v>0</v>
      </c>
      <c r="E41" s="1218">
        <f t="shared" si="4"/>
        <v>133016.79</v>
      </c>
      <c r="F41" s="1218">
        <f t="shared" si="5"/>
        <v>33254.18</v>
      </c>
      <c r="G41" s="1218">
        <f t="shared" si="6"/>
        <v>33254.18</v>
      </c>
      <c r="H41" s="1219">
        <f t="shared" si="6"/>
        <v>0</v>
      </c>
      <c r="I41" s="1452">
        <v>0</v>
      </c>
      <c r="J41" s="1452">
        <v>0</v>
      </c>
      <c r="K41" s="1452">
        <v>133016.79</v>
      </c>
      <c r="L41" s="1452">
        <v>33254.18</v>
      </c>
      <c r="M41" s="1452">
        <v>0</v>
      </c>
      <c r="N41" s="1453">
        <v>166270.97</v>
      </c>
      <c r="O41" s="1449"/>
      <c r="P41" s="1450"/>
      <c r="Q41" s="1450"/>
      <c r="R41" s="1450"/>
      <c r="S41" s="1450"/>
      <c r="T41" s="1451"/>
      <c r="U41" s="1449"/>
      <c r="V41" s="1450"/>
      <c r="W41" s="1450"/>
      <c r="X41" s="1450"/>
      <c r="Y41" s="1450"/>
      <c r="Z41" s="1451"/>
      <c r="AA41" s="1449"/>
      <c r="AB41" s="1450"/>
      <c r="AC41" s="1450"/>
      <c r="AD41" s="1450"/>
      <c r="AE41" s="1450"/>
      <c r="AF41" s="1451"/>
    </row>
    <row r="42" spans="1:32" s="1315" customFormat="1">
      <c r="A42" s="1436" t="s">
        <v>97</v>
      </c>
      <c r="B42" s="1436" t="s">
        <v>98</v>
      </c>
      <c r="C42" s="1148" t="s">
        <v>273</v>
      </c>
      <c r="D42" s="1291">
        <f t="shared" si="3"/>
        <v>0</v>
      </c>
      <c r="E42" s="1218">
        <f t="shared" si="4"/>
        <v>31636.799999999999</v>
      </c>
      <c r="F42" s="1218">
        <f t="shared" si="5"/>
        <v>91072.79</v>
      </c>
      <c r="G42" s="1218">
        <f t="shared" si="6"/>
        <v>7909.2</v>
      </c>
      <c r="H42" s="1219">
        <f t="shared" si="6"/>
        <v>83163.59</v>
      </c>
      <c r="I42" s="1452">
        <v>0</v>
      </c>
      <c r="J42" s="1452">
        <v>0</v>
      </c>
      <c r="K42" s="1452">
        <v>31636.799999999999</v>
      </c>
      <c r="L42" s="1452">
        <v>7909.2</v>
      </c>
      <c r="M42" s="1452">
        <v>0</v>
      </c>
      <c r="N42" s="1453">
        <v>39546</v>
      </c>
      <c r="O42" s="1454">
        <v>0</v>
      </c>
      <c r="P42" s="1455">
        <v>0</v>
      </c>
      <c r="Q42" s="1455">
        <v>0</v>
      </c>
      <c r="R42" s="1455">
        <v>0</v>
      </c>
      <c r="S42" s="1455">
        <v>83163.59</v>
      </c>
      <c r="T42" s="1456">
        <v>83163.59</v>
      </c>
      <c r="U42" s="1449"/>
      <c r="V42" s="1450"/>
      <c r="W42" s="1450"/>
      <c r="X42" s="1450"/>
      <c r="Y42" s="1450"/>
      <c r="Z42" s="1451"/>
      <c r="AA42" s="1449"/>
      <c r="AB42" s="1450"/>
      <c r="AC42" s="1450"/>
      <c r="AD42" s="1450"/>
      <c r="AE42" s="1450"/>
      <c r="AF42" s="1451"/>
    </row>
    <row r="43" spans="1:32" s="1315" customFormat="1">
      <c r="A43" s="1436" t="s">
        <v>99</v>
      </c>
      <c r="B43" s="1436" t="s">
        <v>100</v>
      </c>
      <c r="C43" s="1148" t="s">
        <v>275</v>
      </c>
      <c r="D43" s="1291">
        <f t="shared" si="3"/>
        <v>0</v>
      </c>
      <c r="E43" s="1218">
        <f t="shared" si="4"/>
        <v>133886.39999999999</v>
      </c>
      <c r="F43" s="1218">
        <f t="shared" si="5"/>
        <v>33471.599999999999</v>
      </c>
      <c r="G43" s="1218">
        <f t="shared" si="6"/>
        <v>33471.599999999999</v>
      </c>
      <c r="H43" s="1219">
        <f t="shared" si="6"/>
        <v>0</v>
      </c>
      <c r="I43" s="1452">
        <v>0</v>
      </c>
      <c r="J43" s="1452">
        <v>0</v>
      </c>
      <c r="K43" s="1452">
        <v>133886.39999999999</v>
      </c>
      <c r="L43" s="1452">
        <v>33471.599999999999</v>
      </c>
      <c r="M43" s="1452">
        <v>0</v>
      </c>
      <c r="N43" s="1453">
        <v>167358</v>
      </c>
      <c r="O43" s="1449"/>
      <c r="P43" s="1450"/>
      <c r="Q43" s="1450"/>
      <c r="R43" s="1450"/>
      <c r="S43" s="1450"/>
      <c r="T43" s="1451"/>
      <c r="U43" s="1449"/>
      <c r="V43" s="1450"/>
      <c r="W43" s="1450"/>
      <c r="X43" s="1450"/>
      <c r="Y43" s="1450"/>
      <c r="Z43" s="1451"/>
      <c r="AA43" s="1449"/>
      <c r="AB43" s="1450"/>
      <c r="AC43" s="1450"/>
      <c r="AD43" s="1450"/>
      <c r="AE43" s="1450"/>
      <c r="AF43" s="1451"/>
    </row>
    <row r="44" spans="1:32" s="1315" customFormat="1">
      <c r="A44" s="1436" t="s">
        <v>101</v>
      </c>
      <c r="B44" s="1436" t="s">
        <v>102</v>
      </c>
      <c r="C44" s="1148" t="s">
        <v>274</v>
      </c>
      <c r="D44" s="1291">
        <f t="shared" si="3"/>
        <v>0</v>
      </c>
      <c r="E44" s="1218">
        <f t="shared" si="4"/>
        <v>32628</v>
      </c>
      <c r="F44" s="1218">
        <f t="shared" si="5"/>
        <v>8157</v>
      </c>
      <c r="G44" s="1218">
        <f t="shared" si="6"/>
        <v>8157</v>
      </c>
      <c r="H44" s="1219">
        <f t="shared" si="6"/>
        <v>0</v>
      </c>
      <c r="I44" s="1452">
        <v>0</v>
      </c>
      <c r="J44" s="1452">
        <v>0</v>
      </c>
      <c r="K44" s="1452">
        <v>32628</v>
      </c>
      <c r="L44" s="1452">
        <v>8157</v>
      </c>
      <c r="M44" s="1452">
        <v>0</v>
      </c>
      <c r="N44" s="1453">
        <v>40785</v>
      </c>
      <c r="O44" s="1449"/>
      <c r="P44" s="1450"/>
      <c r="Q44" s="1450"/>
      <c r="R44" s="1450"/>
      <c r="S44" s="1450"/>
      <c r="T44" s="1451"/>
      <c r="U44" s="1449"/>
      <c r="V44" s="1450"/>
      <c r="W44" s="1450"/>
      <c r="X44" s="1450"/>
      <c r="Y44" s="1450"/>
      <c r="Z44" s="1451"/>
      <c r="AA44" s="1449"/>
      <c r="AB44" s="1450"/>
      <c r="AC44" s="1450"/>
      <c r="AD44" s="1450"/>
      <c r="AE44" s="1450"/>
      <c r="AF44" s="1451"/>
    </row>
    <row r="45" spans="1:32" s="1315" customFormat="1">
      <c r="A45" s="1436" t="s">
        <v>103</v>
      </c>
      <c r="B45" s="1436" t="s">
        <v>104</v>
      </c>
      <c r="C45" s="1148" t="s">
        <v>271</v>
      </c>
      <c r="D45" s="1291">
        <f t="shared" si="3"/>
        <v>0</v>
      </c>
      <c r="E45" s="1218">
        <f t="shared" si="4"/>
        <v>84393.600000000006</v>
      </c>
      <c r="F45" s="1218">
        <f t="shared" si="5"/>
        <v>21098.400000000001</v>
      </c>
      <c r="G45" s="1218">
        <f t="shared" si="6"/>
        <v>21098.400000000001</v>
      </c>
      <c r="H45" s="1219">
        <f t="shared" si="6"/>
        <v>0</v>
      </c>
      <c r="I45" s="1452">
        <v>0</v>
      </c>
      <c r="J45" s="1452">
        <v>0</v>
      </c>
      <c r="K45" s="1452">
        <v>84393.600000000006</v>
      </c>
      <c r="L45" s="1452">
        <v>21098.400000000001</v>
      </c>
      <c r="M45" s="1452">
        <v>0</v>
      </c>
      <c r="N45" s="1453">
        <v>105492</v>
      </c>
      <c r="O45" s="1449"/>
      <c r="P45" s="1450"/>
      <c r="Q45" s="1450"/>
      <c r="R45" s="1450"/>
      <c r="S45" s="1450"/>
      <c r="T45" s="1451"/>
      <c r="U45" s="1449"/>
      <c r="V45" s="1450"/>
      <c r="W45" s="1450"/>
      <c r="X45" s="1450"/>
      <c r="Y45" s="1450"/>
      <c r="Z45" s="1451"/>
      <c r="AA45" s="1449"/>
      <c r="AB45" s="1450"/>
      <c r="AC45" s="1450"/>
      <c r="AD45" s="1450"/>
      <c r="AE45" s="1450"/>
      <c r="AF45" s="1451"/>
    </row>
    <row r="46" spans="1:32" s="1315" customFormat="1">
      <c r="A46" s="1436" t="s">
        <v>105</v>
      </c>
      <c r="B46" s="1436" t="s">
        <v>331</v>
      </c>
      <c r="C46" s="1148" t="s">
        <v>272</v>
      </c>
      <c r="D46" s="1291">
        <f t="shared" si="3"/>
        <v>0</v>
      </c>
      <c r="E46" s="1218">
        <f t="shared" si="4"/>
        <v>204077.6</v>
      </c>
      <c r="F46" s="1218">
        <f t="shared" si="5"/>
        <v>51019.4</v>
      </c>
      <c r="G46" s="1218">
        <f t="shared" si="6"/>
        <v>51019.4</v>
      </c>
      <c r="H46" s="1219">
        <f t="shared" si="6"/>
        <v>0</v>
      </c>
      <c r="I46" s="1452">
        <v>0</v>
      </c>
      <c r="J46" s="1452">
        <v>0</v>
      </c>
      <c r="K46" s="1452">
        <v>204077.6</v>
      </c>
      <c r="L46" s="1452">
        <v>51019.4</v>
      </c>
      <c r="M46" s="1452">
        <v>0</v>
      </c>
      <c r="N46" s="1453">
        <v>255097</v>
      </c>
      <c r="O46" s="1449"/>
      <c r="P46" s="1450"/>
      <c r="Q46" s="1450"/>
      <c r="R46" s="1450"/>
      <c r="S46" s="1450"/>
      <c r="T46" s="1451"/>
      <c r="U46" s="1449"/>
      <c r="V46" s="1450"/>
      <c r="W46" s="1450"/>
      <c r="X46" s="1450"/>
      <c r="Y46" s="1450"/>
      <c r="Z46" s="1451"/>
      <c r="AA46" s="1449"/>
      <c r="AB46" s="1450"/>
      <c r="AC46" s="1450"/>
      <c r="AD46" s="1450"/>
      <c r="AE46" s="1450"/>
      <c r="AF46" s="1451"/>
    </row>
    <row r="47" spans="1:32" s="1315" customFormat="1">
      <c r="A47" s="1436" t="s">
        <v>109</v>
      </c>
      <c r="B47" s="1436" t="s">
        <v>110</v>
      </c>
      <c r="C47" s="1148" t="s">
        <v>273</v>
      </c>
      <c r="D47" s="1291">
        <f t="shared" si="3"/>
        <v>0</v>
      </c>
      <c r="E47" s="1218">
        <f t="shared" si="4"/>
        <v>112200</v>
      </c>
      <c r="F47" s="1218">
        <f t="shared" si="5"/>
        <v>28050</v>
      </c>
      <c r="G47" s="1218">
        <f t="shared" si="6"/>
        <v>28050</v>
      </c>
      <c r="H47" s="1219">
        <f t="shared" si="6"/>
        <v>0</v>
      </c>
      <c r="I47" s="1452">
        <v>0</v>
      </c>
      <c r="J47" s="1452">
        <v>0</v>
      </c>
      <c r="K47" s="1452">
        <v>112200</v>
      </c>
      <c r="L47" s="1452">
        <v>28050</v>
      </c>
      <c r="M47" s="1452">
        <v>0</v>
      </c>
      <c r="N47" s="1453">
        <v>140250</v>
      </c>
      <c r="O47" s="1449"/>
      <c r="P47" s="1450"/>
      <c r="Q47" s="1450"/>
      <c r="R47" s="1450"/>
      <c r="S47" s="1450"/>
      <c r="T47" s="1451"/>
      <c r="U47" s="1449"/>
      <c r="V47" s="1450"/>
      <c r="W47" s="1450"/>
      <c r="X47" s="1450"/>
      <c r="Y47" s="1450"/>
      <c r="Z47" s="1451"/>
      <c r="AA47" s="1449"/>
      <c r="AB47" s="1450"/>
      <c r="AC47" s="1450"/>
      <c r="AD47" s="1450"/>
      <c r="AE47" s="1450"/>
      <c r="AF47" s="1451"/>
    </row>
    <row r="48" spans="1:32" s="1315" customFormat="1">
      <c r="A48" s="1436" t="s">
        <v>111</v>
      </c>
      <c r="B48" s="1436" t="s">
        <v>112</v>
      </c>
      <c r="C48" s="1148" t="s">
        <v>273</v>
      </c>
      <c r="D48" s="1291">
        <f t="shared" si="3"/>
        <v>45177</v>
      </c>
      <c r="E48" s="1218">
        <f t="shared" si="4"/>
        <v>640605.85</v>
      </c>
      <c r="F48" s="1218">
        <f t="shared" si="5"/>
        <v>188773.65</v>
      </c>
      <c r="G48" s="1218">
        <f t="shared" si="6"/>
        <v>188773.72</v>
      </c>
      <c r="H48" s="1219">
        <f t="shared" si="6"/>
        <v>-7.0000000000000007E-2</v>
      </c>
      <c r="I48" s="1452">
        <v>0</v>
      </c>
      <c r="J48" s="1452">
        <v>0</v>
      </c>
      <c r="K48" s="1452">
        <v>558828</v>
      </c>
      <c r="L48" s="1452">
        <v>139707</v>
      </c>
      <c r="M48" s="1452">
        <v>0</v>
      </c>
      <c r="N48" s="1453">
        <v>698535</v>
      </c>
      <c r="O48" s="1454">
        <v>0</v>
      </c>
      <c r="P48" s="1455">
        <v>0</v>
      </c>
      <c r="Q48" s="1455">
        <v>81777.850000000006</v>
      </c>
      <c r="R48" s="1455">
        <v>49066.720000000001</v>
      </c>
      <c r="S48" s="1455">
        <v>-7.0000000000000007E-2</v>
      </c>
      <c r="T48" s="1456">
        <v>130844.5</v>
      </c>
      <c r="U48" s="1454">
        <v>45177</v>
      </c>
      <c r="V48" s="1455">
        <v>0</v>
      </c>
      <c r="W48" s="1455">
        <v>0</v>
      </c>
      <c r="X48" s="1455">
        <v>0</v>
      </c>
      <c r="Y48" s="1455">
        <v>0</v>
      </c>
      <c r="Z48" s="1456">
        <v>45177</v>
      </c>
      <c r="AA48" s="1449"/>
      <c r="AB48" s="1450"/>
      <c r="AC48" s="1450"/>
      <c r="AD48" s="1450"/>
      <c r="AE48" s="1450"/>
      <c r="AF48" s="1451"/>
    </row>
    <row r="49" spans="1:32" s="1315" customFormat="1">
      <c r="A49" s="1436" t="s">
        <v>113</v>
      </c>
      <c r="B49" s="1436" t="s">
        <v>310</v>
      </c>
      <c r="C49" s="1148" t="s">
        <v>272</v>
      </c>
      <c r="D49" s="1291">
        <f t="shared" si="3"/>
        <v>0</v>
      </c>
      <c r="E49" s="1218">
        <f t="shared" si="4"/>
        <v>271717.59999999998</v>
      </c>
      <c r="F49" s="1218">
        <f t="shared" si="5"/>
        <v>67929.399999999994</v>
      </c>
      <c r="G49" s="1218">
        <f t="shared" si="6"/>
        <v>67929.399999999994</v>
      </c>
      <c r="H49" s="1219">
        <f t="shared" si="6"/>
        <v>0</v>
      </c>
      <c r="I49" s="1452">
        <v>0</v>
      </c>
      <c r="J49" s="1452">
        <v>0</v>
      </c>
      <c r="K49" s="1452">
        <v>271717.59999999998</v>
      </c>
      <c r="L49" s="1452">
        <v>67929.399999999994</v>
      </c>
      <c r="M49" s="1452">
        <v>0</v>
      </c>
      <c r="N49" s="1453">
        <v>339647</v>
      </c>
      <c r="O49" s="1449"/>
      <c r="P49" s="1450"/>
      <c r="Q49" s="1450"/>
      <c r="R49" s="1450"/>
      <c r="S49" s="1450"/>
      <c r="T49" s="1451"/>
      <c r="U49" s="1449"/>
      <c r="V49" s="1450"/>
      <c r="W49" s="1450"/>
      <c r="X49" s="1450"/>
      <c r="Y49" s="1450"/>
      <c r="Z49" s="1451"/>
      <c r="AA49" s="1449"/>
      <c r="AB49" s="1450"/>
      <c r="AC49" s="1450"/>
      <c r="AD49" s="1450"/>
      <c r="AE49" s="1450"/>
      <c r="AF49" s="1451"/>
    </row>
    <row r="50" spans="1:32" s="1315" customFormat="1">
      <c r="A50" s="1436" t="s">
        <v>115</v>
      </c>
      <c r="B50" s="1436" t="s">
        <v>116</v>
      </c>
      <c r="C50" s="1148" t="s">
        <v>272</v>
      </c>
      <c r="D50" s="1291">
        <f t="shared" si="3"/>
        <v>0</v>
      </c>
      <c r="E50" s="1218">
        <f t="shared" si="4"/>
        <v>14372</v>
      </c>
      <c r="F50" s="1218">
        <f t="shared" si="5"/>
        <v>3593</v>
      </c>
      <c r="G50" s="1218">
        <f t="shared" si="6"/>
        <v>3593</v>
      </c>
      <c r="H50" s="1219">
        <f t="shared" si="6"/>
        <v>0</v>
      </c>
      <c r="I50" s="1452">
        <v>0</v>
      </c>
      <c r="J50" s="1452">
        <v>0</v>
      </c>
      <c r="K50" s="1452">
        <v>14372</v>
      </c>
      <c r="L50" s="1452">
        <v>3593</v>
      </c>
      <c r="M50" s="1452">
        <v>0</v>
      </c>
      <c r="N50" s="1453">
        <v>17965</v>
      </c>
      <c r="O50" s="1449"/>
      <c r="P50" s="1450"/>
      <c r="Q50" s="1450"/>
      <c r="R50" s="1450"/>
      <c r="S50" s="1450"/>
      <c r="T50" s="1451"/>
      <c r="U50" s="1449"/>
      <c r="V50" s="1450"/>
      <c r="W50" s="1450"/>
      <c r="X50" s="1450"/>
      <c r="Y50" s="1450"/>
      <c r="Z50" s="1451"/>
      <c r="AA50" s="1449"/>
      <c r="AB50" s="1450"/>
      <c r="AC50" s="1450"/>
      <c r="AD50" s="1450"/>
      <c r="AE50" s="1450"/>
      <c r="AF50" s="1451"/>
    </row>
    <row r="51" spans="1:32" s="1315" customFormat="1">
      <c r="A51" s="1436" t="s">
        <v>119</v>
      </c>
      <c r="B51" s="1436" t="s">
        <v>120</v>
      </c>
      <c r="C51" s="1148" t="s">
        <v>271</v>
      </c>
      <c r="D51" s="1291">
        <f t="shared" si="3"/>
        <v>0</v>
      </c>
      <c r="E51" s="1218">
        <f t="shared" si="4"/>
        <v>69219</v>
      </c>
      <c r="F51" s="1218">
        <f t="shared" si="5"/>
        <v>18276</v>
      </c>
      <c r="G51" s="1218">
        <f t="shared" si="6"/>
        <v>18276</v>
      </c>
      <c r="H51" s="1219">
        <f t="shared" si="6"/>
        <v>0</v>
      </c>
      <c r="I51" s="1452">
        <v>0</v>
      </c>
      <c r="J51" s="1452">
        <v>0</v>
      </c>
      <c r="K51" s="1452">
        <v>66444</v>
      </c>
      <c r="L51" s="1452">
        <v>16611</v>
      </c>
      <c r="M51" s="1452">
        <v>0</v>
      </c>
      <c r="N51" s="1453">
        <v>83055</v>
      </c>
      <c r="O51" s="1454">
        <v>0</v>
      </c>
      <c r="P51" s="1455">
        <v>0</v>
      </c>
      <c r="Q51" s="1455">
        <v>2775</v>
      </c>
      <c r="R51" s="1455">
        <v>1665</v>
      </c>
      <c r="S51" s="1455">
        <v>0</v>
      </c>
      <c r="T51" s="1456">
        <v>4440</v>
      </c>
      <c r="U51" s="1449"/>
      <c r="V51" s="1450"/>
      <c r="W51" s="1450"/>
      <c r="X51" s="1450"/>
      <c r="Y51" s="1450"/>
      <c r="Z51" s="1451"/>
      <c r="AA51" s="1449"/>
      <c r="AB51" s="1450"/>
      <c r="AC51" s="1450"/>
      <c r="AD51" s="1450"/>
      <c r="AE51" s="1450"/>
      <c r="AF51" s="1451"/>
    </row>
    <row r="52" spans="1:32" s="1315" customFormat="1">
      <c r="A52" s="1436" t="s">
        <v>121</v>
      </c>
      <c r="B52" s="1436" t="s">
        <v>122</v>
      </c>
      <c r="C52" s="1148" t="s">
        <v>271</v>
      </c>
      <c r="D52" s="1291">
        <f t="shared" si="3"/>
        <v>0</v>
      </c>
      <c r="E52" s="1218">
        <f t="shared" si="4"/>
        <v>125658</v>
      </c>
      <c r="F52" s="1218">
        <f t="shared" si="5"/>
        <v>33414</v>
      </c>
      <c r="G52" s="1218">
        <f t="shared" si="6"/>
        <v>32790</v>
      </c>
      <c r="H52" s="1219">
        <f t="shared" si="6"/>
        <v>624</v>
      </c>
      <c r="I52" s="1452">
        <v>0</v>
      </c>
      <c r="J52" s="1452">
        <v>0</v>
      </c>
      <c r="K52" s="1452">
        <v>121728</v>
      </c>
      <c r="L52" s="1452">
        <v>30432</v>
      </c>
      <c r="M52" s="1452">
        <v>0</v>
      </c>
      <c r="N52" s="1453">
        <v>152160</v>
      </c>
      <c r="O52" s="1454">
        <v>0</v>
      </c>
      <c r="P52" s="1455">
        <v>0</v>
      </c>
      <c r="Q52" s="1455">
        <v>3930</v>
      </c>
      <c r="R52" s="1455">
        <v>2358</v>
      </c>
      <c r="S52" s="1455">
        <v>624</v>
      </c>
      <c r="T52" s="1456">
        <v>6912</v>
      </c>
      <c r="U52" s="1449"/>
      <c r="V52" s="1450"/>
      <c r="W52" s="1450"/>
      <c r="X52" s="1450"/>
      <c r="Y52" s="1450"/>
      <c r="Z52" s="1451"/>
      <c r="AA52" s="1449"/>
      <c r="AB52" s="1450"/>
      <c r="AC52" s="1450"/>
      <c r="AD52" s="1450"/>
      <c r="AE52" s="1450"/>
      <c r="AF52" s="1451"/>
    </row>
    <row r="53" spans="1:32" s="1315" customFormat="1">
      <c r="A53" s="1436" t="s">
        <v>123</v>
      </c>
      <c r="B53" s="1436" t="s">
        <v>278</v>
      </c>
      <c r="C53" s="1148" t="s">
        <v>273</v>
      </c>
      <c r="D53" s="1291">
        <f t="shared" si="3"/>
        <v>0</v>
      </c>
      <c r="E53" s="1218">
        <f t="shared" si="4"/>
        <v>16387</v>
      </c>
      <c r="F53" s="1218">
        <f t="shared" si="5"/>
        <v>4396</v>
      </c>
      <c r="G53" s="1218">
        <f t="shared" si="6"/>
        <v>4396</v>
      </c>
      <c r="H53" s="1219">
        <f t="shared" si="6"/>
        <v>0</v>
      </c>
      <c r="I53" s="1452">
        <v>0</v>
      </c>
      <c r="J53" s="1452">
        <v>0</v>
      </c>
      <c r="K53" s="1452">
        <v>15532</v>
      </c>
      <c r="L53" s="1452">
        <v>3883</v>
      </c>
      <c r="M53" s="1452">
        <v>0</v>
      </c>
      <c r="N53" s="1453">
        <v>19415</v>
      </c>
      <c r="O53" s="1454">
        <v>0</v>
      </c>
      <c r="P53" s="1455">
        <v>0</v>
      </c>
      <c r="Q53" s="1455">
        <v>855</v>
      </c>
      <c r="R53" s="1455">
        <v>513</v>
      </c>
      <c r="S53" s="1455">
        <v>0</v>
      </c>
      <c r="T53" s="1456">
        <v>1368</v>
      </c>
      <c r="U53" s="1449"/>
      <c r="V53" s="1450"/>
      <c r="W53" s="1450"/>
      <c r="X53" s="1450"/>
      <c r="Y53" s="1450"/>
      <c r="Z53" s="1451"/>
      <c r="AA53" s="1449"/>
      <c r="AB53" s="1450"/>
      <c r="AC53" s="1450"/>
      <c r="AD53" s="1450"/>
      <c r="AE53" s="1450"/>
      <c r="AF53" s="1451"/>
    </row>
    <row r="54" spans="1:32" s="1315" customFormat="1">
      <c r="A54" s="1436" t="s">
        <v>125</v>
      </c>
      <c r="B54" s="1436" t="s">
        <v>126</v>
      </c>
      <c r="C54" s="1148" t="s">
        <v>274</v>
      </c>
      <c r="D54" s="1291">
        <f t="shared" si="3"/>
        <v>0</v>
      </c>
      <c r="E54" s="1218">
        <f t="shared" si="4"/>
        <v>19943.2</v>
      </c>
      <c r="F54" s="1218">
        <f t="shared" si="5"/>
        <v>4985.8</v>
      </c>
      <c r="G54" s="1218">
        <f t="shared" si="6"/>
        <v>4985.8</v>
      </c>
      <c r="H54" s="1219">
        <f t="shared" si="6"/>
        <v>0</v>
      </c>
      <c r="I54" s="1452">
        <v>0</v>
      </c>
      <c r="J54" s="1452">
        <v>0</v>
      </c>
      <c r="K54" s="1452">
        <v>19943.2</v>
      </c>
      <c r="L54" s="1452">
        <v>4985.8</v>
      </c>
      <c r="M54" s="1452">
        <v>0</v>
      </c>
      <c r="N54" s="1453">
        <v>24929</v>
      </c>
      <c r="O54" s="1449"/>
      <c r="P54" s="1450"/>
      <c r="Q54" s="1450"/>
      <c r="R54" s="1450"/>
      <c r="S54" s="1450"/>
      <c r="T54" s="1451"/>
      <c r="U54" s="1449"/>
      <c r="V54" s="1450"/>
      <c r="W54" s="1450"/>
      <c r="X54" s="1450"/>
      <c r="Y54" s="1450"/>
      <c r="Z54" s="1451"/>
      <c r="AA54" s="1449"/>
      <c r="AB54" s="1450"/>
      <c r="AC54" s="1450"/>
      <c r="AD54" s="1450"/>
      <c r="AE54" s="1450"/>
      <c r="AF54" s="1451"/>
    </row>
    <row r="55" spans="1:32" s="1315" customFormat="1">
      <c r="A55" s="1436" t="s">
        <v>127</v>
      </c>
      <c r="B55" s="1436" t="s">
        <v>128</v>
      </c>
      <c r="C55" s="1148" t="s">
        <v>273</v>
      </c>
      <c r="D55" s="1291">
        <f t="shared" si="3"/>
        <v>0</v>
      </c>
      <c r="E55" s="1218">
        <f t="shared" si="4"/>
        <v>52667.199999999997</v>
      </c>
      <c r="F55" s="1218">
        <f t="shared" si="5"/>
        <v>13166.8</v>
      </c>
      <c r="G55" s="1218">
        <f t="shared" si="6"/>
        <v>13166.8</v>
      </c>
      <c r="H55" s="1219">
        <f t="shared" si="6"/>
        <v>0</v>
      </c>
      <c r="I55" s="1452">
        <v>0</v>
      </c>
      <c r="J55" s="1452">
        <v>0</v>
      </c>
      <c r="K55" s="1452">
        <v>52667.199999999997</v>
      </c>
      <c r="L55" s="1452">
        <v>13166.8</v>
      </c>
      <c r="M55" s="1452">
        <v>0</v>
      </c>
      <c r="N55" s="1453">
        <v>65834</v>
      </c>
      <c r="O55" s="1449"/>
      <c r="P55" s="1450"/>
      <c r="Q55" s="1450"/>
      <c r="R55" s="1450"/>
      <c r="S55" s="1450"/>
      <c r="T55" s="1451"/>
      <c r="U55" s="1449"/>
      <c r="V55" s="1450"/>
      <c r="W55" s="1450"/>
      <c r="X55" s="1450"/>
      <c r="Y55" s="1450"/>
      <c r="Z55" s="1451"/>
      <c r="AA55" s="1449"/>
      <c r="AB55" s="1450"/>
      <c r="AC55" s="1450"/>
      <c r="AD55" s="1450"/>
      <c r="AE55" s="1450"/>
      <c r="AF55" s="1451"/>
    </row>
    <row r="56" spans="1:32" s="1315" customFormat="1">
      <c r="A56" s="1436" t="s">
        <v>129</v>
      </c>
      <c r="B56" s="1436" t="s">
        <v>130</v>
      </c>
      <c r="C56" s="1148" t="s">
        <v>273</v>
      </c>
      <c r="D56" s="1291">
        <f t="shared" si="3"/>
        <v>0</v>
      </c>
      <c r="E56" s="1218">
        <f t="shared" si="4"/>
        <v>28497.599999999999</v>
      </c>
      <c r="F56" s="1218">
        <f t="shared" si="5"/>
        <v>7124.4</v>
      </c>
      <c r="G56" s="1218">
        <f t="shared" si="6"/>
        <v>7124.4</v>
      </c>
      <c r="H56" s="1219">
        <f t="shared" si="6"/>
        <v>0</v>
      </c>
      <c r="I56" s="1452">
        <v>0</v>
      </c>
      <c r="J56" s="1452">
        <v>0</v>
      </c>
      <c r="K56" s="1452">
        <v>28497.599999999999</v>
      </c>
      <c r="L56" s="1452">
        <v>7124.4</v>
      </c>
      <c r="M56" s="1452">
        <v>0</v>
      </c>
      <c r="N56" s="1453">
        <v>35622</v>
      </c>
      <c r="O56" s="1449"/>
      <c r="P56" s="1450"/>
      <c r="Q56" s="1450"/>
      <c r="R56" s="1450"/>
      <c r="S56" s="1450"/>
      <c r="T56" s="1451"/>
      <c r="U56" s="1449"/>
      <c r="V56" s="1450"/>
      <c r="W56" s="1450"/>
      <c r="X56" s="1450"/>
      <c r="Y56" s="1450"/>
      <c r="Z56" s="1451"/>
      <c r="AA56" s="1449"/>
      <c r="AB56" s="1450"/>
      <c r="AC56" s="1450"/>
      <c r="AD56" s="1450"/>
      <c r="AE56" s="1450"/>
      <c r="AF56" s="1451"/>
    </row>
    <row r="57" spans="1:32" s="1315" customFormat="1">
      <c r="A57" s="1436" t="s">
        <v>131</v>
      </c>
      <c r="B57" s="1436" t="s">
        <v>132</v>
      </c>
      <c r="C57" s="1148" t="s">
        <v>275</v>
      </c>
      <c r="D57" s="1291">
        <f t="shared" si="3"/>
        <v>0</v>
      </c>
      <c r="E57" s="1218">
        <f t="shared" si="4"/>
        <v>392546.4</v>
      </c>
      <c r="F57" s="1218">
        <f t="shared" si="5"/>
        <v>98136.6</v>
      </c>
      <c r="G57" s="1218">
        <f t="shared" si="6"/>
        <v>98136.6</v>
      </c>
      <c r="H57" s="1219">
        <f t="shared" si="6"/>
        <v>0</v>
      </c>
      <c r="I57" s="1452">
        <v>0</v>
      </c>
      <c r="J57" s="1452">
        <v>0</v>
      </c>
      <c r="K57" s="1452">
        <v>392546.4</v>
      </c>
      <c r="L57" s="1452">
        <v>98136.6</v>
      </c>
      <c r="M57" s="1452">
        <v>0</v>
      </c>
      <c r="N57" s="1453">
        <v>490683</v>
      </c>
      <c r="O57" s="1449"/>
      <c r="P57" s="1450"/>
      <c r="Q57" s="1450"/>
      <c r="R57" s="1450"/>
      <c r="S57" s="1450"/>
      <c r="T57" s="1451"/>
      <c r="U57" s="1449"/>
      <c r="V57" s="1450"/>
      <c r="W57" s="1450"/>
      <c r="X57" s="1450"/>
      <c r="Y57" s="1450"/>
      <c r="Z57" s="1451"/>
      <c r="AA57" s="1449"/>
      <c r="AB57" s="1450"/>
      <c r="AC57" s="1450"/>
      <c r="AD57" s="1450"/>
      <c r="AE57" s="1450"/>
      <c r="AF57" s="1451"/>
    </row>
    <row r="58" spans="1:32" s="1315" customFormat="1">
      <c r="A58" s="1436" t="s">
        <v>133</v>
      </c>
      <c r="B58" s="1436" t="s">
        <v>134</v>
      </c>
      <c r="C58" s="1148" t="s">
        <v>274</v>
      </c>
      <c r="D58" s="1291">
        <f t="shared" si="3"/>
        <v>18107</v>
      </c>
      <c r="E58" s="1218">
        <f t="shared" si="4"/>
        <v>107086.22</v>
      </c>
      <c r="F58" s="1218">
        <f t="shared" si="5"/>
        <v>25235.460000000003</v>
      </c>
      <c r="G58" s="1218">
        <f t="shared" si="6"/>
        <v>25740.050000000003</v>
      </c>
      <c r="H58" s="1219">
        <f t="shared" si="6"/>
        <v>-504.59</v>
      </c>
      <c r="I58" s="1452">
        <v>0</v>
      </c>
      <c r="J58" s="1452">
        <v>0</v>
      </c>
      <c r="K58" s="1452">
        <v>110033.35</v>
      </c>
      <c r="L58" s="1452">
        <v>27508.33</v>
      </c>
      <c r="M58" s="1452">
        <v>0</v>
      </c>
      <c r="N58" s="1453">
        <v>137541.68</v>
      </c>
      <c r="O58" s="1454">
        <v>0</v>
      </c>
      <c r="P58" s="1455">
        <v>0</v>
      </c>
      <c r="Q58" s="1455">
        <v>-2947.13</v>
      </c>
      <c r="R58" s="1455">
        <v>-1768.28</v>
      </c>
      <c r="S58" s="1455">
        <v>-504.59</v>
      </c>
      <c r="T58" s="1456">
        <v>-5220</v>
      </c>
      <c r="U58" s="1454">
        <v>18107</v>
      </c>
      <c r="V58" s="1455">
        <v>0</v>
      </c>
      <c r="W58" s="1455">
        <v>0</v>
      </c>
      <c r="X58" s="1455">
        <v>0</v>
      </c>
      <c r="Y58" s="1455">
        <v>0</v>
      </c>
      <c r="Z58" s="1456">
        <v>18107</v>
      </c>
      <c r="AA58" s="1449"/>
      <c r="AB58" s="1450"/>
      <c r="AC58" s="1450"/>
      <c r="AD58" s="1450"/>
      <c r="AE58" s="1450"/>
      <c r="AF58" s="1451"/>
    </row>
    <row r="59" spans="1:32" s="1315" customFormat="1">
      <c r="A59" s="1436" t="s">
        <v>135</v>
      </c>
      <c r="B59" s="1436" t="s">
        <v>136</v>
      </c>
      <c r="C59" s="1148" t="s">
        <v>274</v>
      </c>
      <c r="D59" s="1291">
        <f t="shared" si="3"/>
        <v>0</v>
      </c>
      <c r="E59" s="1218">
        <f t="shared" si="4"/>
        <v>48020</v>
      </c>
      <c r="F59" s="1218">
        <f t="shared" si="5"/>
        <v>12005</v>
      </c>
      <c r="G59" s="1218">
        <f t="shared" si="6"/>
        <v>12005</v>
      </c>
      <c r="H59" s="1219">
        <f t="shared" si="6"/>
        <v>0</v>
      </c>
      <c r="I59" s="1452">
        <v>0</v>
      </c>
      <c r="J59" s="1452">
        <v>0</v>
      </c>
      <c r="K59" s="1452">
        <v>48020</v>
      </c>
      <c r="L59" s="1452">
        <v>12005</v>
      </c>
      <c r="M59" s="1452">
        <v>0</v>
      </c>
      <c r="N59" s="1453">
        <v>60025</v>
      </c>
      <c r="O59" s="1449"/>
      <c r="P59" s="1450"/>
      <c r="Q59" s="1450"/>
      <c r="R59" s="1450"/>
      <c r="S59" s="1450"/>
      <c r="T59" s="1451"/>
      <c r="U59" s="1449"/>
      <c r="V59" s="1450"/>
      <c r="W59" s="1450"/>
      <c r="X59" s="1450"/>
      <c r="Y59" s="1450"/>
      <c r="Z59" s="1451"/>
      <c r="AA59" s="1449"/>
      <c r="AB59" s="1450"/>
      <c r="AC59" s="1450"/>
      <c r="AD59" s="1450"/>
      <c r="AE59" s="1450"/>
      <c r="AF59" s="1451"/>
    </row>
    <row r="60" spans="1:32" s="1315" customFormat="1">
      <c r="A60" s="1436" t="s">
        <v>137</v>
      </c>
      <c r="B60" s="1436" t="s">
        <v>138</v>
      </c>
      <c r="C60" s="1148" t="s">
        <v>273</v>
      </c>
      <c r="D60" s="1291">
        <f t="shared" si="3"/>
        <v>0</v>
      </c>
      <c r="E60" s="1218">
        <f t="shared" si="4"/>
        <v>54116</v>
      </c>
      <c r="F60" s="1218">
        <f t="shared" si="5"/>
        <v>13529</v>
      </c>
      <c r="G60" s="1218">
        <f t="shared" si="6"/>
        <v>13529</v>
      </c>
      <c r="H60" s="1219">
        <f t="shared" si="6"/>
        <v>0</v>
      </c>
      <c r="I60" s="1452">
        <v>0</v>
      </c>
      <c r="J60" s="1452">
        <v>0</v>
      </c>
      <c r="K60" s="1452">
        <v>54116</v>
      </c>
      <c r="L60" s="1452">
        <v>13529</v>
      </c>
      <c r="M60" s="1452">
        <v>0</v>
      </c>
      <c r="N60" s="1453">
        <v>67645</v>
      </c>
      <c r="O60" s="1449"/>
      <c r="P60" s="1450"/>
      <c r="Q60" s="1450"/>
      <c r="R60" s="1450"/>
      <c r="S60" s="1450"/>
      <c r="T60" s="1451"/>
      <c r="U60" s="1449"/>
      <c r="V60" s="1450"/>
      <c r="W60" s="1450"/>
      <c r="X60" s="1450"/>
      <c r="Y60" s="1450"/>
      <c r="Z60" s="1451"/>
      <c r="AA60" s="1449"/>
      <c r="AB60" s="1450"/>
      <c r="AC60" s="1450"/>
      <c r="AD60" s="1450"/>
      <c r="AE60" s="1450"/>
      <c r="AF60" s="1451"/>
    </row>
    <row r="61" spans="1:32" s="1315" customFormat="1">
      <c r="A61" s="1436" t="s">
        <v>141</v>
      </c>
      <c r="B61" s="1436" t="s">
        <v>142</v>
      </c>
      <c r="C61" s="1148" t="s">
        <v>274</v>
      </c>
      <c r="D61" s="1291">
        <f t="shared" si="3"/>
        <v>288</v>
      </c>
      <c r="E61" s="1218">
        <f t="shared" si="4"/>
        <v>39799.199999999997</v>
      </c>
      <c r="F61" s="1218">
        <f t="shared" si="5"/>
        <v>9949.7999999999993</v>
      </c>
      <c r="G61" s="1218">
        <f t="shared" si="6"/>
        <v>9949.7999999999993</v>
      </c>
      <c r="H61" s="1219">
        <f t="shared" si="6"/>
        <v>0</v>
      </c>
      <c r="I61" s="1452">
        <v>0</v>
      </c>
      <c r="J61" s="1452">
        <v>0</v>
      </c>
      <c r="K61" s="1452">
        <v>39799.199999999997</v>
      </c>
      <c r="L61" s="1452">
        <v>9949.7999999999993</v>
      </c>
      <c r="M61" s="1452">
        <v>0</v>
      </c>
      <c r="N61" s="1453">
        <v>49749</v>
      </c>
      <c r="O61" s="1449"/>
      <c r="P61" s="1450"/>
      <c r="Q61" s="1450"/>
      <c r="R61" s="1450"/>
      <c r="S61" s="1450"/>
      <c r="T61" s="1451"/>
      <c r="U61" s="1454">
        <v>288</v>
      </c>
      <c r="V61" s="1455">
        <v>0</v>
      </c>
      <c r="W61" s="1455">
        <v>0</v>
      </c>
      <c r="X61" s="1455">
        <v>0</v>
      </c>
      <c r="Y61" s="1455">
        <v>0</v>
      </c>
      <c r="Z61" s="1456">
        <v>288</v>
      </c>
      <c r="AA61" s="1449"/>
      <c r="AB61" s="1450"/>
      <c r="AC61" s="1450"/>
      <c r="AD61" s="1450"/>
      <c r="AE61" s="1450"/>
      <c r="AF61" s="1451"/>
    </row>
    <row r="62" spans="1:32" s="1315" customFormat="1">
      <c r="A62" s="1436" t="s">
        <v>147</v>
      </c>
      <c r="B62" s="1436" t="s">
        <v>148</v>
      </c>
      <c r="C62" s="1148" t="s">
        <v>271</v>
      </c>
      <c r="D62" s="1291">
        <f t="shared" si="3"/>
        <v>0</v>
      </c>
      <c r="E62" s="1218">
        <f t="shared" si="4"/>
        <v>15576</v>
      </c>
      <c r="F62" s="1218">
        <f t="shared" si="5"/>
        <v>3894</v>
      </c>
      <c r="G62" s="1218">
        <f t="shared" si="6"/>
        <v>3894</v>
      </c>
      <c r="H62" s="1219">
        <f t="shared" si="6"/>
        <v>0</v>
      </c>
      <c r="I62" s="1452">
        <v>0</v>
      </c>
      <c r="J62" s="1452">
        <v>0</v>
      </c>
      <c r="K62" s="1452">
        <v>15576</v>
      </c>
      <c r="L62" s="1452">
        <v>3894</v>
      </c>
      <c r="M62" s="1452">
        <v>0</v>
      </c>
      <c r="N62" s="1453">
        <v>19470</v>
      </c>
      <c r="O62" s="1449"/>
      <c r="P62" s="1450"/>
      <c r="Q62" s="1450"/>
      <c r="R62" s="1450"/>
      <c r="S62" s="1450"/>
      <c r="T62" s="1451"/>
      <c r="U62" s="1449"/>
      <c r="V62" s="1450"/>
      <c r="W62" s="1450"/>
      <c r="X62" s="1450"/>
      <c r="Y62" s="1450"/>
      <c r="Z62" s="1451"/>
      <c r="AA62" s="1449"/>
      <c r="AB62" s="1450"/>
      <c r="AC62" s="1450"/>
      <c r="AD62" s="1450"/>
      <c r="AE62" s="1450"/>
      <c r="AF62" s="1451"/>
    </row>
    <row r="63" spans="1:32" s="1315" customFormat="1">
      <c r="A63" s="1436" t="s">
        <v>149</v>
      </c>
      <c r="B63" s="1436" t="s">
        <v>150</v>
      </c>
      <c r="C63" s="1148" t="s">
        <v>272</v>
      </c>
      <c r="D63" s="1291">
        <f t="shared" si="3"/>
        <v>0</v>
      </c>
      <c r="E63" s="1218">
        <f t="shared" si="4"/>
        <v>222156</v>
      </c>
      <c r="F63" s="1218">
        <f t="shared" si="5"/>
        <v>55539</v>
      </c>
      <c r="G63" s="1218">
        <f t="shared" si="6"/>
        <v>55539</v>
      </c>
      <c r="H63" s="1219">
        <f t="shared" si="6"/>
        <v>0</v>
      </c>
      <c r="I63" s="1452">
        <v>0</v>
      </c>
      <c r="J63" s="1452">
        <v>0</v>
      </c>
      <c r="K63" s="1452">
        <v>222156</v>
      </c>
      <c r="L63" s="1452">
        <v>55539</v>
      </c>
      <c r="M63" s="1452">
        <v>0</v>
      </c>
      <c r="N63" s="1453">
        <v>277695</v>
      </c>
      <c r="O63" s="1449"/>
      <c r="P63" s="1450"/>
      <c r="Q63" s="1450"/>
      <c r="R63" s="1450"/>
      <c r="S63" s="1450"/>
      <c r="T63" s="1451"/>
      <c r="U63" s="1449"/>
      <c r="V63" s="1450"/>
      <c r="W63" s="1450"/>
      <c r="X63" s="1450"/>
      <c r="Y63" s="1450"/>
      <c r="Z63" s="1451"/>
      <c r="AA63" s="1449"/>
      <c r="AB63" s="1450"/>
      <c r="AC63" s="1450"/>
      <c r="AD63" s="1450"/>
      <c r="AE63" s="1450"/>
      <c r="AF63" s="1451"/>
    </row>
    <row r="64" spans="1:32" s="1315" customFormat="1">
      <c r="A64" s="1436" t="s">
        <v>151</v>
      </c>
      <c r="B64" s="1436" t="s">
        <v>152</v>
      </c>
      <c r="C64" s="1148" t="s">
        <v>273</v>
      </c>
      <c r="D64" s="1291">
        <f t="shared" si="3"/>
        <v>0</v>
      </c>
      <c r="E64" s="1218">
        <f t="shared" si="4"/>
        <v>35477.599999999999</v>
      </c>
      <c r="F64" s="1218">
        <f t="shared" si="5"/>
        <v>8869.4</v>
      </c>
      <c r="G64" s="1218">
        <f t="shared" si="6"/>
        <v>8869.4</v>
      </c>
      <c r="H64" s="1219">
        <f t="shared" si="6"/>
        <v>0</v>
      </c>
      <c r="I64" s="1452">
        <v>0</v>
      </c>
      <c r="J64" s="1452">
        <v>0</v>
      </c>
      <c r="K64" s="1452">
        <v>35477.599999999999</v>
      </c>
      <c r="L64" s="1452">
        <v>8869.4</v>
      </c>
      <c r="M64" s="1452">
        <v>0</v>
      </c>
      <c r="N64" s="1453">
        <v>44347</v>
      </c>
      <c r="O64" s="1449"/>
      <c r="P64" s="1450"/>
      <c r="Q64" s="1450"/>
      <c r="R64" s="1450"/>
      <c r="S64" s="1450"/>
      <c r="T64" s="1451"/>
      <c r="U64" s="1449"/>
      <c r="V64" s="1450"/>
      <c r="W64" s="1450"/>
      <c r="X64" s="1450"/>
      <c r="Y64" s="1450"/>
      <c r="Z64" s="1451"/>
      <c r="AA64" s="1449"/>
      <c r="AB64" s="1450"/>
      <c r="AC64" s="1450"/>
      <c r="AD64" s="1450"/>
      <c r="AE64" s="1450"/>
      <c r="AF64" s="1451"/>
    </row>
    <row r="65" spans="1:32" s="1315" customFormat="1">
      <c r="A65" s="1436" t="s">
        <v>153</v>
      </c>
      <c r="B65" s="1436" t="s">
        <v>154</v>
      </c>
      <c r="C65" s="1148" t="s">
        <v>275</v>
      </c>
      <c r="D65" s="1291">
        <f t="shared" si="3"/>
        <v>0</v>
      </c>
      <c r="E65" s="1218">
        <f t="shared" si="4"/>
        <v>184653.6</v>
      </c>
      <c r="F65" s="1218">
        <f t="shared" si="5"/>
        <v>46163.4</v>
      </c>
      <c r="G65" s="1218">
        <f t="shared" si="6"/>
        <v>46163.4</v>
      </c>
      <c r="H65" s="1219">
        <f t="shared" si="6"/>
        <v>0</v>
      </c>
      <c r="I65" s="1452">
        <v>0</v>
      </c>
      <c r="J65" s="1452">
        <v>0</v>
      </c>
      <c r="K65" s="1452">
        <v>184653.6</v>
      </c>
      <c r="L65" s="1452">
        <v>46163.4</v>
      </c>
      <c r="M65" s="1452">
        <v>0</v>
      </c>
      <c r="N65" s="1453">
        <v>230817</v>
      </c>
      <c r="O65" s="1449"/>
      <c r="P65" s="1450"/>
      <c r="Q65" s="1450"/>
      <c r="R65" s="1450"/>
      <c r="S65" s="1450"/>
      <c r="T65" s="1451"/>
      <c r="U65" s="1449"/>
      <c r="V65" s="1450"/>
      <c r="W65" s="1450"/>
      <c r="X65" s="1450"/>
      <c r="Y65" s="1450"/>
      <c r="Z65" s="1451"/>
      <c r="AA65" s="1449"/>
      <c r="AB65" s="1450"/>
      <c r="AC65" s="1450"/>
      <c r="AD65" s="1450"/>
      <c r="AE65" s="1450"/>
      <c r="AF65" s="1451"/>
    </row>
    <row r="66" spans="1:32" s="1315" customFormat="1">
      <c r="A66" s="1436" t="s">
        <v>155</v>
      </c>
      <c r="B66" s="1436" t="s">
        <v>156</v>
      </c>
      <c r="C66" s="1148" t="s">
        <v>272</v>
      </c>
      <c r="D66" s="1291">
        <f t="shared" si="3"/>
        <v>0</v>
      </c>
      <c r="E66" s="1218">
        <f t="shared" si="4"/>
        <v>97369.600000000006</v>
      </c>
      <c r="F66" s="1218">
        <f t="shared" si="5"/>
        <v>24342.400000000001</v>
      </c>
      <c r="G66" s="1218">
        <f t="shared" si="6"/>
        <v>24342.400000000001</v>
      </c>
      <c r="H66" s="1219">
        <f t="shared" si="6"/>
        <v>0</v>
      </c>
      <c r="I66" s="1452">
        <v>0</v>
      </c>
      <c r="J66" s="1452">
        <v>0</v>
      </c>
      <c r="K66" s="1452">
        <v>97369.600000000006</v>
      </c>
      <c r="L66" s="1452">
        <v>24342.400000000001</v>
      </c>
      <c r="M66" s="1452">
        <v>0</v>
      </c>
      <c r="N66" s="1453">
        <v>121712</v>
      </c>
      <c r="O66" s="1449"/>
      <c r="P66" s="1450"/>
      <c r="Q66" s="1450"/>
      <c r="R66" s="1450"/>
      <c r="S66" s="1450"/>
      <c r="T66" s="1451"/>
      <c r="U66" s="1449"/>
      <c r="V66" s="1450"/>
      <c r="W66" s="1450"/>
      <c r="X66" s="1450"/>
      <c r="Y66" s="1450"/>
      <c r="Z66" s="1451"/>
      <c r="AA66" s="1449"/>
      <c r="AB66" s="1450"/>
      <c r="AC66" s="1450"/>
      <c r="AD66" s="1450"/>
      <c r="AE66" s="1450"/>
      <c r="AF66" s="1451"/>
    </row>
    <row r="67" spans="1:32" s="1315" customFormat="1">
      <c r="A67" s="1436" t="s">
        <v>157</v>
      </c>
      <c r="B67" s="1436" t="s">
        <v>158</v>
      </c>
      <c r="C67" s="1148" t="s">
        <v>273</v>
      </c>
      <c r="D67" s="1291">
        <f t="shared" si="3"/>
        <v>0</v>
      </c>
      <c r="E67" s="1218">
        <f t="shared" si="4"/>
        <v>31078.400000000001</v>
      </c>
      <c r="F67" s="1218">
        <f t="shared" si="5"/>
        <v>7769.6</v>
      </c>
      <c r="G67" s="1218">
        <f t="shared" si="6"/>
        <v>7769.6</v>
      </c>
      <c r="H67" s="1219">
        <f t="shared" si="6"/>
        <v>0</v>
      </c>
      <c r="I67" s="1452">
        <v>0</v>
      </c>
      <c r="J67" s="1452">
        <v>0</v>
      </c>
      <c r="K67" s="1452">
        <v>31078.400000000001</v>
      </c>
      <c r="L67" s="1452">
        <v>7769.6</v>
      </c>
      <c r="M67" s="1452">
        <v>0</v>
      </c>
      <c r="N67" s="1453">
        <v>38848</v>
      </c>
      <c r="O67" s="1449"/>
      <c r="P67" s="1450"/>
      <c r="Q67" s="1450"/>
      <c r="R67" s="1450"/>
      <c r="S67" s="1450"/>
      <c r="T67" s="1451"/>
      <c r="U67" s="1449"/>
      <c r="V67" s="1450"/>
      <c r="W67" s="1450"/>
      <c r="X67" s="1450"/>
      <c r="Y67" s="1450"/>
      <c r="Z67" s="1451"/>
      <c r="AA67" s="1449"/>
      <c r="AB67" s="1450"/>
      <c r="AC67" s="1450"/>
      <c r="AD67" s="1450"/>
      <c r="AE67" s="1450"/>
      <c r="AF67" s="1451"/>
    </row>
    <row r="68" spans="1:32" s="1315" customFormat="1">
      <c r="A68" s="1436" t="s">
        <v>163</v>
      </c>
      <c r="B68" s="1436" t="s">
        <v>164</v>
      </c>
      <c r="C68" s="1148" t="s">
        <v>271</v>
      </c>
      <c r="D68" s="1291">
        <f t="shared" si="3"/>
        <v>0</v>
      </c>
      <c r="E68" s="1218">
        <f t="shared" si="4"/>
        <v>88346.46</v>
      </c>
      <c r="F68" s="1218">
        <f t="shared" si="5"/>
        <v>22086.61</v>
      </c>
      <c r="G68" s="1218">
        <f t="shared" si="6"/>
        <v>22086.61</v>
      </c>
      <c r="H68" s="1219">
        <f t="shared" si="6"/>
        <v>0</v>
      </c>
      <c r="I68" s="1452">
        <v>0</v>
      </c>
      <c r="J68" s="1452">
        <v>0</v>
      </c>
      <c r="K68" s="1452">
        <v>88346.46</v>
      </c>
      <c r="L68" s="1452">
        <v>22086.61</v>
      </c>
      <c r="M68" s="1452">
        <v>0</v>
      </c>
      <c r="N68" s="1453">
        <v>110433.07</v>
      </c>
      <c r="O68" s="1449"/>
      <c r="P68" s="1450"/>
      <c r="Q68" s="1450"/>
      <c r="R68" s="1450"/>
      <c r="S68" s="1450"/>
      <c r="T68" s="1451"/>
      <c r="U68" s="1449"/>
      <c r="V68" s="1450"/>
      <c r="W68" s="1450"/>
      <c r="X68" s="1450"/>
      <c r="Y68" s="1450"/>
      <c r="Z68" s="1451"/>
      <c r="AA68" s="1449"/>
      <c r="AB68" s="1450"/>
      <c r="AC68" s="1450"/>
      <c r="AD68" s="1450"/>
      <c r="AE68" s="1450"/>
      <c r="AF68" s="1451"/>
    </row>
    <row r="69" spans="1:32" s="1315" customFormat="1">
      <c r="A69" s="1436" t="s">
        <v>165</v>
      </c>
      <c r="B69" s="1436" t="s">
        <v>166</v>
      </c>
      <c r="C69" s="1148" t="s">
        <v>273</v>
      </c>
      <c r="D69" s="1291">
        <f t="shared" si="3"/>
        <v>0</v>
      </c>
      <c r="E69" s="1218">
        <f t="shared" si="4"/>
        <v>49363.35</v>
      </c>
      <c r="F69" s="1218">
        <f t="shared" si="5"/>
        <v>12338.65</v>
      </c>
      <c r="G69" s="1218">
        <f t="shared" si="6"/>
        <v>12338.65</v>
      </c>
      <c r="H69" s="1219">
        <f t="shared" si="6"/>
        <v>0</v>
      </c>
      <c r="I69" s="1452">
        <v>0</v>
      </c>
      <c r="J69" s="1452">
        <v>0</v>
      </c>
      <c r="K69" s="1452">
        <v>49369.599999999999</v>
      </c>
      <c r="L69" s="1452">
        <v>12342.4</v>
      </c>
      <c r="M69" s="1452">
        <v>0</v>
      </c>
      <c r="N69" s="1453">
        <v>61712</v>
      </c>
      <c r="O69" s="1454">
        <v>0</v>
      </c>
      <c r="P69" s="1455">
        <v>0</v>
      </c>
      <c r="Q69" s="1455">
        <v>-6.25</v>
      </c>
      <c r="R69" s="1455">
        <v>-3.75</v>
      </c>
      <c r="S69" s="1455">
        <v>0</v>
      </c>
      <c r="T69" s="1456">
        <v>-10</v>
      </c>
      <c r="U69" s="1449"/>
      <c r="V69" s="1450"/>
      <c r="W69" s="1450"/>
      <c r="X69" s="1450"/>
      <c r="Y69" s="1450"/>
      <c r="Z69" s="1451"/>
      <c r="AA69" s="1449"/>
      <c r="AB69" s="1450"/>
      <c r="AC69" s="1450"/>
      <c r="AD69" s="1450"/>
      <c r="AE69" s="1450"/>
      <c r="AF69" s="1451"/>
    </row>
    <row r="70" spans="1:32" s="1315" customFormat="1">
      <c r="A70" s="1436" t="s">
        <v>169</v>
      </c>
      <c r="B70" s="1436" t="s">
        <v>170</v>
      </c>
      <c r="C70" s="1148" t="s">
        <v>273</v>
      </c>
      <c r="D70" s="1291">
        <f t="shared" si="3"/>
        <v>0</v>
      </c>
      <c r="E70" s="1218">
        <f t="shared" si="4"/>
        <v>63848.800000000003</v>
      </c>
      <c r="F70" s="1218">
        <f t="shared" si="5"/>
        <v>15962.2</v>
      </c>
      <c r="G70" s="1218">
        <f t="shared" si="6"/>
        <v>15962.2</v>
      </c>
      <c r="H70" s="1219">
        <f t="shared" si="6"/>
        <v>0</v>
      </c>
      <c r="I70" s="1452">
        <v>0</v>
      </c>
      <c r="J70" s="1452">
        <v>0</v>
      </c>
      <c r="K70" s="1452">
        <v>63848.800000000003</v>
      </c>
      <c r="L70" s="1452">
        <v>15962.2</v>
      </c>
      <c r="M70" s="1452">
        <v>0</v>
      </c>
      <c r="N70" s="1453">
        <v>79811</v>
      </c>
      <c r="O70" s="1449"/>
      <c r="P70" s="1450"/>
      <c r="Q70" s="1450"/>
      <c r="R70" s="1450"/>
      <c r="S70" s="1450"/>
      <c r="T70" s="1451"/>
      <c r="U70" s="1449"/>
      <c r="V70" s="1450"/>
      <c r="W70" s="1450"/>
      <c r="X70" s="1450"/>
      <c r="Y70" s="1450"/>
      <c r="Z70" s="1451"/>
      <c r="AA70" s="1449"/>
      <c r="AB70" s="1450"/>
      <c r="AC70" s="1450"/>
      <c r="AD70" s="1450"/>
      <c r="AE70" s="1450"/>
      <c r="AF70" s="1451"/>
    </row>
    <row r="71" spans="1:32" s="1315" customFormat="1">
      <c r="A71" s="1436" t="s">
        <v>171</v>
      </c>
      <c r="B71" s="1436" t="s">
        <v>172</v>
      </c>
      <c r="C71" s="1148" t="s">
        <v>274</v>
      </c>
      <c r="D71" s="1291">
        <f t="shared" ref="D71:D125" si="7">+I71+J71+O71+P71+U71+V71+AA71+AB71</f>
        <v>0</v>
      </c>
      <c r="E71" s="1218">
        <f t="shared" ref="E71:E125" si="8">+K71+Q71+W71+AC71</f>
        <v>43196</v>
      </c>
      <c r="F71" s="1218">
        <f t="shared" ref="F71:F125" si="9">+G71+H71</f>
        <v>10799</v>
      </c>
      <c r="G71" s="1218">
        <f t="shared" ref="G71:H125" si="10">+L71+R71+X71+AD71</f>
        <v>10799</v>
      </c>
      <c r="H71" s="1219">
        <f t="shared" si="10"/>
        <v>0</v>
      </c>
      <c r="I71" s="1452">
        <v>0</v>
      </c>
      <c r="J71" s="1452">
        <v>0</v>
      </c>
      <c r="K71" s="1452">
        <v>43196</v>
      </c>
      <c r="L71" s="1452">
        <v>10799</v>
      </c>
      <c r="M71" s="1452">
        <v>0</v>
      </c>
      <c r="N71" s="1453">
        <v>53995</v>
      </c>
      <c r="O71" s="1449"/>
      <c r="P71" s="1450"/>
      <c r="Q71" s="1450"/>
      <c r="R71" s="1450"/>
      <c r="S71" s="1450"/>
      <c r="T71" s="1451"/>
      <c r="U71" s="1449"/>
      <c r="V71" s="1450"/>
      <c r="W71" s="1450"/>
      <c r="X71" s="1450"/>
      <c r="Y71" s="1450"/>
      <c r="Z71" s="1451"/>
      <c r="AA71" s="1449"/>
      <c r="AB71" s="1450"/>
      <c r="AC71" s="1450"/>
      <c r="AD71" s="1450"/>
      <c r="AE71" s="1450"/>
      <c r="AF71" s="1451"/>
    </row>
    <row r="72" spans="1:32" s="1315" customFormat="1">
      <c r="A72" s="1436" t="s">
        <v>173</v>
      </c>
      <c r="B72" s="1436" t="s">
        <v>174</v>
      </c>
      <c r="C72" s="1148" t="s">
        <v>274</v>
      </c>
      <c r="D72" s="1291">
        <f t="shared" si="7"/>
        <v>0</v>
      </c>
      <c r="E72" s="1218">
        <f t="shared" si="8"/>
        <v>94519.2</v>
      </c>
      <c r="F72" s="1218">
        <f t="shared" si="9"/>
        <v>23629.8</v>
      </c>
      <c r="G72" s="1218">
        <f t="shared" si="10"/>
        <v>23629.8</v>
      </c>
      <c r="H72" s="1219">
        <f t="shared" si="10"/>
        <v>0</v>
      </c>
      <c r="I72" s="1452">
        <v>0</v>
      </c>
      <c r="J72" s="1452">
        <v>0</v>
      </c>
      <c r="K72" s="1452">
        <v>94519.2</v>
      </c>
      <c r="L72" s="1452">
        <v>23629.8</v>
      </c>
      <c r="M72" s="1452">
        <v>0</v>
      </c>
      <c r="N72" s="1453">
        <v>118149</v>
      </c>
      <c r="O72" s="1449"/>
      <c r="P72" s="1450"/>
      <c r="Q72" s="1450"/>
      <c r="R72" s="1450"/>
      <c r="S72" s="1450"/>
      <c r="T72" s="1451"/>
      <c r="U72" s="1449"/>
      <c r="V72" s="1450"/>
      <c r="W72" s="1450"/>
      <c r="X72" s="1450"/>
      <c r="Y72" s="1450"/>
      <c r="Z72" s="1451"/>
      <c r="AA72" s="1449"/>
      <c r="AB72" s="1450"/>
      <c r="AC72" s="1450"/>
      <c r="AD72" s="1450"/>
      <c r="AE72" s="1450"/>
      <c r="AF72" s="1451"/>
    </row>
    <row r="73" spans="1:32" s="1315" customFormat="1">
      <c r="A73" s="1436" t="s">
        <v>175</v>
      </c>
      <c r="B73" s="1436" t="s">
        <v>176</v>
      </c>
      <c r="C73" s="1148" t="s">
        <v>275</v>
      </c>
      <c r="D73" s="1291">
        <f t="shared" si="7"/>
        <v>0</v>
      </c>
      <c r="E73" s="1218">
        <f t="shared" si="8"/>
        <v>71510.399999999994</v>
      </c>
      <c r="F73" s="1218">
        <f t="shared" si="9"/>
        <v>17877.599999999999</v>
      </c>
      <c r="G73" s="1218">
        <f t="shared" si="10"/>
        <v>17877.599999999999</v>
      </c>
      <c r="H73" s="1219">
        <f t="shared" si="10"/>
        <v>0</v>
      </c>
      <c r="I73" s="1452">
        <v>0</v>
      </c>
      <c r="J73" s="1452">
        <v>0</v>
      </c>
      <c r="K73" s="1452">
        <v>71510.399999999994</v>
      </c>
      <c r="L73" s="1452">
        <v>17877.599999999999</v>
      </c>
      <c r="M73" s="1452">
        <v>0</v>
      </c>
      <c r="N73" s="1453">
        <v>89388</v>
      </c>
      <c r="O73" s="1449"/>
      <c r="P73" s="1450"/>
      <c r="Q73" s="1450"/>
      <c r="R73" s="1450"/>
      <c r="S73" s="1450"/>
      <c r="T73" s="1451"/>
      <c r="U73" s="1449"/>
      <c r="V73" s="1450"/>
      <c r="W73" s="1450"/>
      <c r="X73" s="1450"/>
      <c r="Y73" s="1450"/>
      <c r="Z73" s="1451"/>
      <c r="AA73" s="1449"/>
      <c r="AB73" s="1450"/>
      <c r="AC73" s="1450"/>
      <c r="AD73" s="1450"/>
      <c r="AE73" s="1450"/>
      <c r="AF73" s="1451"/>
    </row>
    <row r="74" spans="1:32" s="1315" customFormat="1">
      <c r="A74" s="1436" t="s">
        <v>179</v>
      </c>
      <c r="B74" s="1436" t="s">
        <v>180</v>
      </c>
      <c r="C74" s="1148" t="s">
        <v>272</v>
      </c>
      <c r="D74" s="1291">
        <f t="shared" si="7"/>
        <v>0</v>
      </c>
      <c r="E74" s="1218">
        <f t="shared" si="8"/>
        <v>151792</v>
      </c>
      <c r="F74" s="1218">
        <f t="shared" si="9"/>
        <v>40442.97</v>
      </c>
      <c r="G74" s="1218">
        <f t="shared" si="10"/>
        <v>37948</v>
      </c>
      <c r="H74" s="1219">
        <f t="shared" si="10"/>
        <v>2494.9699999999998</v>
      </c>
      <c r="I74" s="1452">
        <v>0</v>
      </c>
      <c r="J74" s="1452">
        <v>0</v>
      </c>
      <c r="K74" s="1452">
        <v>151792</v>
      </c>
      <c r="L74" s="1452">
        <v>37948</v>
      </c>
      <c r="M74" s="1452">
        <v>0</v>
      </c>
      <c r="N74" s="1453">
        <v>189740</v>
      </c>
      <c r="O74" s="1454">
        <v>0</v>
      </c>
      <c r="P74" s="1455">
        <v>0</v>
      </c>
      <c r="Q74" s="1455">
        <v>0</v>
      </c>
      <c r="R74" s="1455">
        <v>0</v>
      </c>
      <c r="S74" s="1455">
        <v>2494.9699999999998</v>
      </c>
      <c r="T74" s="1456">
        <v>2494.9699999999998</v>
      </c>
      <c r="U74" s="1449"/>
      <c r="V74" s="1450"/>
      <c r="W74" s="1450"/>
      <c r="X74" s="1450"/>
      <c r="Y74" s="1450"/>
      <c r="Z74" s="1451"/>
      <c r="AA74" s="1449"/>
      <c r="AB74" s="1450"/>
      <c r="AC74" s="1450"/>
      <c r="AD74" s="1450"/>
      <c r="AE74" s="1450"/>
      <c r="AF74" s="1451"/>
    </row>
    <row r="75" spans="1:32" s="1315" customFormat="1">
      <c r="A75" s="1436" t="s">
        <v>183</v>
      </c>
      <c r="B75" s="1436" t="s">
        <v>184</v>
      </c>
      <c r="C75" s="1148" t="s">
        <v>273</v>
      </c>
      <c r="D75" s="1291">
        <f t="shared" si="7"/>
        <v>0</v>
      </c>
      <c r="E75" s="1218">
        <f t="shared" si="8"/>
        <v>50842.400000000001</v>
      </c>
      <c r="F75" s="1218">
        <f t="shared" si="9"/>
        <v>12710.6</v>
      </c>
      <c r="G75" s="1218">
        <f t="shared" si="10"/>
        <v>12710.6</v>
      </c>
      <c r="H75" s="1219">
        <f t="shared" si="10"/>
        <v>0</v>
      </c>
      <c r="I75" s="1452">
        <v>0</v>
      </c>
      <c r="J75" s="1452">
        <v>0</v>
      </c>
      <c r="K75" s="1452">
        <v>50842.400000000001</v>
      </c>
      <c r="L75" s="1452">
        <v>12710.6</v>
      </c>
      <c r="M75" s="1452">
        <v>0</v>
      </c>
      <c r="N75" s="1453">
        <v>63553</v>
      </c>
      <c r="O75" s="1449"/>
      <c r="P75" s="1450"/>
      <c r="Q75" s="1450"/>
      <c r="R75" s="1450"/>
      <c r="S75" s="1450"/>
      <c r="T75" s="1451"/>
      <c r="U75" s="1449"/>
      <c r="V75" s="1450"/>
      <c r="W75" s="1450"/>
      <c r="X75" s="1450"/>
      <c r="Y75" s="1450"/>
      <c r="Z75" s="1451"/>
      <c r="AA75" s="1449"/>
      <c r="AB75" s="1450"/>
      <c r="AC75" s="1450"/>
      <c r="AD75" s="1450"/>
      <c r="AE75" s="1450"/>
      <c r="AF75" s="1451"/>
    </row>
    <row r="76" spans="1:32" s="1315" customFormat="1">
      <c r="A76" s="1436" t="s">
        <v>185</v>
      </c>
      <c r="B76" s="1436" t="s">
        <v>186</v>
      </c>
      <c r="C76" s="1148" t="s">
        <v>273</v>
      </c>
      <c r="D76" s="1291">
        <f t="shared" si="7"/>
        <v>0</v>
      </c>
      <c r="E76" s="1218">
        <f t="shared" si="8"/>
        <v>85525.6</v>
      </c>
      <c r="F76" s="1218">
        <f t="shared" si="9"/>
        <v>21381.4</v>
      </c>
      <c r="G76" s="1218">
        <f t="shared" si="10"/>
        <v>21381.4</v>
      </c>
      <c r="H76" s="1219">
        <f t="shared" si="10"/>
        <v>0</v>
      </c>
      <c r="I76" s="1452">
        <v>0</v>
      </c>
      <c r="J76" s="1452">
        <v>0</v>
      </c>
      <c r="K76" s="1452">
        <v>85525.6</v>
      </c>
      <c r="L76" s="1452">
        <v>21381.4</v>
      </c>
      <c r="M76" s="1452">
        <v>0</v>
      </c>
      <c r="N76" s="1453">
        <v>106907</v>
      </c>
      <c r="O76" s="1449"/>
      <c r="P76" s="1450"/>
      <c r="Q76" s="1450"/>
      <c r="R76" s="1450"/>
      <c r="S76" s="1450"/>
      <c r="T76" s="1451"/>
      <c r="U76" s="1449"/>
      <c r="V76" s="1450"/>
      <c r="W76" s="1450"/>
      <c r="X76" s="1450"/>
      <c r="Y76" s="1450"/>
      <c r="Z76" s="1451"/>
      <c r="AA76" s="1449"/>
      <c r="AB76" s="1450"/>
      <c r="AC76" s="1450"/>
      <c r="AD76" s="1450"/>
      <c r="AE76" s="1450"/>
      <c r="AF76" s="1451"/>
    </row>
    <row r="77" spans="1:32" s="1315" customFormat="1">
      <c r="A77" s="1436" t="s">
        <v>187</v>
      </c>
      <c r="B77" s="1436" t="s">
        <v>188</v>
      </c>
      <c r="C77" s="1148" t="s">
        <v>271</v>
      </c>
      <c r="D77" s="1291">
        <f t="shared" si="7"/>
        <v>0</v>
      </c>
      <c r="E77" s="1218">
        <f t="shared" si="8"/>
        <v>36016.800000000003</v>
      </c>
      <c r="F77" s="1218">
        <f t="shared" si="9"/>
        <v>9004.2000000000007</v>
      </c>
      <c r="G77" s="1218">
        <f t="shared" si="10"/>
        <v>9004.2000000000007</v>
      </c>
      <c r="H77" s="1219">
        <f t="shared" si="10"/>
        <v>0</v>
      </c>
      <c r="I77" s="1452">
        <v>0</v>
      </c>
      <c r="J77" s="1452">
        <v>0</v>
      </c>
      <c r="K77" s="1452">
        <v>36016.800000000003</v>
      </c>
      <c r="L77" s="1452">
        <v>9004.2000000000007</v>
      </c>
      <c r="M77" s="1452">
        <v>0</v>
      </c>
      <c r="N77" s="1453">
        <v>45021</v>
      </c>
      <c r="O77" s="1449"/>
      <c r="P77" s="1450"/>
      <c r="Q77" s="1450"/>
      <c r="R77" s="1450"/>
      <c r="S77" s="1450"/>
      <c r="T77" s="1451"/>
      <c r="U77" s="1449"/>
      <c r="V77" s="1450"/>
      <c r="W77" s="1450"/>
      <c r="X77" s="1450"/>
      <c r="Y77" s="1450"/>
      <c r="Z77" s="1451"/>
      <c r="AA77" s="1449"/>
      <c r="AB77" s="1450"/>
      <c r="AC77" s="1450"/>
      <c r="AD77" s="1450"/>
      <c r="AE77" s="1450"/>
      <c r="AF77" s="1451"/>
    </row>
    <row r="78" spans="1:32" s="1315" customFormat="1">
      <c r="A78" s="1436" t="s">
        <v>189</v>
      </c>
      <c r="B78" s="1436" t="s">
        <v>190</v>
      </c>
      <c r="C78" s="1148" t="s">
        <v>274</v>
      </c>
      <c r="D78" s="1291">
        <f t="shared" si="7"/>
        <v>41706</v>
      </c>
      <c r="E78" s="1218">
        <f t="shared" si="8"/>
        <v>287157.59999999998</v>
      </c>
      <c r="F78" s="1218">
        <f t="shared" si="9"/>
        <v>71789.399999999994</v>
      </c>
      <c r="G78" s="1218">
        <f t="shared" si="10"/>
        <v>71789.399999999994</v>
      </c>
      <c r="H78" s="1219">
        <f t="shared" si="10"/>
        <v>0</v>
      </c>
      <c r="I78" s="1452">
        <v>0</v>
      </c>
      <c r="J78" s="1452">
        <v>0</v>
      </c>
      <c r="K78" s="1452">
        <v>287157.59999999998</v>
      </c>
      <c r="L78" s="1452">
        <v>71789.399999999994</v>
      </c>
      <c r="M78" s="1452">
        <v>0</v>
      </c>
      <c r="N78" s="1453">
        <v>358947</v>
      </c>
      <c r="O78" s="1449"/>
      <c r="P78" s="1450"/>
      <c r="Q78" s="1450"/>
      <c r="R78" s="1450"/>
      <c r="S78" s="1450"/>
      <c r="T78" s="1451"/>
      <c r="U78" s="1454">
        <v>41706</v>
      </c>
      <c r="V78" s="1455">
        <v>0</v>
      </c>
      <c r="W78" s="1455">
        <v>0</v>
      </c>
      <c r="X78" s="1455">
        <v>0</v>
      </c>
      <c r="Y78" s="1455">
        <v>0</v>
      </c>
      <c r="Z78" s="1456">
        <v>41706</v>
      </c>
      <c r="AA78" s="1449"/>
      <c r="AB78" s="1450"/>
      <c r="AC78" s="1450"/>
      <c r="AD78" s="1450"/>
      <c r="AE78" s="1450"/>
      <c r="AF78" s="1451"/>
    </row>
    <row r="79" spans="1:32" s="1315" customFormat="1">
      <c r="A79" s="1436" t="s">
        <v>191</v>
      </c>
      <c r="B79" s="1436" t="s">
        <v>192</v>
      </c>
      <c r="C79" s="1148" t="s">
        <v>275</v>
      </c>
      <c r="D79" s="1291">
        <f t="shared" si="7"/>
        <v>0</v>
      </c>
      <c r="E79" s="1218">
        <f t="shared" si="8"/>
        <v>162493.6</v>
      </c>
      <c r="F79" s="1218">
        <f t="shared" si="9"/>
        <v>43623.4</v>
      </c>
      <c r="G79" s="1218">
        <f t="shared" si="10"/>
        <v>40623.4</v>
      </c>
      <c r="H79" s="1219">
        <f t="shared" si="10"/>
        <v>3000</v>
      </c>
      <c r="I79" s="1452">
        <v>0</v>
      </c>
      <c r="J79" s="1452">
        <v>0</v>
      </c>
      <c r="K79" s="1452">
        <v>162493.6</v>
      </c>
      <c r="L79" s="1452">
        <v>40623.4</v>
      </c>
      <c r="M79" s="1452">
        <v>0</v>
      </c>
      <c r="N79" s="1453">
        <v>203117</v>
      </c>
      <c r="O79" s="1454">
        <v>0</v>
      </c>
      <c r="P79" s="1455">
        <v>0</v>
      </c>
      <c r="Q79" s="1455">
        <v>0</v>
      </c>
      <c r="R79" s="1455">
        <v>0</v>
      </c>
      <c r="S79" s="1455">
        <v>3000</v>
      </c>
      <c r="T79" s="1456">
        <v>3000</v>
      </c>
      <c r="U79" s="1449"/>
      <c r="V79" s="1450"/>
      <c r="W79" s="1450"/>
      <c r="X79" s="1450"/>
      <c r="Y79" s="1450"/>
      <c r="Z79" s="1451"/>
      <c r="AA79" s="1449"/>
      <c r="AB79" s="1450"/>
      <c r="AC79" s="1450"/>
      <c r="AD79" s="1450"/>
      <c r="AE79" s="1450"/>
      <c r="AF79" s="1451"/>
    </row>
    <row r="80" spans="1:32" s="1315" customFormat="1">
      <c r="A80" s="1436" t="s">
        <v>195</v>
      </c>
      <c r="B80" s="1436" t="s">
        <v>196</v>
      </c>
      <c r="C80" s="1148" t="s">
        <v>274</v>
      </c>
      <c r="D80" s="1291">
        <f t="shared" si="7"/>
        <v>0</v>
      </c>
      <c r="E80" s="1218">
        <f t="shared" si="8"/>
        <v>9649.6</v>
      </c>
      <c r="F80" s="1218">
        <f t="shared" si="9"/>
        <v>2412.4</v>
      </c>
      <c r="G80" s="1218">
        <f t="shared" si="10"/>
        <v>2412.4</v>
      </c>
      <c r="H80" s="1219">
        <f t="shared" si="10"/>
        <v>0</v>
      </c>
      <c r="I80" s="1452">
        <v>0</v>
      </c>
      <c r="J80" s="1452">
        <v>0</v>
      </c>
      <c r="K80" s="1452">
        <v>9649.6</v>
      </c>
      <c r="L80" s="1452">
        <v>2412.4</v>
      </c>
      <c r="M80" s="1452">
        <v>0</v>
      </c>
      <c r="N80" s="1453">
        <v>12062</v>
      </c>
      <c r="O80" s="1449"/>
      <c r="P80" s="1450"/>
      <c r="Q80" s="1450"/>
      <c r="R80" s="1450"/>
      <c r="S80" s="1450"/>
      <c r="T80" s="1451"/>
      <c r="U80" s="1449"/>
      <c r="V80" s="1450"/>
      <c r="W80" s="1450"/>
      <c r="X80" s="1450"/>
      <c r="Y80" s="1450"/>
      <c r="Z80" s="1451"/>
      <c r="AA80" s="1449"/>
      <c r="AB80" s="1450"/>
      <c r="AC80" s="1450"/>
      <c r="AD80" s="1450"/>
      <c r="AE80" s="1450"/>
      <c r="AF80" s="1451"/>
    </row>
    <row r="81" spans="1:32" s="1315" customFormat="1">
      <c r="A81" s="1436" t="s">
        <v>199</v>
      </c>
      <c r="B81" s="1436" t="s">
        <v>200</v>
      </c>
      <c r="C81" s="1148" t="s">
        <v>273</v>
      </c>
      <c r="D81" s="1291">
        <f t="shared" si="7"/>
        <v>0</v>
      </c>
      <c r="E81" s="1218">
        <f t="shared" si="8"/>
        <v>16196.8</v>
      </c>
      <c r="F81" s="1218">
        <f t="shared" si="9"/>
        <v>4049.2</v>
      </c>
      <c r="G81" s="1218">
        <f t="shared" si="10"/>
        <v>4049.2</v>
      </c>
      <c r="H81" s="1219">
        <f t="shared" si="10"/>
        <v>0</v>
      </c>
      <c r="I81" s="1452">
        <v>0</v>
      </c>
      <c r="J81" s="1452">
        <v>0</v>
      </c>
      <c r="K81" s="1452">
        <v>16196.8</v>
      </c>
      <c r="L81" s="1452">
        <v>4049.2</v>
      </c>
      <c r="M81" s="1452">
        <v>0</v>
      </c>
      <c r="N81" s="1453">
        <v>20246</v>
      </c>
      <c r="O81" s="1449"/>
      <c r="P81" s="1450"/>
      <c r="Q81" s="1450"/>
      <c r="R81" s="1450"/>
      <c r="S81" s="1450"/>
      <c r="T81" s="1451"/>
      <c r="U81" s="1449"/>
      <c r="V81" s="1450"/>
      <c r="W81" s="1450"/>
      <c r="X81" s="1450"/>
      <c r="Y81" s="1450"/>
      <c r="Z81" s="1451"/>
      <c r="AA81" s="1449"/>
      <c r="AB81" s="1450"/>
      <c r="AC81" s="1450"/>
      <c r="AD81" s="1450"/>
      <c r="AE81" s="1450"/>
      <c r="AF81" s="1451"/>
    </row>
    <row r="82" spans="1:32" s="1315" customFormat="1">
      <c r="A82" s="1436" t="s">
        <v>203</v>
      </c>
      <c r="B82" s="1436" t="s">
        <v>204</v>
      </c>
      <c r="C82" s="1148" t="s">
        <v>272</v>
      </c>
      <c r="D82" s="1291">
        <f t="shared" si="7"/>
        <v>971</v>
      </c>
      <c r="E82" s="1218">
        <f t="shared" si="8"/>
        <v>289667.79000000004</v>
      </c>
      <c r="F82" s="1218">
        <f t="shared" si="9"/>
        <v>75260.210000000006</v>
      </c>
      <c r="G82" s="1218">
        <f t="shared" si="10"/>
        <v>72924.240000000005</v>
      </c>
      <c r="H82" s="1219">
        <f t="shared" si="10"/>
        <v>2335.9699999999998</v>
      </c>
      <c r="I82" s="1452">
        <v>0</v>
      </c>
      <c r="J82" s="1452">
        <v>0</v>
      </c>
      <c r="K82" s="1452">
        <v>288218.40000000002</v>
      </c>
      <c r="L82" s="1452">
        <v>72054.600000000006</v>
      </c>
      <c r="M82" s="1452">
        <v>0</v>
      </c>
      <c r="N82" s="1453">
        <v>360273</v>
      </c>
      <c r="O82" s="1454">
        <v>0</v>
      </c>
      <c r="P82" s="1455">
        <v>0</v>
      </c>
      <c r="Q82" s="1455">
        <v>1449.39</v>
      </c>
      <c r="R82" s="1455">
        <v>869.64</v>
      </c>
      <c r="S82" s="1455">
        <v>2335.9699999999998</v>
      </c>
      <c r="T82" s="1456">
        <v>4655</v>
      </c>
      <c r="U82" s="1454">
        <v>971</v>
      </c>
      <c r="V82" s="1455">
        <v>0</v>
      </c>
      <c r="W82" s="1455">
        <v>0</v>
      </c>
      <c r="X82" s="1455">
        <v>0</v>
      </c>
      <c r="Y82" s="1455">
        <v>0</v>
      </c>
      <c r="Z82" s="1456">
        <v>971</v>
      </c>
      <c r="AA82" s="1449"/>
      <c r="AB82" s="1450"/>
      <c r="AC82" s="1450"/>
      <c r="AD82" s="1450"/>
      <c r="AE82" s="1450"/>
      <c r="AF82" s="1451"/>
    </row>
    <row r="83" spans="1:32" s="1315" customFormat="1" ht="31.5">
      <c r="A83" s="1436" t="s">
        <v>205</v>
      </c>
      <c r="B83" s="1436" t="s">
        <v>206</v>
      </c>
      <c r="C83" s="1148" t="s">
        <v>272</v>
      </c>
      <c r="D83" s="1291">
        <f t="shared" si="7"/>
        <v>0</v>
      </c>
      <c r="E83" s="1218">
        <f t="shared" si="8"/>
        <v>108622.03</v>
      </c>
      <c r="F83" s="1218">
        <f t="shared" si="9"/>
        <v>27155.510000000002</v>
      </c>
      <c r="G83" s="1218">
        <f t="shared" si="10"/>
        <v>27155.510000000002</v>
      </c>
      <c r="H83" s="1219">
        <f t="shared" si="10"/>
        <v>0</v>
      </c>
      <c r="I83" s="1452">
        <v>0</v>
      </c>
      <c r="J83" s="1452">
        <v>0</v>
      </c>
      <c r="K83" s="1452">
        <v>108622.03</v>
      </c>
      <c r="L83" s="1452">
        <v>27155.510000000002</v>
      </c>
      <c r="M83" s="1452">
        <v>0</v>
      </c>
      <c r="N83" s="1453">
        <v>135777.54</v>
      </c>
      <c r="O83" s="1449"/>
      <c r="P83" s="1450"/>
      <c r="Q83" s="1450"/>
      <c r="R83" s="1450"/>
      <c r="S83" s="1450"/>
      <c r="T83" s="1451"/>
      <c r="U83" s="1449"/>
      <c r="V83" s="1450"/>
      <c r="W83" s="1450"/>
      <c r="X83" s="1450"/>
      <c r="Y83" s="1450"/>
      <c r="Z83" s="1451"/>
      <c r="AA83" s="1449"/>
      <c r="AB83" s="1450"/>
      <c r="AC83" s="1450"/>
      <c r="AD83" s="1450"/>
      <c r="AE83" s="1450"/>
      <c r="AF83" s="1451"/>
    </row>
    <row r="84" spans="1:32" s="1315" customFormat="1">
      <c r="A84" s="1436" t="s">
        <v>207</v>
      </c>
      <c r="B84" s="1436" t="s">
        <v>208</v>
      </c>
      <c r="C84" s="1148" t="s">
        <v>274</v>
      </c>
      <c r="D84" s="1291">
        <f t="shared" si="7"/>
        <v>7925</v>
      </c>
      <c r="E84" s="1218">
        <f t="shared" si="8"/>
        <v>241979.19999999998</v>
      </c>
      <c r="F84" s="1218">
        <f t="shared" si="9"/>
        <v>63064.45</v>
      </c>
      <c r="G84" s="1218">
        <f t="shared" si="10"/>
        <v>60494.799999999996</v>
      </c>
      <c r="H84" s="1219">
        <f t="shared" si="10"/>
        <v>2569.65</v>
      </c>
      <c r="I84" s="1452">
        <v>0</v>
      </c>
      <c r="J84" s="1452">
        <v>0</v>
      </c>
      <c r="K84" s="1452">
        <v>241979.19999999998</v>
      </c>
      <c r="L84" s="1452">
        <v>60494.799999999996</v>
      </c>
      <c r="M84" s="1452">
        <v>0</v>
      </c>
      <c r="N84" s="1453">
        <v>302474</v>
      </c>
      <c r="O84" s="1454">
        <v>0</v>
      </c>
      <c r="P84" s="1455">
        <v>0</v>
      </c>
      <c r="Q84" s="1455">
        <v>0</v>
      </c>
      <c r="R84" s="1455">
        <v>0</v>
      </c>
      <c r="S84" s="1455">
        <v>2569.65</v>
      </c>
      <c r="T84" s="1456">
        <v>2569.65</v>
      </c>
      <c r="U84" s="1454">
        <v>7925</v>
      </c>
      <c r="V84" s="1455">
        <v>0</v>
      </c>
      <c r="W84" s="1455">
        <v>0</v>
      </c>
      <c r="X84" s="1455">
        <v>0</v>
      </c>
      <c r="Y84" s="1455">
        <v>0</v>
      </c>
      <c r="Z84" s="1456">
        <v>7925</v>
      </c>
      <c r="AA84" s="1449"/>
      <c r="AB84" s="1450"/>
      <c r="AC84" s="1450"/>
      <c r="AD84" s="1450"/>
      <c r="AE84" s="1450"/>
      <c r="AF84" s="1451"/>
    </row>
    <row r="85" spans="1:32" s="1315" customFormat="1">
      <c r="A85" s="1436" t="s">
        <v>209</v>
      </c>
      <c r="B85" s="1436" t="s">
        <v>210</v>
      </c>
      <c r="C85" s="1148" t="s">
        <v>275</v>
      </c>
      <c r="D85" s="1291">
        <f t="shared" si="7"/>
        <v>0</v>
      </c>
      <c r="E85" s="1218">
        <f t="shared" si="8"/>
        <v>291444</v>
      </c>
      <c r="F85" s="1218">
        <f t="shared" si="9"/>
        <v>72861</v>
      </c>
      <c r="G85" s="1218">
        <f t="shared" si="10"/>
        <v>72861</v>
      </c>
      <c r="H85" s="1219">
        <f t="shared" si="10"/>
        <v>0</v>
      </c>
      <c r="I85" s="1452">
        <v>0</v>
      </c>
      <c r="J85" s="1452">
        <v>0</v>
      </c>
      <c r="K85" s="1452">
        <v>291444</v>
      </c>
      <c r="L85" s="1452">
        <v>72861</v>
      </c>
      <c r="M85" s="1452">
        <v>0</v>
      </c>
      <c r="N85" s="1453">
        <v>364305</v>
      </c>
      <c r="O85" s="1449"/>
      <c r="P85" s="1450"/>
      <c r="Q85" s="1450"/>
      <c r="R85" s="1450"/>
      <c r="S85" s="1450"/>
      <c r="T85" s="1451"/>
      <c r="U85" s="1449"/>
      <c r="V85" s="1450"/>
      <c r="W85" s="1450"/>
      <c r="X85" s="1450"/>
      <c r="Y85" s="1450"/>
      <c r="Z85" s="1451"/>
      <c r="AA85" s="1449"/>
      <c r="AB85" s="1450"/>
      <c r="AC85" s="1450"/>
      <c r="AD85" s="1450"/>
      <c r="AE85" s="1450"/>
      <c r="AF85" s="1451"/>
    </row>
    <row r="86" spans="1:32" s="1315" customFormat="1">
      <c r="A86" s="1436" t="s">
        <v>211</v>
      </c>
      <c r="B86" s="1436" t="s">
        <v>212</v>
      </c>
      <c r="C86" s="1148" t="s">
        <v>275</v>
      </c>
      <c r="D86" s="1291">
        <f t="shared" si="7"/>
        <v>0</v>
      </c>
      <c r="E86" s="1218">
        <f t="shared" si="8"/>
        <v>206866.4</v>
      </c>
      <c r="F86" s="1218">
        <f t="shared" si="9"/>
        <v>51716.6</v>
      </c>
      <c r="G86" s="1218">
        <f t="shared" si="10"/>
        <v>51716.6</v>
      </c>
      <c r="H86" s="1219">
        <f t="shared" si="10"/>
        <v>0</v>
      </c>
      <c r="I86" s="1452">
        <v>0</v>
      </c>
      <c r="J86" s="1452">
        <v>0</v>
      </c>
      <c r="K86" s="1452">
        <v>206866.4</v>
      </c>
      <c r="L86" s="1452">
        <v>51716.6</v>
      </c>
      <c r="M86" s="1452">
        <v>0</v>
      </c>
      <c r="N86" s="1453">
        <v>258583</v>
      </c>
      <c r="O86" s="1449"/>
      <c r="P86" s="1450"/>
      <c r="Q86" s="1450"/>
      <c r="R86" s="1450"/>
      <c r="S86" s="1450"/>
      <c r="T86" s="1451"/>
      <c r="U86" s="1449"/>
      <c r="V86" s="1450"/>
      <c r="W86" s="1450"/>
      <c r="X86" s="1450"/>
      <c r="Y86" s="1450"/>
      <c r="Z86" s="1451"/>
      <c r="AA86" s="1449"/>
      <c r="AB86" s="1450"/>
      <c r="AC86" s="1450"/>
      <c r="AD86" s="1450"/>
      <c r="AE86" s="1450"/>
      <c r="AF86" s="1451"/>
    </row>
    <row r="87" spans="1:32" s="1315" customFormat="1">
      <c r="A87" s="1436" t="s">
        <v>213</v>
      </c>
      <c r="B87" s="1436" t="s">
        <v>214</v>
      </c>
      <c r="C87" s="1148" t="s">
        <v>274</v>
      </c>
      <c r="D87" s="1291">
        <f t="shared" si="7"/>
        <v>0</v>
      </c>
      <c r="E87" s="1218">
        <f t="shared" si="8"/>
        <v>226932.8</v>
      </c>
      <c r="F87" s="1218">
        <f t="shared" si="9"/>
        <v>56733.2</v>
      </c>
      <c r="G87" s="1218">
        <f t="shared" si="10"/>
        <v>56733.2</v>
      </c>
      <c r="H87" s="1219">
        <f t="shared" si="10"/>
        <v>0</v>
      </c>
      <c r="I87" s="1452">
        <v>0</v>
      </c>
      <c r="J87" s="1452">
        <v>0</v>
      </c>
      <c r="K87" s="1452">
        <v>226932.8</v>
      </c>
      <c r="L87" s="1452">
        <v>56733.2</v>
      </c>
      <c r="M87" s="1452">
        <v>0</v>
      </c>
      <c r="N87" s="1453">
        <v>283666</v>
      </c>
      <c r="O87" s="1449"/>
      <c r="P87" s="1450"/>
      <c r="Q87" s="1450"/>
      <c r="R87" s="1450"/>
      <c r="S87" s="1450"/>
      <c r="T87" s="1451"/>
      <c r="U87" s="1449"/>
      <c r="V87" s="1450"/>
      <c r="W87" s="1450"/>
      <c r="X87" s="1450"/>
      <c r="Y87" s="1450"/>
      <c r="Z87" s="1451"/>
      <c r="AA87" s="1449"/>
      <c r="AB87" s="1450"/>
      <c r="AC87" s="1450"/>
      <c r="AD87" s="1450"/>
      <c r="AE87" s="1450"/>
      <c r="AF87" s="1451"/>
    </row>
    <row r="88" spans="1:32" s="1315" customFormat="1">
      <c r="A88" s="1436" t="s">
        <v>215</v>
      </c>
      <c r="B88" s="1436" t="s">
        <v>216</v>
      </c>
      <c r="C88" s="1148" t="s">
        <v>275</v>
      </c>
      <c r="D88" s="1291">
        <f t="shared" si="7"/>
        <v>0</v>
      </c>
      <c r="E88" s="1218">
        <f t="shared" si="8"/>
        <v>248094.4</v>
      </c>
      <c r="F88" s="1218">
        <f t="shared" si="9"/>
        <v>62023.6</v>
      </c>
      <c r="G88" s="1218">
        <f t="shared" si="10"/>
        <v>62023.6</v>
      </c>
      <c r="H88" s="1219">
        <f t="shared" si="10"/>
        <v>0</v>
      </c>
      <c r="I88" s="1452">
        <v>0</v>
      </c>
      <c r="J88" s="1452">
        <v>0</v>
      </c>
      <c r="K88" s="1452">
        <v>248094.4</v>
      </c>
      <c r="L88" s="1452">
        <v>62023.6</v>
      </c>
      <c r="M88" s="1452">
        <v>0</v>
      </c>
      <c r="N88" s="1453">
        <v>310118</v>
      </c>
      <c r="O88" s="1449"/>
      <c r="P88" s="1450"/>
      <c r="Q88" s="1450"/>
      <c r="R88" s="1450"/>
      <c r="S88" s="1450"/>
      <c r="T88" s="1451"/>
      <c r="U88" s="1449"/>
      <c r="V88" s="1450"/>
      <c r="W88" s="1450"/>
      <c r="X88" s="1450"/>
      <c r="Y88" s="1450"/>
      <c r="Z88" s="1451"/>
      <c r="AA88" s="1449"/>
      <c r="AB88" s="1450"/>
      <c r="AC88" s="1450"/>
      <c r="AD88" s="1450"/>
      <c r="AE88" s="1450"/>
      <c r="AF88" s="1451"/>
    </row>
    <row r="89" spans="1:32" s="1315" customFormat="1">
      <c r="A89" s="1436" t="s">
        <v>217</v>
      </c>
      <c r="B89" s="1436" t="s">
        <v>218</v>
      </c>
      <c r="C89" s="1148" t="s">
        <v>271</v>
      </c>
      <c r="D89" s="1291">
        <f t="shared" si="7"/>
        <v>0</v>
      </c>
      <c r="E89" s="1218">
        <f t="shared" si="8"/>
        <v>52608</v>
      </c>
      <c r="F89" s="1218">
        <f t="shared" si="9"/>
        <v>13152</v>
      </c>
      <c r="G89" s="1218">
        <f t="shared" si="10"/>
        <v>13152</v>
      </c>
      <c r="H89" s="1219">
        <f t="shared" si="10"/>
        <v>0</v>
      </c>
      <c r="I89" s="1452">
        <v>0</v>
      </c>
      <c r="J89" s="1452">
        <v>0</v>
      </c>
      <c r="K89" s="1452">
        <v>52608</v>
      </c>
      <c r="L89" s="1452">
        <v>13152</v>
      </c>
      <c r="M89" s="1452">
        <v>0</v>
      </c>
      <c r="N89" s="1453">
        <v>65760</v>
      </c>
      <c r="O89" s="1449"/>
      <c r="P89" s="1450"/>
      <c r="Q89" s="1450"/>
      <c r="R89" s="1450"/>
      <c r="S89" s="1450"/>
      <c r="T89" s="1451"/>
      <c r="U89" s="1449"/>
      <c r="V89" s="1450"/>
      <c r="W89" s="1450"/>
      <c r="X89" s="1450"/>
      <c r="Y89" s="1450"/>
      <c r="Z89" s="1451"/>
      <c r="AA89" s="1449"/>
      <c r="AB89" s="1450"/>
      <c r="AC89" s="1450"/>
      <c r="AD89" s="1450"/>
      <c r="AE89" s="1450"/>
      <c r="AF89" s="1451"/>
    </row>
    <row r="90" spans="1:32" s="1315" customFormat="1">
      <c r="A90" s="1436" t="s">
        <v>219</v>
      </c>
      <c r="B90" s="1436" t="s">
        <v>220</v>
      </c>
      <c r="C90" s="1148" t="s">
        <v>274</v>
      </c>
      <c r="D90" s="1291">
        <f t="shared" si="7"/>
        <v>3828</v>
      </c>
      <c r="E90" s="1218">
        <f t="shared" si="8"/>
        <v>152028.79999999999</v>
      </c>
      <c r="F90" s="1218">
        <f t="shared" si="9"/>
        <v>38007.199999999997</v>
      </c>
      <c r="G90" s="1218">
        <f t="shared" si="10"/>
        <v>38007.199999999997</v>
      </c>
      <c r="H90" s="1219">
        <f t="shared" si="10"/>
        <v>0</v>
      </c>
      <c r="I90" s="1452">
        <v>0</v>
      </c>
      <c r="J90" s="1452">
        <v>0</v>
      </c>
      <c r="K90" s="1452">
        <v>152028.79999999999</v>
      </c>
      <c r="L90" s="1452">
        <v>38007.199999999997</v>
      </c>
      <c r="M90" s="1452">
        <v>0</v>
      </c>
      <c r="N90" s="1453">
        <v>190036</v>
      </c>
      <c r="O90" s="1449"/>
      <c r="P90" s="1450"/>
      <c r="Q90" s="1450"/>
      <c r="R90" s="1450"/>
      <c r="S90" s="1450"/>
      <c r="T90" s="1451"/>
      <c r="U90" s="1454">
        <v>3828</v>
      </c>
      <c r="V90" s="1455">
        <v>0</v>
      </c>
      <c r="W90" s="1455">
        <v>0</v>
      </c>
      <c r="X90" s="1455">
        <v>0</v>
      </c>
      <c r="Y90" s="1455">
        <v>0</v>
      </c>
      <c r="Z90" s="1456">
        <v>3828</v>
      </c>
      <c r="AA90" s="1449"/>
      <c r="AB90" s="1450"/>
      <c r="AC90" s="1450"/>
      <c r="AD90" s="1450"/>
      <c r="AE90" s="1450"/>
      <c r="AF90" s="1451"/>
    </row>
    <row r="91" spans="1:32" s="1315" customFormat="1">
      <c r="A91" s="1436" t="s">
        <v>221</v>
      </c>
      <c r="B91" s="1436" t="s">
        <v>222</v>
      </c>
      <c r="C91" s="1148" t="s">
        <v>274</v>
      </c>
      <c r="D91" s="1291">
        <f t="shared" si="7"/>
        <v>2484</v>
      </c>
      <c r="E91" s="1218">
        <f t="shared" si="8"/>
        <v>48839.199999999997</v>
      </c>
      <c r="F91" s="1218">
        <f t="shared" si="9"/>
        <v>13259.38</v>
      </c>
      <c r="G91" s="1218">
        <f t="shared" si="10"/>
        <v>12209.8</v>
      </c>
      <c r="H91" s="1219">
        <f t="shared" si="10"/>
        <v>1049.58</v>
      </c>
      <c r="I91" s="1452">
        <v>0</v>
      </c>
      <c r="J91" s="1452">
        <v>0</v>
      </c>
      <c r="K91" s="1452">
        <v>48839.199999999997</v>
      </c>
      <c r="L91" s="1452">
        <v>12209.8</v>
      </c>
      <c r="M91" s="1452">
        <v>0</v>
      </c>
      <c r="N91" s="1453">
        <v>61049</v>
      </c>
      <c r="O91" s="1454">
        <v>0</v>
      </c>
      <c r="P91" s="1455">
        <v>0</v>
      </c>
      <c r="Q91" s="1455">
        <v>0</v>
      </c>
      <c r="R91" s="1455">
        <v>0</v>
      </c>
      <c r="S91" s="1455">
        <v>1049.58</v>
      </c>
      <c r="T91" s="1456">
        <v>1049.58</v>
      </c>
      <c r="U91" s="1454">
        <v>2484</v>
      </c>
      <c r="V91" s="1455">
        <v>0</v>
      </c>
      <c r="W91" s="1455">
        <v>0</v>
      </c>
      <c r="X91" s="1455">
        <v>0</v>
      </c>
      <c r="Y91" s="1455">
        <v>0</v>
      </c>
      <c r="Z91" s="1456">
        <v>2484</v>
      </c>
      <c r="AA91" s="1449"/>
      <c r="AB91" s="1450"/>
      <c r="AC91" s="1450"/>
      <c r="AD91" s="1450"/>
      <c r="AE91" s="1450"/>
      <c r="AF91" s="1451"/>
    </row>
    <row r="92" spans="1:32" s="1315" customFormat="1">
      <c r="A92" s="1436" t="s">
        <v>225</v>
      </c>
      <c r="B92" s="1436" t="s">
        <v>226</v>
      </c>
      <c r="C92" s="1148" t="s">
        <v>271</v>
      </c>
      <c r="D92" s="1291">
        <f t="shared" si="7"/>
        <v>0</v>
      </c>
      <c r="E92" s="1218">
        <f t="shared" si="8"/>
        <v>43152.800000000003</v>
      </c>
      <c r="F92" s="1218">
        <f t="shared" si="9"/>
        <v>10788.2</v>
      </c>
      <c r="G92" s="1218">
        <f t="shared" si="10"/>
        <v>10788.2</v>
      </c>
      <c r="H92" s="1219">
        <f t="shared" si="10"/>
        <v>0</v>
      </c>
      <c r="I92" s="1452">
        <v>0</v>
      </c>
      <c r="J92" s="1452">
        <v>0</v>
      </c>
      <c r="K92" s="1452">
        <v>43152.800000000003</v>
      </c>
      <c r="L92" s="1452">
        <v>10788.2</v>
      </c>
      <c r="M92" s="1452">
        <v>0</v>
      </c>
      <c r="N92" s="1453">
        <v>53941</v>
      </c>
      <c r="O92" s="1449"/>
      <c r="P92" s="1450"/>
      <c r="Q92" s="1450"/>
      <c r="R92" s="1450"/>
      <c r="S92" s="1450"/>
      <c r="T92" s="1451"/>
      <c r="U92" s="1449"/>
      <c r="V92" s="1450"/>
      <c r="W92" s="1450"/>
      <c r="X92" s="1450"/>
      <c r="Y92" s="1450"/>
      <c r="Z92" s="1451"/>
      <c r="AA92" s="1449"/>
      <c r="AB92" s="1450"/>
      <c r="AC92" s="1450"/>
      <c r="AD92" s="1450"/>
      <c r="AE92" s="1450"/>
      <c r="AF92" s="1451"/>
    </row>
    <row r="93" spans="1:32" s="1315" customFormat="1">
      <c r="A93" s="1436" t="s">
        <v>227</v>
      </c>
      <c r="B93" s="1436" t="s">
        <v>228</v>
      </c>
      <c r="C93" s="1148" t="s">
        <v>271</v>
      </c>
      <c r="D93" s="1291">
        <f t="shared" si="7"/>
        <v>0</v>
      </c>
      <c r="E93" s="1218">
        <f t="shared" si="8"/>
        <v>48464.920000000006</v>
      </c>
      <c r="F93" s="1218">
        <f t="shared" si="9"/>
        <v>12133.080000000002</v>
      </c>
      <c r="G93" s="1218">
        <f t="shared" si="10"/>
        <v>12133.070000000002</v>
      </c>
      <c r="H93" s="1219">
        <f t="shared" si="10"/>
        <v>0.01</v>
      </c>
      <c r="I93" s="1452">
        <v>0</v>
      </c>
      <c r="J93" s="1452">
        <v>0</v>
      </c>
      <c r="K93" s="1452">
        <v>48416.800000000003</v>
      </c>
      <c r="L93" s="1452">
        <v>12104.2</v>
      </c>
      <c r="M93" s="1452">
        <v>0</v>
      </c>
      <c r="N93" s="1453">
        <v>60521</v>
      </c>
      <c r="O93" s="1454">
        <v>0</v>
      </c>
      <c r="P93" s="1455">
        <v>0</v>
      </c>
      <c r="Q93" s="1455">
        <v>48.12</v>
      </c>
      <c r="R93" s="1455">
        <v>28.87</v>
      </c>
      <c r="S93" s="1455">
        <v>0.01</v>
      </c>
      <c r="T93" s="1456">
        <v>77</v>
      </c>
      <c r="U93" s="1449"/>
      <c r="V93" s="1450"/>
      <c r="W93" s="1450"/>
      <c r="X93" s="1450"/>
      <c r="Y93" s="1450"/>
      <c r="Z93" s="1451"/>
      <c r="AA93" s="1449"/>
      <c r="AB93" s="1450"/>
      <c r="AC93" s="1450"/>
      <c r="AD93" s="1450"/>
      <c r="AE93" s="1450"/>
      <c r="AF93" s="1451"/>
    </row>
    <row r="94" spans="1:32" s="1315" customFormat="1">
      <c r="A94" s="1436" t="s">
        <v>229</v>
      </c>
      <c r="B94" s="1436" t="s">
        <v>230</v>
      </c>
      <c r="C94" s="1148" t="s">
        <v>275</v>
      </c>
      <c r="D94" s="1291">
        <f t="shared" si="7"/>
        <v>0</v>
      </c>
      <c r="E94" s="1218">
        <f t="shared" si="8"/>
        <v>282568.24</v>
      </c>
      <c r="F94" s="1218">
        <f t="shared" si="9"/>
        <v>90629.41</v>
      </c>
      <c r="G94" s="1218">
        <f t="shared" si="10"/>
        <v>70642.06</v>
      </c>
      <c r="H94" s="1219">
        <f t="shared" si="10"/>
        <v>19987.349999999999</v>
      </c>
      <c r="I94" s="1452">
        <v>0</v>
      </c>
      <c r="J94" s="1452">
        <v>0</v>
      </c>
      <c r="K94" s="1452">
        <v>282568.24</v>
      </c>
      <c r="L94" s="1452">
        <v>70642.06</v>
      </c>
      <c r="M94" s="1452">
        <v>0</v>
      </c>
      <c r="N94" s="1453">
        <v>353210.3</v>
      </c>
      <c r="O94" s="1454">
        <v>0</v>
      </c>
      <c r="P94" s="1455">
        <v>0</v>
      </c>
      <c r="Q94" s="1455">
        <v>0</v>
      </c>
      <c r="R94" s="1455">
        <v>0</v>
      </c>
      <c r="S94" s="1455">
        <v>19987.349999999999</v>
      </c>
      <c r="T94" s="1456">
        <v>19987.349999999999</v>
      </c>
      <c r="U94" s="1449"/>
      <c r="V94" s="1450"/>
      <c r="W94" s="1450"/>
      <c r="X94" s="1450"/>
      <c r="Y94" s="1450"/>
      <c r="Z94" s="1451"/>
      <c r="AA94" s="1449"/>
      <c r="AB94" s="1450"/>
      <c r="AC94" s="1450"/>
      <c r="AD94" s="1450"/>
      <c r="AE94" s="1450"/>
      <c r="AF94" s="1451"/>
    </row>
    <row r="95" spans="1:32" s="1315" customFormat="1">
      <c r="A95" s="1436" t="s">
        <v>233</v>
      </c>
      <c r="B95" s="1436" t="s">
        <v>234</v>
      </c>
      <c r="C95" s="1148" t="s">
        <v>274</v>
      </c>
      <c r="D95" s="1291">
        <f t="shared" si="7"/>
        <v>0</v>
      </c>
      <c r="E95" s="1218">
        <f t="shared" si="8"/>
        <v>69461.600000000006</v>
      </c>
      <c r="F95" s="1218">
        <f t="shared" si="9"/>
        <v>17365.400000000001</v>
      </c>
      <c r="G95" s="1218">
        <f t="shared" si="10"/>
        <v>17365.400000000001</v>
      </c>
      <c r="H95" s="1219">
        <f t="shared" si="10"/>
        <v>0</v>
      </c>
      <c r="I95" s="1452">
        <v>0</v>
      </c>
      <c r="J95" s="1452">
        <v>0</v>
      </c>
      <c r="K95" s="1452">
        <v>69461.600000000006</v>
      </c>
      <c r="L95" s="1452">
        <v>17365.400000000001</v>
      </c>
      <c r="M95" s="1452">
        <v>0</v>
      </c>
      <c r="N95" s="1453">
        <v>86827</v>
      </c>
      <c r="O95" s="1449"/>
      <c r="P95" s="1450"/>
      <c r="Q95" s="1450"/>
      <c r="R95" s="1450"/>
      <c r="S95" s="1450"/>
      <c r="T95" s="1451"/>
      <c r="U95" s="1449"/>
      <c r="V95" s="1450"/>
      <c r="W95" s="1450"/>
      <c r="X95" s="1450"/>
      <c r="Y95" s="1450"/>
      <c r="Z95" s="1451"/>
      <c r="AA95" s="1449"/>
      <c r="AB95" s="1450"/>
      <c r="AC95" s="1450"/>
      <c r="AD95" s="1450"/>
      <c r="AE95" s="1450"/>
      <c r="AF95" s="1451"/>
    </row>
    <row r="96" spans="1:32" s="1315" customFormat="1">
      <c r="A96" s="1436" t="s">
        <v>235</v>
      </c>
      <c r="B96" s="1436" t="s">
        <v>236</v>
      </c>
      <c r="C96" s="1148" t="s">
        <v>275</v>
      </c>
      <c r="D96" s="1291">
        <f t="shared" si="7"/>
        <v>0</v>
      </c>
      <c r="E96" s="1218">
        <f t="shared" si="8"/>
        <v>846800.8</v>
      </c>
      <c r="F96" s="1218">
        <f t="shared" si="9"/>
        <v>221871.33000000002</v>
      </c>
      <c r="G96" s="1218">
        <f t="shared" si="10"/>
        <v>211700.2</v>
      </c>
      <c r="H96" s="1219">
        <f t="shared" si="10"/>
        <v>10171.129999999999</v>
      </c>
      <c r="I96" s="1452">
        <v>0</v>
      </c>
      <c r="J96" s="1452">
        <v>0</v>
      </c>
      <c r="K96" s="1452">
        <v>846800.8</v>
      </c>
      <c r="L96" s="1452">
        <v>211700.2</v>
      </c>
      <c r="M96" s="1452">
        <v>0</v>
      </c>
      <c r="N96" s="1453">
        <v>1058501</v>
      </c>
      <c r="O96" s="1454">
        <v>0</v>
      </c>
      <c r="P96" s="1455">
        <v>0</v>
      </c>
      <c r="Q96" s="1455">
        <v>0</v>
      </c>
      <c r="R96" s="1455">
        <v>0</v>
      </c>
      <c r="S96" s="1455">
        <v>10171.129999999999</v>
      </c>
      <c r="T96" s="1456">
        <v>10171.129999999999</v>
      </c>
      <c r="U96" s="1449"/>
      <c r="V96" s="1450"/>
      <c r="W96" s="1450"/>
      <c r="X96" s="1450"/>
      <c r="Y96" s="1450"/>
      <c r="Z96" s="1451"/>
      <c r="AA96" s="1449"/>
      <c r="AB96" s="1450"/>
      <c r="AC96" s="1450"/>
      <c r="AD96" s="1450"/>
      <c r="AE96" s="1450"/>
      <c r="AF96" s="1451"/>
    </row>
    <row r="97" spans="1:32" s="1315" customFormat="1">
      <c r="A97" s="1436" t="s">
        <v>237</v>
      </c>
      <c r="B97" s="1436" t="s">
        <v>238</v>
      </c>
      <c r="C97" s="1148" t="s">
        <v>273</v>
      </c>
      <c r="D97" s="1291">
        <f t="shared" si="7"/>
        <v>0</v>
      </c>
      <c r="E97" s="1218">
        <f t="shared" si="8"/>
        <v>36747.550000000003</v>
      </c>
      <c r="F97" s="1218">
        <f t="shared" si="9"/>
        <v>9186.8700000000008</v>
      </c>
      <c r="G97" s="1218">
        <f t="shared" si="10"/>
        <v>9186.8700000000008</v>
      </c>
      <c r="H97" s="1219">
        <f t="shared" si="10"/>
        <v>0</v>
      </c>
      <c r="I97" s="1452">
        <v>0</v>
      </c>
      <c r="J97" s="1452">
        <v>0</v>
      </c>
      <c r="K97" s="1452">
        <v>36747.550000000003</v>
      </c>
      <c r="L97" s="1452">
        <v>9186.8700000000008</v>
      </c>
      <c r="M97" s="1452">
        <v>0</v>
      </c>
      <c r="N97" s="1453">
        <v>45934.42</v>
      </c>
      <c r="O97" s="1449"/>
      <c r="P97" s="1450"/>
      <c r="Q97" s="1450"/>
      <c r="R97" s="1450"/>
      <c r="S97" s="1450"/>
      <c r="T97" s="1451"/>
      <c r="U97" s="1449"/>
      <c r="V97" s="1450"/>
      <c r="W97" s="1450"/>
      <c r="X97" s="1450"/>
      <c r="Y97" s="1450"/>
      <c r="Z97" s="1451"/>
      <c r="AA97" s="1449"/>
      <c r="AB97" s="1450"/>
      <c r="AC97" s="1450"/>
      <c r="AD97" s="1450"/>
      <c r="AE97" s="1450"/>
      <c r="AF97" s="1451"/>
    </row>
    <row r="98" spans="1:32" s="1315" customFormat="1">
      <c r="A98" s="1436" t="s">
        <v>243</v>
      </c>
      <c r="B98" s="1436" t="s">
        <v>244</v>
      </c>
      <c r="C98" s="1148" t="s">
        <v>275</v>
      </c>
      <c r="D98" s="1291">
        <f t="shared" si="7"/>
        <v>0</v>
      </c>
      <c r="E98" s="1218">
        <f t="shared" si="8"/>
        <v>180672.8</v>
      </c>
      <c r="F98" s="1218">
        <f t="shared" si="9"/>
        <v>45168.2</v>
      </c>
      <c r="G98" s="1218">
        <f t="shared" si="10"/>
        <v>45168.2</v>
      </c>
      <c r="H98" s="1219">
        <f t="shared" si="10"/>
        <v>0</v>
      </c>
      <c r="I98" s="1452">
        <v>0</v>
      </c>
      <c r="J98" s="1452">
        <v>0</v>
      </c>
      <c r="K98" s="1452">
        <v>180672.8</v>
      </c>
      <c r="L98" s="1452">
        <v>45168.2</v>
      </c>
      <c r="M98" s="1452">
        <v>0</v>
      </c>
      <c r="N98" s="1453">
        <v>225841</v>
      </c>
      <c r="O98" s="1449"/>
      <c r="P98" s="1450"/>
      <c r="Q98" s="1450"/>
      <c r="R98" s="1450"/>
      <c r="S98" s="1450"/>
      <c r="T98" s="1451"/>
      <c r="U98" s="1449"/>
      <c r="V98" s="1450"/>
      <c r="W98" s="1450"/>
      <c r="X98" s="1450"/>
      <c r="Y98" s="1450"/>
      <c r="Z98" s="1451"/>
      <c r="AA98" s="1449"/>
      <c r="AB98" s="1450"/>
      <c r="AC98" s="1450"/>
      <c r="AD98" s="1450"/>
      <c r="AE98" s="1450"/>
      <c r="AF98" s="1451"/>
    </row>
    <row r="99" spans="1:32" s="1315" customFormat="1">
      <c r="A99" s="1436" t="s">
        <v>245</v>
      </c>
      <c r="B99" s="1436" t="s">
        <v>246</v>
      </c>
      <c r="C99" s="1148" t="s">
        <v>275</v>
      </c>
      <c r="D99" s="1291">
        <f t="shared" si="7"/>
        <v>0</v>
      </c>
      <c r="E99" s="1218">
        <f t="shared" si="8"/>
        <v>136134.39999999999</v>
      </c>
      <c r="F99" s="1218">
        <f t="shared" si="9"/>
        <v>35077.599999999999</v>
      </c>
      <c r="G99" s="1218">
        <f t="shared" si="10"/>
        <v>34033.599999999999</v>
      </c>
      <c r="H99" s="1219">
        <f t="shared" si="10"/>
        <v>1044</v>
      </c>
      <c r="I99" s="1452">
        <v>0</v>
      </c>
      <c r="J99" s="1452">
        <v>0</v>
      </c>
      <c r="K99" s="1452">
        <v>136134.39999999999</v>
      </c>
      <c r="L99" s="1452">
        <v>34033.599999999999</v>
      </c>
      <c r="M99" s="1452">
        <v>0</v>
      </c>
      <c r="N99" s="1453">
        <v>170168</v>
      </c>
      <c r="O99" s="1454">
        <v>0</v>
      </c>
      <c r="P99" s="1455">
        <v>0</v>
      </c>
      <c r="Q99" s="1455">
        <v>0</v>
      </c>
      <c r="R99" s="1455">
        <v>0</v>
      </c>
      <c r="S99" s="1455">
        <v>1044</v>
      </c>
      <c r="T99" s="1456">
        <v>1044</v>
      </c>
      <c r="U99" s="1449"/>
      <c r="V99" s="1450"/>
      <c r="W99" s="1450"/>
      <c r="X99" s="1450"/>
      <c r="Y99" s="1450"/>
      <c r="Z99" s="1451"/>
      <c r="AA99" s="1449"/>
      <c r="AB99" s="1450"/>
      <c r="AC99" s="1450"/>
      <c r="AD99" s="1450"/>
      <c r="AE99" s="1450"/>
      <c r="AF99" s="1451"/>
    </row>
    <row r="100" spans="1:32" s="1315" customFormat="1">
      <c r="A100" s="1436" t="s">
        <v>247</v>
      </c>
      <c r="B100" s="1436" t="s">
        <v>332</v>
      </c>
      <c r="C100" s="1148" t="s">
        <v>271</v>
      </c>
      <c r="D100" s="1291">
        <f t="shared" si="7"/>
        <v>0</v>
      </c>
      <c r="E100" s="1218">
        <f t="shared" si="8"/>
        <v>110472.01</v>
      </c>
      <c r="F100" s="1218">
        <f t="shared" si="9"/>
        <v>28385.789999999997</v>
      </c>
      <c r="G100" s="1218">
        <f t="shared" si="10"/>
        <v>28385.759999999998</v>
      </c>
      <c r="H100" s="1219">
        <f t="shared" si="10"/>
        <v>0.03</v>
      </c>
      <c r="I100" s="1452">
        <v>0</v>
      </c>
      <c r="J100" s="1452">
        <v>0</v>
      </c>
      <c r="K100" s="1452">
        <v>108278.39999999999</v>
      </c>
      <c r="L100" s="1452">
        <v>27069.599999999999</v>
      </c>
      <c r="M100" s="1452">
        <v>0</v>
      </c>
      <c r="N100" s="1453">
        <v>135348</v>
      </c>
      <c r="O100" s="1454">
        <v>0</v>
      </c>
      <c r="P100" s="1455">
        <v>0</v>
      </c>
      <c r="Q100" s="1455">
        <v>2193.61</v>
      </c>
      <c r="R100" s="1455">
        <v>1316.16</v>
      </c>
      <c r="S100" s="1455">
        <v>0.03</v>
      </c>
      <c r="T100" s="1456">
        <v>3509.8</v>
      </c>
      <c r="U100" s="1449"/>
      <c r="V100" s="1450"/>
      <c r="W100" s="1450"/>
      <c r="X100" s="1450"/>
      <c r="Y100" s="1450"/>
      <c r="Z100" s="1451"/>
      <c r="AA100" s="1449"/>
      <c r="AB100" s="1450"/>
      <c r="AC100" s="1450"/>
      <c r="AD100" s="1450"/>
      <c r="AE100" s="1450"/>
      <c r="AF100" s="1451"/>
    </row>
    <row r="101" spans="1:32" s="1315" customFormat="1">
      <c r="A101" s="1436" t="s">
        <v>14</v>
      </c>
      <c r="B101" s="1436" t="s">
        <v>15</v>
      </c>
      <c r="C101" s="1148" t="s">
        <v>274</v>
      </c>
      <c r="D101" s="1291">
        <f t="shared" si="7"/>
        <v>93732</v>
      </c>
      <c r="E101" s="1218">
        <f t="shared" si="8"/>
        <v>209130.53</v>
      </c>
      <c r="F101" s="1218">
        <f t="shared" si="9"/>
        <v>70342.81</v>
      </c>
      <c r="G101" s="1218">
        <f t="shared" si="10"/>
        <v>60639.839999999997</v>
      </c>
      <c r="H101" s="1219">
        <f t="shared" si="10"/>
        <v>9702.9699999999993</v>
      </c>
      <c r="I101" s="1452">
        <v>0</v>
      </c>
      <c r="J101" s="1452">
        <v>0</v>
      </c>
      <c r="K101" s="1452">
        <v>185252.8</v>
      </c>
      <c r="L101" s="1452">
        <v>46313.2</v>
      </c>
      <c r="M101" s="1452">
        <v>9703</v>
      </c>
      <c r="N101" s="1453">
        <v>241269</v>
      </c>
      <c r="O101" s="1454">
        <v>0</v>
      </c>
      <c r="P101" s="1455">
        <v>0</v>
      </c>
      <c r="Q101" s="1455">
        <v>23877.73</v>
      </c>
      <c r="R101" s="1455">
        <v>14326.64</v>
      </c>
      <c r="S101" s="1455">
        <v>-0.03</v>
      </c>
      <c r="T101" s="1456">
        <v>38204.339999999997</v>
      </c>
      <c r="U101" s="1454">
        <v>93732</v>
      </c>
      <c r="V101" s="1455">
        <v>0</v>
      </c>
      <c r="W101" s="1455">
        <v>0</v>
      </c>
      <c r="X101" s="1455">
        <v>0</v>
      </c>
      <c r="Y101" s="1455">
        <v>0</v>
      </c>
      <c r="Z101" s="1456">
        <v>93732</v>
      </c>
      <c r="AA101" s="1449"/>
      <c r="AB101" s="1450"/>
      <c r="AC101" s="1450"/>
      <c r="AD101" s="1450"/>
      <c r="AE101" s="1450"/>
      <c r="AF101" s="1451"/>
    </row>
    <row r="102" spans="1:32" s="1315" customFormat="1">
      <c r="A102" s="1436" t="s">
        <v>35</v>
      </c>
      <c r="B102" s="1436" t="s">
        <v>36</v>
      </c>
      <c r="C102" s="1148" t="s">
        <v>275</v>
      </c>
      <c r="D102" s="1291">
        <f t="shared" si="7"/>
        <v>0</v>
      </c>
      <c r="E102" s="1218">
        <f t="shared" si="8"/>
        <v>239266.4</v>
      </c>
      <c r="F102" s="1218">
        <f t="shared" si="9"/>
        <v>59816.6</v>
      </c>
      <c r="G102" s="1218">
        <f t="shared" si="10"/>
        <v>59816.6</v>
      </c>
      <c r="H102" s="1219">
        <f t="shared" si="10"/>
        <v>0</v>
      </c>
      <c r="I102" s="1452">
        <v>0</v>
      </c>
      <c r="J102" s="1452">
        <v>0</v>
      </c>
      <c r="K102" s="1452">
        <v>239266.4</v>
      </c>
      <c r="L102" s="1452">
        <v>59816.6</v>
      </c>
      <c r="M102" s="1452">
        <v>0</v>
      </c>
      <c r="N102" s="1453">
        <v>299083</v>
      </c>
      <c r="O102" s="1449"/>
      <c r="P102" s="1450"/>
      <c r="Q102" s="1450"/>
      <c r="R102" s="1450"/>
      <c r="S102" s="1450"/>
      <c r="T102" s="1451"/>
      <c r="U102" s="1449"/>
      <c r="V102" s="1450"/>
      <c r="W102" s="1450"/>
      <c r="X102" s="1450"/>
      <c r="Y102" s="1450"/>
      <c r="Z102" s="1451"/>
      <c r="AA102" s="1449"/>
      <c r="AB102" s="1450"/>
      <c r="AC102" s="1450"/>
      <c r="AD102" s="1450"/>
      <c r="AE102" s="1450"/>
      <c r="AF102" s="1451"/>
    </row>
    <row r="103" spans="1:32" s="1315" customFormat="1">
      <c r="A103" s="1436" t="s">
        <v>53</v>
      </c>
      <c r="B103" s="1436" t="s">
        <v>54</v>
      </c>
      <c r="C103" s="1148" t="s">
        <v>272</v>
      </c>
      <c r="D103" s="1291">
        <f t="shared" si="7"/>
        <v>15984.12</v>
      </c>
      <c r="E103" s="1218">
        <f t="shared" si="8"/>
        <v>261596</v>
      </c>
      <c r="F103" s="1218">
        <f t="shared" si="9"/>
        <v>66869.450000000012</v>
      </c>
      <c r="G103" s="1218">
        <f t="shared" si="10"/>
        <v>66869.48000000001</v>
      </c>
      <c r="H103" s="1219">
        <f t="shared" si="10"/>
        <v>-0.03</v>
      </c>
      <c r="I103" s="1452">
        <v>0</v>
      </c>
      <c r="J103" s="1452">
        <v>0</v>
      </c>
      <c r="K103" s="1452">
        <v>257394.64</v>
      </c>
      <c r="L103" s="1452">
        <v>64348.66</v>
      </c>
      <c r="M103" s="1452">
        <v>0</v>
      </c>
      <c r="N103" s="1453">
        <v>321743.3</v>
      </c>
      <c r="O103" s="1454">
        <v>0</v>
      </c>
      <c r="P103" s="1455">
        <v>0</v>
      </c>
      <c r="Q103" s="1455">
        <v>4201.3599999999997</v>
      </c>
      <c r="R103" s="1455">
        <v>2520.8200000000002</v>
      </c>
      <c r="S103" s="1455">
        <v>-0.03</v>
      </c>
      <c r="T103" s="1456">
        <v>6722.15</v>
      </c>
      <c r="U103" s="1454">
        <v>15984.12</v>
      </c>
      <c r="V103" s="1455">
        <v>0</v>
      </c>
      <c r="W103" s="1455">
        <v>0</v>
      </c>
      <c r="X103" s="1455">
        <v>0</v>
      </c>
      <c r="Y103" s="1455">
        <v>0</v>
      </c>
      <c r="Z103" s="1456">
        <v>15984.12</v>
      </c>
      <c r="AA103" s="1449"/>
      <c r="AB103" s="1450"/>
      <c r="AC103" s="1450"/>
      <c r="AD103" s="1450"/>
      <c r="AE103" s="1450"/>
      <c r="AF103" s="1451"/>
    </row>
    <row r="104" spans="1:32" s="1315" customFormat="1">
      <c r="A104" s="1436" t="s">
        <v>55</v>
      </c>
      <c r="B104" s="1436" t="s">
        <v>56</v>
      </c>
      <c r="C104" s="1148" t="s">
        <v>271</v>
      </c>
      <c r="D104" s="1291">
        <f t="shared" si="7"/>
        <v>519</v>
      </c>
      <c r="E104" s="1218">
        <f t="shared" si="8"/>
        <v>564343.62</v>
      </c>
      <c r="F104" s="1218">
        <f t="shared" si="9"/>
        <v>150449.38</v>
      </c>
      <c r="G104" s="1218">
        <f t="shared" si="10"/>
        <v>141007.37</v>
      </c>
      <c r="H104" s="1219">
        <f t="shared" si="10"/>
        <v>9442.01</v>
      </c>
      <c r="I104" s="1452">
        <v>0</v>
      </c>
      <c r="J104" s="1452">
        <v>0</v>
      </c>
      <c r="K104" s="1452">
        <v>564568</v>
      </c>
      <c r="L104" s="1452">
        <v>141142</v>
      </c>
      <c r="M104" s="1452">
        <v>9442</v>
      </c>
      <c r="N104" s="1453">
        <v>715152</v>
      </c>
      <c r="O104" s="1454">
        <v>0</v>
      </c>
      <c r="P104" s="1455">
        <v>0</v>
      </c>
      <c r="Q104" s="1455">
        <v>-224.38</v>
      </c>
      <c r="R104" s="1455">
        <v>-134.63</v>
      </c>
      <c r="S104" s="1455">
        <v>0.01</v>
      </c>
      <c r="T104" s="1456">
        <v>-359</v>
      </c>
      <c r="U104" s="1454">
        <v>519</v>
      </c>
      <c r="V104" s="1455">
        <v>0</v>
      </c>
      <c r="W104" s="1455">
        <v>0</v>
      </c>
      <c r="X104" s="1455">
        <v>0</v>
      </c>
      <c r="Y104" s="1455">
        <v>0</v>
      </c>
      <c r="Z104" s="1456">
        <v>519</v>
      </c>
      <c r="AA104" s="1449"/>
      <c r="AB104" s="1450"/>
      <c r="AC104" s="1450"/>
      <c r="AD104" s="1450"/>
      <c r="AE104" s="1450"/>
      <c r="AF104" s="1451"/>
    </row>
    <row r="105" spans="1:32" s="1315" customFormat="1">
      <c r="A105" s="1436" t="s">
        <v>67</v>
      </c>
      <c r="B105" s="1436" t="s">
        <v>68</v>
      </c>
      <c r="C105" s="1148" t="s">
        <v>272</v>
      </c>
      <c r="D105" s="1291">
        <f t="shared" si="7"/>
        <v>0</v>
      </c>
      <c r="E105" s="1218">
        <f t="shared" si="8"/>
        <v>257069.6</v>
      </c>
      <c r="F105" s="1218">
        <f t="shared" si="9"/>
        <v>64267.4</v>
      </c>
      <c r="G105" s="1218">
        <f t="shared" si="10"/>
        <v>64267.4</v>
      </c>
      <c r="H105" s="1219">
        <f t="shared" si="10"/>
        <v>0</v>
      </c>
      <c r="I105" s="1452">
        <v>0</v>
      </c>
      <c r="J105" s="1452">
        <v>0</v>
      </c>
      <c r="K105" s="1452">
        <v>257069.6</v>
      </c>
      <c r="L105" s="1452">
        <v>64267.4</v>
      </c>
      <c r="M105" s="1452">
        <v>0</v>
      </c>
      <c r="N105" s="1453">
        <v>321337</v>
      </c>
      <c r="O105" s="1449"/>
      <c r="P105" s="1450"/>
      <c r="Q105" s="1450"/>
      <c r="R105" s="1450"/>
      <c r="S105" s="1450"/>
      <c r="T105" s="1451"/>
      <c r="U105" s="1449"/>
      <c r="V105" s="1450"/>
      <c r="W105" s="1450"/>
      <c r="X105" s="1450"/>
      <c r="Y105" s="1450"/>
      <c r="Z105" s="1451"/>
      <c r="AA105" s="1449"/>
      <c r="AB105" s="1450"/>
      <c r="AC105" s="1450"/>
      <c r="AD105" s="1450"/>
      <c r="AE105" s="1450"/>
      <c r="AF105" s="1451"/>
    </row>
    <row r="106" spans="1:32" s="1315" customFormat="1">
      <c r="A106" s="1436" t="s">
        <v>83</v>
      </c>
      <c r="B106" s="1436" t="s">
        <v>333</v>
      </c>
      <c r="C106" s="1148" t="s">
        <v>271</v>
      </c>
      <c r="D106" s="1291">
        <f t="shared" si="7"/>
        <v>0</v>
      </c>
      <c r="E106" s="1218">
        <f t="shared" si="8"/>
        <v>38302.400000000001</v>
      </c>
      <c r="F106" s="1218">
        <f t="shared" si="9"/>
        <v>9575.6</v>
      </c>
      <c r="G106" s="1218">
        <f t="shared" si="10"/>
        <v>9575.6</v>
      </c>
      <c r="H106" s="1219">
        <f t="shared" si="10"/>
        <v>0</v>
      </c>
      <c r="I106" s="1452">
        <v>0</v>
      </c>
      <c r="J106" s="1452">
        <v>0</v>
      </c>
      <c r="K106" s="1452">
        <v>38302.400000000001</v>
      </c>
      <c r="L106" s="1452">
        <v>9575.6</v>
      </c>
      <c r="M106" s="1452">
        <v>0</v>
      </c>
      <c r="N106" s="1453">
        <v>47878</v>
      </c>
      <c r="O106" s="1449"/>
      <c r="P106" s="1450"/>
      <c r="Q106" s="1450"/>
      <c r="R106" s="1450"/>
      <c r="S106" s="1450"/>
      <c r="T106" s="1451"/>
      <c r="U106" s="1449"/>
      <c r="V106" s="1450"/>
      <c r="W106" s="1450"/>
      <c r="X106" s="1450"/>
      <c r="Y106" s="1450"/>
      <c r="Z106" s="1451"/>
      <c r="AA106" s="1449"/>
      <c r="AB106" s="1450"/>
      <c r="AC106" s="1450"/>
      <c r="AD106" s="1450"/>
      <c r="AE106" s="1450"/>
      <c r="AF106" s="1451"/>
    </row>
    <row r="107" spans="1:32" s="1315" customFormat="1">
      <c r="A107" s="1436" t="s">
        <v>89</v>
      </c>
      <c r="B107" s="1436" t="s">
        <v>90</v>
      </c>
      <c r="C107" s="1148" t="s">
        <v>274</v>
      </c>
      <c r="D107" s="1291">
        <f t="shared" si="7"/>
        <v>0</v>
      </c>
      <c r="E107" s="1218">
        <f t="shared" si="8"/>
        <v>82612</v>
      </c>
      <c r="F107" s="1218">
        <f t="shared" si="9"/>
        <v>20653</v>
      </c>
      <c r="G107" s="1218">
        <f t="shared" si="10"/>
        <v>20653</v>
      </c>
      <c r="H107" s="1219">
        <f t="shared" si="10"/>
        <v>0</v>
      </c>
      <c r="I107" s="1452">
        <v>0</v>
      </c>
      <c r="J107" s="1452">
        <v>0</v>
      </c>
      <c r="K107" s="1452">
        <v>82612</v>
      </c>
      <c r="L107" s="1452">
        <v>20653</v>
      </c>
      <c r="M107" s="1452">
        <v>0</v>
      </c>
      <c r="N107" s="1453">
        <v>103265</v>
      </c>
      <c r="O107" s="1449"/>
      <c r="P107" s="1450"/>
      <c r="Q107" s="1450"/>
      <c r="R107" s="1450"/>
      <c r="S107" s="1450"/>
      <c r="T107" s="1451"/>
      <c r="U107" s="1449"/>
      <c r="V107" s="1450"/>
      <c r="W107" s="1450"/>
      <c r="X107" s="1450"/>
      <c r="Y107" s="1450"/>
      <c r="Z107" s="1451"/>
      <c r="AA107" s="1449"/>
      <c r="AB107" s="1450"/>
      <c r="AC107" s="1450"/>
      <c r="AD107" s="1450"/>
      <c r="AE107" s="1450"/>
      <c r="AF107" s="1451"/>
    </row>
    <row r="108" spans="1:32" s="1315" customFormat="1">
      <c r="A108" s="1436" t="s">
        <v>91</v>
      </c>
      <c r="B108" s="1436" t="s">
        <v>92</v>
      </c>
      <c r="C108" s="1148" t="s">
        <v>275</v>
      </c>
      <c r="D108" s="1291">
        <f t="shared" si="7"/>
        <v>0</v>
      </c>
      <c r="E108" s="1218">
        <f t="shared" si="8"/>
        <v>40292</v>
      </c>
      <c r="F108" s="1218">
        <f t="shared" si="9"/>
        <v>10073</v>
      </c>
      <c r="G108" s="1218">
        <f t="shared" si="10"/>
        <v>10073</v>
      </c>
      <c r="H108" s="1219">
        <f t="shared" si="10"/>
        <v>0</v>
      </c>
      <c r="I108" s="1452">
        <v>0</v>
      </c>
      <c r="J108" s="1452">
        <v>0</v>
      </c>
      <c r="K108" s="1452">
        <v>40292</v>
      </c>
      <c r="L108" s="1452">
        <v>10073</v>
      </c>
      <c r="M108" s="1452">
        <v>0</v>
      </c>
      <c r="N108" s="1453">
        <v>50365</v>
      </c>
      <c r="O108" s="1449"/>
      <c r="P108" s="1450"/>
      <c r="Q108" s="1450"/>
      <c r="R108" s="1450"/>
      <c r="S108" s="1450"/>
      <c r="T108" s="1451"/>
      <c r="U108" s="1449"/>
      <c r="V108" s="1450"/>
      <c r="W108" s="1450"/>
      <c r="X108" s="1450"/>
      <c r="Y108" s="1450"/>
      <c r="Z108" s="1451"/>
      <c r="AA108" s="1449"/>
      <c r="AB108" s="1450"/>
      <c r="AC108" s="1450"/>
      <c r="AD108" s="1450"/>
      <c r="AE108" s="1450"/>
      <c r="AF108" s="1451"/>
    </row>
    <row r="109" spans="1:32" s="1315" customFormat="1">
      <c r="A109" s="1436" t="s">
        <v>107</v>
      </c>
      <c r="B109" s="1436" t="s">
        <v>108</v>
      </c>
      <c r="C109" s="1148" t="s">
        <v>271</v>
      </c>
      <c r="D109" s="1291">
        <f t="shared" si="7"/>
        <v>31142</v>
      </c>
      <c r="E109" s="1218">
        <f t="shared" si="8"/>
        <v>485301.86</v>
      </c>
      <c r="F109" s="1218">
        <f t="shared" si="9"/>
        <v>134647.31000000003</v>
      </c>
      <c r="G109" s="1218">
        <f t="shared" si="10"/>
        <v>133090.33000000002</v>
      </c>
      <c r="H109" s="1219">
        <f t="shared" si="10"/>
        <v>1556.98</v>
      </c>
      <c r="I109" s="1452">
        <v>0</v>
      </c>
      <c r="J109" s="1452">
        <v>0</v>
      </c>
      <c r="K109" s="1452">
        <v>451688</v>
      </c>
      <c r="L109" s="1452">
        <v>112922</v>
      </c>
      <c r="M109" s="1452">
        <v>1557</v>
      </c>
      <c r="N109" s="1453">
        <v>566167</v>
      </c>
      <c r="O109" s="1454">
        <v>0</v>
      </c>
      <c r="P109" s="1455">
        <v>0</v>
      </c>
      <c r="Q109" s="1455">
        <v>33613.86</v>
      </c>
      <c r="R109" s="1455">
        <v>20168.330000000002</v>
      </c>
      <c r="S109" s="1455">
        <v>-0.02</v>
      </c>
      <c r="T109" s="1456">
        <v>53782.17</v>
      </c>
      <c r="U109" s="1454">
        <v>31142</v>
      </c>
      <c r="V109" s="1455">
        <v>0</v>
      </c>
      <c r="W109" s="1455">
        <v>0</v>
      </c>
      <c r="X109" s="1455">
        <v>0</v>
      </c>
      <c r="Y109" s="1455">
        <v>0</v>
      </c>
      <c r="Z109" s="1456">
        <v>31142</v>
      </c>
      <c r="AA109" s="1449"/>
      <c r="AB109" s="1450"/>
      <c r="AC109" s="1450"/>
      <c r="AD109" s="1450"/>
      <c r="AE109" s="1450"/>
      <c r="AF109" s="1451"/>
    </row>
    <row r="110" spans="1:32" s="1315" customFormat="1">
      <c r="A110" s="1436" t="s">
        <v>117</v>
      </c>
      <c r="B110" s="1436" t="s">
        <v>118</v>
      </c>
      <c r="C110" s="1148" t="s">
        <v>273</v>
      </c>
      <c r="D110" s="1291">
        <f t="shared" si="7"/>
        <v>0</v>
      </c>
      <c r="E110" s="1218">
        <f t="shared" si="8"/>
        <v>79256</v>
      </c>
      <c r="F110" s="1218">
        <f t="shared" si="9"/>
        <v>19814</v>
      </c>
      <c r="G110" s="1218">
        <f t="shared" si="10"/>
        <v>19814</v>
      </c>
      <c r="H110" s="1219">
        <f t="shared" si="10"/>
        <v>0</v>
      </c>
      <c r="I110" s="1452">
        <v>0</v>
      </c>
      <c r="J110" s="1452">
        <v>0</v>
      </c>
      <c r="K110" s="1452">
        <v>79256</v>
      </c>
      <c r="L110" s="1452">
        <v>19814</v>
      </c>
      <c r="M110" s="1452">
        <v>0</v>
      </c>
      <c r="N110" s="1453">
        <v>99070</v>
      </c>
      <c r="O110" s="1449"/>
      <c r="P110" s="1450"/>
      <c r="Q110" s="1450"/>
      <c r="R110" s="1450"/>
      <c r="S110" s="1450"/>
      <c r="T110" s="1451"/>
      <c r="U110" s="1449"/>
      <c r="V110" s="1450"/>
      <c r="W110" s="1450"/>
      <c r="X110" s="1450"/>
      <c r="Y110" s="1450"/>
      <c r="Z110" s="1451"/>
      <c r="AA110" s="1449"/>
      <c r="AB110" s="1450"/>
      <c r="AC110" s="1450"/>
      <c r="AD110" s="1450"/>
      <c r="AE110" s="1450"/>
      <c r="AF110" s="1451"/>
    </row>
    <row r="111" spans="1:32" s="1315" customFormat="1">
      <c r="A111" s="1436" t="s">
        <v>139</v>
      </c>
      <c r="B111" s="1436" t="s">
        <v>140</v>
      </c>
      <c r="C111" s="1148" t="s">
        <v>272</v>
      </c>
      <c r="D111" s="1291">
        <f t="shared" si="7"/>
        <v>6552</v>
      </c>
      <c r="E111" s="1218">
        <f t="shared" si="8"/>
        <v>498869.2</v>
      </c>
      <c r="F111" s="1218">
        <f t="shared" si="9"/>
        <v>130358.43000000001</v>
      </c>
      <c r="G111" s="1218">
        <f t="shared" si="10"/>
        <v>124717.3</v>
      </c>
      <c r="H111" s="1219">
        <f t="shared" si="10"/>
        <v>5641.13</v>
      </c>
      <c r="I111" s="1452">
        <v>0</v>
      </c>
      <c r="J111" s="1452">
        <v>0</v>
      </c>
      <c r="K111" s="1452">
        <v>498869.2</v>
      </c>
      <c r="L111" s="1452">
        <v>124717.3</v>
      </c>
      <c r="M111" s="1452">
        <v>0</v>
      </c>
      <c r="N111" s="1453">
        <v>623586.5</v>
      </c>
      <c r="O111" s="1454">
        <v>0</v>
      </c>
      <c r="P111" s="1455">
        <v>0</v>
      </c>
      <c r="Q111" s="1455">
        <v>0</v>
      </c>
      <c r="R111" s="1455">
        <v>0</v>
      </c>
      <c r="S111" s="1455">
        <v>5641.13</v>
      </c>
      <c r="T111" s="1456">
        <v>5641.13</v>
      </c>
      <c r="U111" s="1454">
        <v>6552</v>
      </c>
      <c r="V111" s="1455">
        <v>0</v>
      </c>
      <c r="W111" s="1455">
        <v>0</v>
      </c>
      <c r="X111" s="1455">
        <v>0</v>
      </c>
      <c r="Y111" s="1455">
        <v>0</v>
      </c>
      <c r="Z111" s="1456">
        <v>6552</v>
      </c>
      <c r="AA111" s="1449"/>
      <c r="AB111" s="1450"/>
      <c r="AC111" s="1450"/>
      <c r="AD111" s="1450"/>
      <c r="AE111" s="1450"/>
      <c r="AF111" s="1451"/>
    </row>
    <row r="112" spans="1:32" s="1315" customFormat="1">
      <c r="A112" s="1436" t="s">
        <v>143</v>
      </c>
      <c r="B112" s="1436" t="s">
        <v>144</v>
      </c>
      <c r="C112" s="1148" t="s">
        <v>274</v>
      </c>
      <c r="D112" s="1291">
        <f t="shared" si="7"/>
        <v>1452</v>
      </c>
      <c r="E112" s="1218">
        <f t="shared" si="8"/>
        <v>19147.2</v>
      </c>
      <c r="F112" s="1218">
        <f t="shared" si="9"/>
        <v>5095.49</v>
      </c>
      <c r="G112" s="1218">
        <f t="shared" si="10"/>
        <v>4786.8</v>
      </c>
      <c r="H112" s="1219">
        <f t="shared" si="10"/>
        <v>308.69</v>
      </c>
      <c r="I112" s="1452">
        <v>0</v>
      </c>
      <c r="J112" s="1452">
        <v>0</v>
      </c>
      <c r="K112" s="1452">
        <v>19147.2</v>
      </c>
      <c r="L112" s="1452">
        <v>4786.8</v>
      </c>
      <c r="M112" s="1452">
        <v>0</v>
      </c>
      <c r="N112" s="1453">
        <v>23934</v>
      </c>
      <c r="O112" s="1454">
        <v>0</v>
      </c>
      <c r="P112" s="1455">
        <v>0</v>
      </c>
      <c r="Q112" s="1455">
        <v>0</v>
      </c>
      <c r="R112" s="1455">
        <v>0</v>
      </c>
      <c r="S112" s="1455">
        <v>308.69</v>
      </c>
      <c r="T112" s="1456">
        <v>308.69</v>
      </c>
      <c r="U112" s="1454">
        <v>1452</v>
      </c>
      <c r="V112" s="1455">
        <v>0</v>
      </c>
      <c r="W112" s="1455">
        <v>0</v>
      </c>
      <c r="X112" s="1455">
        <v>0</v>
      </c>
      <c r="Y112" s="1455">
        <v>0</v>
      </c>
      <c r="Z112" s="1456">
        <v>1452</v>
      </c>
      <c r="AA112" s="1449"/>
      <c r="AB112" s="1450"/>
      <c r="AC112" s="1450"/>
      <c r="AD112" s="1450"/>
      <c r="AE112" s="1450"/>
      <c r="AF112" s="1451"/>
    </row>
    <row r="113" spans="1:32" s="1315" customFormat="1">
      <c r="A113" s="1436" t="s">
        <v>145</v>
      </c>
      <c r="B113" s="1436" t="s">
        <v>146</v>
      </c>
      <c r="C113" s="1148" t="s">
        <v>274</v>
      </c>
      <c r="D113" s="1291">
        <f t="shared" si="7"/>
        <v>0</v>
      </c>
      <c r="E113" s="1218">
        <f t="shared" si="8"/>
        <v>11688</v>
      </c>
      <c r="F113" s="1218">
        <f t="shared" si="9"/>
        <v>2922</v>
      </c>
      <c r="G113" s="1218">
        <f t="shared" si="10"/>
        <v>2922</v>
      </c>
      <c r="H113" s="1219">
        <f t="shared" si="10"/>
        <v>0</v>
      </c>
      <c r="I113" s="1452">
        <v>0</v>
      </c>
      <c r="J113" s="1452">
        <v>0</v>
      </c>
      <c r="K113" s="1452">
        <v>11688</v>
      </c>
      <c r="L113" s="1452">
        <v>2922</v>
      </c>
      <c r="M113" s="1452">
        <v>0</v>
      </c>
      <c r="N113" s="1453">
        <v>14610</v>
      </c>
      <c r="O113" s="1449"/>
      <c r="P113" s="1450"/>
      <c r="Q113" s="1450"/>
      <c r="R113" s="1450"/>
      <c r="S113" s="1450"/>
      <c r="T113" s="1451"/>
      <c r="U113" s="1449"/>
      <c r="V113" s="1450"/>
      <c r="W113" s="1450"/>
      <c r="X113" s="1450"/>
      <c r="Y113" s="1450"/>
      <c r="Z113" s="1451"/>
      <c r="AA113" s="1449"/>
      <c r="AB113" s="1450"/>
      <c r="AC113" s="1450"/>
      <c r="AD113" s="1450"/>
      <c r="AE113" s="1450"/>
      <c r="AF113" s="1451"/>
    </row>
    <row r="114" spans="1:32" s="1315" customFormat="1">
      <c r="A114" s="1436" t="s">
        <v>159</v>
      </c>
      <c r="B114" s="1436" t="s">
        <v>160</v>
      </c>
      <c r="C114" s="1148" t="s">
        <v>271</v>
      </c>
      <c r="D114" s="1291">
        <f t="shared" si="7"/>
        <v>24328.37</v>
      </c>
      <c r="E114" s="1218">
        <f t="shared" si="8"/>
        <v>530968.64999999991</v>
      </c>
      <c r="F114" s="1218">
        <f t="shared" si="9"/>
        <v>133992.90999999997</v>
      </c>
      <c r="G114" s="1218">
        <f t="shared" si="10"/>
        <v>133992.85999999999</v>
      </c>
      <c r="H114" s="1219">
        <f t="shared" si="10"/>
        <v>0.05</v>
      </c>
      <c r="I114" s="1452">
        <v>0</v>
      </c>
      <c r="J114" s="1452">
        <v>0</v>
      </c>
      <c r="K114" s="1452">
        <v>527395.19999999995</v>
      </c>
      <c r="L114" s="1452">
        <v>131848.79999999999</v>
      </c>
      <c r="M114" s="1452">
        <v>0</v>
      </c>
      <c r="N114" s="1453">
        <v>659244</v>
      </c>
      <c r="O114" s="1454">
        <v>0</v>
      </c>
      <c r="P114" s="1455">
        <v>0</v>
      </c>
      <c r="Q114" s="1455">
        <v>3573.45</v>
      </c>
      <c r="R114" s="1455">
        <v>2144.06</v>
      </c>
      <c r="S114" s="1455">
        <v>0.05</v>
      </c>
      <c r="T114" s="1456">
        <v>5717.56</v>
      </c>
      <c r="U114" s="1454">
        <v>24328.37</v>
      </c>
      <c r="V114" s="1455">
        <v>0</v>
      </c>
      <c r="W114" s="1455">
        <v>0</v>
      </c>
      <c r="X114" s="1455">
        <v>0</v>
      </c>
      <c r="Y114" s="1455">
        <v>0</v>
      </c>
      <c r="Z114" s="1456">
        <v>24328.37</v>
      </c>
      <c r="AA114" s="1449"/>
      <c r="AB114" s="1450"/>
      <c r="AC114" s="1450"/>
      <c r="AD114" s="1450"/>
      <c r="AE114" s="1450"/>
      <c r="AF114" s="1451"/>
    </row>
    <row r="115" spans="1:32" s="1315" customFormat="1">
      <c r="A115" s="1436" t="s">
        <v>161</v>
      </c>
      <c r="B115" s="1436" t="s">
        <v>162</v>
      </c>
      <c r="C115" s="1148" t="s">
        <v>271</v>
      </c>
      <c r="D115" s="1291">
        <f t="shared" si="7"/>
        <v>3614</v>
      </c>
      <c r="E115" s="1218">
        <f t="shared" si="8"/>
        <v>972030.71000000008</v>
      </c>
      <c r="F115" s="1218">
        <f t="shared" si="9"/>
        <v>288785.87</v>
      </c>
      <c r="G115" s="1218">
        <f t="shared" si="10"/>
        <v>285785.87</v>
      </c>
      <c r="H115" s="1219">
        <f t="shared" si="10"/>
        <v>3000</v>
      </c>
      <c r="I115" s="1452">
        <v>0</v>
      </c>
      <c r="J115" s="1452">
        <v>0</v>
      </c>
      <c r="K115" s="1452">
        <v>849807.3</v>
      </c>
      <c r="L115" s="1452">
        <v>212451.83</v>
      </c>
      <c r="M115" s="1452">
        <v>0</v>
      </c>
      <c r="N115" s="1453">
        <v>1062259.1299999999</v>
      </c>
      <c r="O115" s="1454">
        <v>0</v>
      </c>
      <c r="P115" s="1455">
        <v>0</v>
      </c>
      <c r="Q115" s="1455">
        <v>122223.41</v>
      </c>
      <c r="R115" s="1455">
        <v>73334.039999999994</v>
      </c>
      <c r="S115" s="1455">
        <v>3000</v>
      </c>
      <c r="T115" s="1456">
        <v>198557.45</v>
      </c>
      <c r="U115" s="1454">
        <v>3614</v>
      </c>
      <c r="V115" s="1455">
        <v>0</v>
      </c>
      <c r="W115" s="1455">
        <v>0</v>
      </c>
      <c r="X115" s="1455">
        <v>0</v>
      </c>
      <c r="Y115" s="1455">
        <v>0</v>
      </c>
      <c r="Z115" s="1456">
        <v>3614</v>
      </c>
      <c r="AA115" s="1449"/>
      <c r="AB115" s="1450"/>
      <c r="AC115" s="1450"/>
      <c r="AD115" s="1450"/>
      <c r="AE115" s="1450"/>
      <c r="AF115" s="1451"/>
    </row>
    <row r="116" spans="1:32" s="1315" customFormat="1">
      <c r="A116" s="1436" t="s">
        <v>167</v>
      </c>
      <c r="B116" s="1436" t="s">
        <v>168</v>
      </c>
      <c r="C116" s="1148" t="s">
        <v>275</v>
      </c>
      <c r="D116" s="1291">
        <f t="shared" si="7"/>
        <v>0</v>
      </c>
      <c r="E116" s="1218">
        <f t="shared" si="8"/>
        <v>27907.200000000001</v>
      </c>
      <c r="F116" s="1218">
        <f t="shared" si="9"/>
        <v>6976.8</v>
      </c>
      <c r="G116" s="1218">
        <f t="shared" si="10"/>
        <v>6976.8</v>
      </c>
      <c r="H116" s="1219">
        <f t="shared" si="10"/>
        <v>0</v>
      </c>
      <c r="I116" s="1452">
        <v>0</v>
      </c>
      <c r="J116" s="1452">
        <v>0</v>
      </c>
      <c r="K116" s="1452">
        <v>27907.200000000001</v>
      </c>
      <c r="L116" s="1452">
        <v>6976.8</v>
      </c>
      <c r="M116" s="1452">
        <v>0</v>
      </c>
      <c r="N116" s="1453">
        <v>34884</v>
      </c>
      <c r="O116" s="1449"/>
      <c r="P116" s="1450"/>
      <c r="Q116" s="1450"/>
      <c r="R116" s="1450"/>
      <c r="S116" s="1450"/>
      <c r="T116" s="1451"/>
      <c r="U116" s="1449"/>
      <c r="V116" s="1450"/>
      <c r="W116" s="1450"/>
      <c r="X116" s="1450"/>
      <c r="Y116" s="1450"/>
      <c r="Z116" s="1451"/>
      <c r="AA116" s="1449"/>
      <c r="AB116" s="1450"/>
      <c r="AC116" s="1450"/>
      <c r="AD116" s="1450"/>
      <c r="AE116" s="1450"/>
      <c r="AF116" s="1451"/>
    </row>
    <row r="117" spans="1:32" s="1315" customFormat="1">
      <c r="A117" s="1436" t="s">
        <v>177</v>
      </c>
      <c r="B117" s="1436" t="s">
        <v>178</v>
      </c>
      <c r="C117" s="1148" t="s">
        <v>273</v>
      </c>
      <c r="D117" s="1291">
        <f t="shared" si="7"/>
        <v>0</v>
      </c>
      <c r="E117" s="1218">
        <f t="shared" si="8"/>
        <v>477017.59999999998</v>
      </c>
      <c r="F117" s="1218">
        <f t="shared" si="9"/>
        <v>119834.4</v>
      </c>
      <c r="G117" s="1218">
        <f t="shared" si="10"/>
        <v>119254.39999999999</v>
      </c>
      <c r="H117" s="1219">
        <f t="shared" si="10"/>
        <v>580</v>
      </c>
      <c r="I117" s="1452">
        <v>0</v>
      </c>
      <c r="J117" s="1452">
        <v>0</v>
      </c>
      <c r="K117" s="1452">
        <v>477017.59999999998</v>
      </c>
      <c r="L117" s="1452">
        <v>119254.39999999999</v>
      </c>
      <c r="M117" s="1452">
        <v>580</v>
      </c>
      <c r="N117" s="1453">
        <v>596852</v>
      </c>
      <c r="O117" s="1449"/>
      <c r="P117" s="1450"/>
      <c r="Q117" s="1450"/>
      <c r="R117" s="1450"/>
      <c r="S117" s="1450"/>
      <c r="T117" s="1451"/>
      <c r="U117" s="1449"/>
      <c r="V117" s="1450"/>
      <c r="W117" s="1450"/>
      <c r="X117" s="1450"/>
      <c r="Y117" s="1450"/>
      <c r="Z117" s="1451"/>
      <c r="AA117" s="1449"/>
      <c r="AB117" s="1450"/>
      <c r="AC117" s="1450"/>
      <c r="AD117" s="1450"/>
      <c r="AE117" s="1450"/>
      <c r="AF117" s="1451"/>
    </row>
    <row r="118" spans="1:32" s="1315" customFormat="1">
      <c r="A118" s="1436" t="s">
        <v>181</v>
      </c>
      <c r="B118" s="1436" t="s">
        <v>182</v>
      </c>
      <c r="C118" s="1148" t="s">
        <v>271</v>
      </c>
      <c r="D118" s="1291">
        <f t="shared" si="7"/>
        <v>0</v>
      </c>
      <c r="E118" s="1218">
        <f t="shared" si="8"/>
        <v>495367.53</v>
      </c>
      <c r="F118" s="1218">
        <f t="shared" si="9"/>
        <v>149437.87</v>
      </c>
      <c r="G118" s="1218">
        <f t="shared" si="10"/>
        <v>149437.91999999998</v>
      </c>
      <c r="H118" s="1219">
        <f t="shared" si="10"/>
        <v>-0.05</v>
      </c>
      <c r="I118" s="1452">
        <v>0</v>
      </c>
      <c r="J118" s="1452">
        <v>0</v>
      </c>
      <c r="K118" s="1452">
        <v>422236</v>
      </c>
      <c r="L118" s="1452">
        <v>105559</v>
      </c>
      <c r="M118" s="1452">
        <v>0</v>
      </c>
      <c r="N118" s="1453">
        <v>527795</v>
      </c>
      <c r="O118" s="1454">
        <v>0</v>
      </c>
      <c r="P118" s="1455">
        <v>0</v>
      </c>
      <c r="Q118" s="1455">
        <v>73131.53</v>
      </c>
      <c r="R118" s="1455">
        <v>43878.92</v>
      </c>
      <c r="S118" s="1455">
        <v>-0.05</v>
      </c>
      <c r="T118" s="1456">
        <v>117010.4</v>
      </c>
      <c r="U118" s="1449"/>
      <c r="V118" s="1450"/>
      <c r="W118" s="1450"/>
      <c r="X118" s="1450"/>
      <c r="Y118" s="1450"/>
      <c r="Z118" s="1451"/>
      <c r="AA118" s="1449"/>
      <c r="AB118" s="1450"/>
      <c r="AC118" s="1450"/>
      <c r="AD118" s="1450"/>
      <c r="AE118" s="1450"/>
      <c r="AF118" s="1451"/>
    </row>
    <row r="119" spans="1:32" s="1315" customFormat="1">
      <c r="A119" s="1436" t="s">
        <v>193</v>
      </c>
      <c r="B119" s="1436" t="s">
        <v>194</v>
      </c>
      <c r="C119" s="1148" t="s">
        <v>275</v>
      </c>
      <c r="D119" s="1291">
        <f t="shared" si="7"/>
        <v>0</v>
      </c>
      <c r="E119" s="1218">
        <f t="shared" si="8"/>
        <v>96796</v>
      </c>
      <c r="F119" s="1218">
        <f t="shared" si="9"/>
        <v>24199</v>
      </c>
      <c r="G119" s="1218">
        <f t="shared" si="10"/>
        <v>24199</v>
      </c>
      <c r="H119" s="1219">
        <f t="shared" si="10"/>
        <v>0</v>
      </c>
      <c r="I119" s="1452">
        <v>0</v>
      </c>
      <c r="J119" s="1452">
        <v>0</v>
      </c>
      <c r="K119" s="1452">
        <v>96796</v>
      </c>
      <c r="L119" s="1452">
        <v>24199</v>
      </c>
      <c r="M119" s="1452">
        <v>0</v>
      </c>
      <c r="N119" s="1453">
        <v>120995</v>
      </c>
      <c r="O119" s="1449"/>
      <c r="P119" s="1450"/>
      <c r="Q119" s="1450"/>
      <c r="R119" s="1450"/>
      <c r="S119" s="1450"/>
      <c r="T119" s="1451"/>
      <c r="U119" s="1449"/>
      <c r="V119" s="1450"/>
      <c r="W119" s="1450"/>
      <c r="X119" s="1450"/>
      <c r="Y119" s="1450"/>
      <c r="Z119" s="1451"/>
      <c r="AA119" s="1449"/>
      <c r="AB119" s="1450"/>
      <c r="AC119" s="1450"/>
      <c r="AD119" s="1450"/>
      <c r="AE119" s="1450"/>
      <c r="AF119" s="1451"/>
    </row>
    <row r="120" spans="1:32" s="1315" customFormat="1">
      <c r="A120" s="1436" t="s">
        <v>197</v>
      </c>
      <c r="B120" s="1436" t="s">
        <v>334</v>
      </c>
      <c r="C120" s="1148" t="s">
        <v>273</v>
      </c>
      <c r="D120" s="1291">
        <f t="shared" si="7"/>
        <v>10570</v>
      </c>
      <c r="E120" s="1218">
        <f t="shared" si="8"/>
        <v>2469603.86</v>
      </c>
      <c r="F120" s="1218">
        <f t="shared" si="9"/>
        <v>954051.75</v>
      </c>
      <c r="G120" s="1218">
        <f t="shared" si="10"/>
        <v>639442.17000000004</v>
      </c>
      <c r="H120" s="1219">
        <f t="shared" si="10"/>
        <v>314609.58</v>
      </c>
      <c r="I120" s="1452">
        <v>0</v>
      </c>
      <c r="J120" s="1452">
        <v>0</v>
      </c>
      <c r="K120" s="1452">
        <v>2406629.02</v>
      </c>
      <c r="L120" s="1452">
        <v>601657.25</v>
      </c>
      <c r="M120" s="1452">
        <v>0</v>
      </c>
      <c r="N120" s="1453">
        <v>3008286.27</v>
      </c>
      <c r="O120" s="1454">
        <v>0</v>
      </c>
      <c r="P120" s="1455">
        <v>0</v>
      </c>
      <c r="Q120" s="1455">
        <v>62974.84</v>
      </c>
      <c r="R120" s="1455">
        <v>37784.92</v>
      </c>
      <c r="S120" s="1455">
        <v>313404.58</v>
      </c>
      <c r="T120" s="1456">
        <v>414164.34</v>
      </c>
      <c r="U120" s="1454">
        <v>10570</v>
      </c>
      <c r="V120" s="1455">
        <v>0</v>
      </c>
      <c r="W120" s="1455">
        <v>0</v>
      </c>
      <c r="X120" s="1455">
        <v>0</v>
      </c>
      <c r="Y120" s="1455">
        <v>1205</v>
      </c>
      <c r="Z120" s="1456">
        <v>11775</v>
      </c>
      <c r="AA120" s="1449"/>
      <c r="AB120" s="1450"/>
      <c r="AC120" s="1450"/>
      <c r="AD120" s="1450"/>
      <c r="AE120" s="1450"/>
      <c r="AF120" s="1451"/>
    </row>
    <row r="121" spans="1:32" s="1315" customFormat="1">
      <c r="A121" s="1436" t="s">
        <v>201</v>
      </c>
      <c r="B121" s="1436" t="s">
        <v>335</v>
      </c>
      <c r="C121" s="1148" t="s">
        <v>272</v>
      </c>
      <c r="D121" s="1291">
        <f t="shared" si="7"/>
        <v>29639</v>
      </c>
      <c r="E121" s="1218">
        <f t="shared" si="8"/>
        <v>730300.5</v>
      </c>
      <c r="F121" s="1218">
        <f t="shared" si="9"/>
        <v>187385.83</v>
      </c>
      <c r="G121" s="1218">
        <f t="shared" si="10"/>
        <v>187385.88999999998</v>
      </c>
      <c r="H121" s="1219">
        <f t="shared" si="10"/>
        <v>-0.06</v>
      </c>
      <c r="I121" s="1452">
        <v>0</v>
      </c>
      <c r="J121" s="1452">
        <v>0</v>
      </c>
      <c r="K121" s="1452">
        <v>716555.47</v>
      </c>
      <c r="L121" s="1452">
        <v>179138.86</v>
      </c>
      <c r="M121" s="1452">
        <v>0</v>
      </c>
      <c r="N121" s="1453">
        <v>895694.33</v>
      </c>
      <c r="O121" s="1454">
        <v>0</v>
      </c>
      <c r="P121" s="1455">
        <v>0</v>
      </c>
      <c r="Q121" s="1455">
        <v>13745.03</v>
      </c>
      <c r="R121" s="1455">
        <v>8247.0300000000007</v>
      </c>
      <c r="S121" s="1455">
        <v>-0.06</v>
      </c>
      <c r="T121" s="1456">
        <v>21992</v>
      </c>
      <c r="U121" s="1454">
        <v>29639</v>
      </c>
      <c r="V121" s="1455">
        <v>0</v>
      </c>
      <c r="W121" s="1455">
        <v>0</v>
      </c>
      <c r="X121" s="1455">
        <v>0</v>
      </c>
      <c r="Y121" s="1455">
        <v>0</v>
      </c>
      <c r="Z121" s="1456">
        <v>29639</v>
      </c>
      <c r="AA121" s="1449"/>
      <c r="AB121" s="1450"/>
      <c r="AC121" s="1450"/>
      <c r="AD121" s="1450"/>
      <c r="AE121" s="1450"/>
      <c r="AF121" s="1451"/>
    </row>
    <row r="122" spans="1:32" s="1315" customFormat="1">
      <c r="A122" s="1436" t="s">
        <v>223</v>
      </c>
      <c r="B122" s="1436" t="s">
        <v>224</v>
      </c>
      <c r="C122" s="1148" t="s">
        <v>271</v>
      </c>
      <c r="D122" s="1291">
        <f t="shared" si="7"/>
        <v>0</v>
      </c>
      <c r="E122" s="1218">
        <f t="shared" si="8"/>
        <v>256011.2</v>
      </c>
      <c r="F122" s="1218">
        <f t="shared" si="9"/>
        <v>74601</v>
      </c>
      <c r="G122" s="1218">
        <f t="shared" si="10"/>
        <v>64002.8</v>
      </c>
      <c r="H122" s="1219">
        <f t="shared" si="10"/>
        <v>10598.2</v>
      </c>
      <c r="I122" s="1452">
        <v>0</v>
      </c>
      <c r="J122" s="1452">
        <v>0</v>
      </c>
      <c r="K122" s="1452">
        <v>256011.2</v>
      </c>
      <c r="L122" s="1452">
        <v>64002.8</v>
      </c>
      <c r="M122" s="1452">
        <v>0</v>
      </c>
      <c r="N122" s="1453">
        <v>320014</v>
      </c>
      <c r="O122" s="1454">
        <v>0</v>
      </c>
      <c r="P122" s="1455">
        <v>0</v>
      </c>
      <c r="Q122" s="1455">
        <v>0</v>
      </c>
      <c r="R122" s="1455">
        <v>0</v>
      </c>
      <c r="S122" s="1455">
        <v>10598.2</v>
      </c>
      <c r="T122" s="1456">
        <v>10598.2</v>
      </c>
      <c r="U122" s="1449"/>
      <c r="V122" s="1450"/>
      <c r="W122" s="1450"/>
      <c r="X122" s="1450"/>
      <c r="Y122" s="1450"/>
      <c r="Z122" s="1451"/>
      <c r="AA122" s="1449"/>
      <c r="AB122" s="1450"/>
      <c r="AC122" s="1450"/>
      <c r="AD122" s="1450"/>
      <c r="AE122" s="1450"/>
      <c r="AF122" s="1451"/>
    </row>
    <row r="123" spans="1:32" s="1315" customFormat="1">
      <c r="A123" s="1436" t="s">
        <v>231</v>
      </c>
      <c r="B123" s="1436" t="s">
        <v>232</v>
      </c>
      <c r="C123" s="1148" t="s">
        <v>271</v>
      </c>
      <c r="D123" s="1291">
        <f t="shared" si="7"/>
        <v>5139</v>
      </c>
      <c r="E123" s="1218">
        <f t="shared" si="8"/>
        <v>740906.5</v>
      </c>
      <c r="F123" s="1218">
        <f t="shared" si="9"/>
        <v>249006.13</v>
      </c>
      <c r="G123" s="1218">
        <f t="shared" si="10"/>
        <v>205078.79</v>
      </c>
      <c r="H123" s="1219">
        <f t="shared" si="10"/>
        <v>43927.34</v>
      </c>
      <c r="I123" s="1452">
        <v>0</v>
      </c>
      <c r="J123" s="1452">
        <v>0</v>
      </c>
      <c r="K123" s="1452">
        <v>684186.1</v>
      </c>
      <c r="L123" s="1452">
        <v>171046.53</v>
      </c>
      <c r="M123" s="1452">
        <v>0</v>
      </c>
      <c r="N123" s="1453">
        <v>855232.63</v>
      </c>
      <c r="O123" s="1454">
        <v>0</v>
      </c>
      <c r="P123" s="1455">
        <v>0</v>
      </c>
      <c r="Q123" s="1455">
        <v>56720.4</v>
      </c>
      <c r="R123" s="1455">
        <v>34032.26</v>
      </c>
      <c r="S123" s="1455">
        <v>43927.34</v>
      </c>
      <c r="T123" s="1456">
        <v>134680</v>
      </c>
      <c r="U123" s="1454">
        <v>5139</v>
      </c>
      <c r="V123" s="1455">
        <v>0</v>
      </c>
      <c r="W123" s="1455">
        <v>0</v>
      </c>
      <c r="X123" s="1455">
        <v>0</v>
      </c>
      <c r="Y123" s="1455">
        <v>0</v>
      </c>
      <c r="Z123" s="1456">
        <v>5139</v>
      </c>
      <c r="AA123" s="1449"/>
      <c r="AB123" s="1450"/>
      <c r="AC123" s="1450"/>
      <c r="AD123" s="1450"/>
      <c r="AE123" s="1450"/>
      <c r="AF123" s="1451"/>
    </row>
    <row r="124" spans="1:32" s="1315" customFormat="1">
      <c r="A124" s="1457" t="s">
        <v>239</v>
      </c>
      <c r="B124" s="1457" t="s">
        <v>240</v>
      </c>
      <c r="C124" s="1148" t="s">
        <v>271</v>
      </c>
      <c r="D124" s="1291">
        <f t="shared" si="7"/>
        <v>0</v>
      </c>
      <c r="E124" s="1218">
        <f t="shared" si="8"/>
        <v>117416.8</v>
      </c>
      <c r="F124" s="1218">
        <f t="shared" si="9"/>
        <v>50054.79</v>
      </c>
      <c r="G124" s="1218">
        <f t="shared" si="10"/>
        <v>29354.2</v>
      </c>
      <c r="H124" s="1219">
        <f t="shared" si="10"/>
        <v>20700.59</v>
      </c>
      <c r="I124" s="1452">
        <v>0</v>
      </c>
      <c r="J124" s="1452">
        <v>0</v>
      </c>
      <c r="K124" s="1452">
        <v>117416.8</v>
      </c>
      <c r="L124" s="1452">
        <v>29354.2</v>
      </c>
      <c r="M124" s="1452">
        <v>0</v>
      </c>
      <c r="N124" s="1453">
        <v>146771</v>
      </c>
      <c r="O124" s="1454">
        <v>0</v>
      </c>
      <c r="P124" s="1455">
        <v>0</v>
      </c>
      <c r="Q124" s="1455">
        <v>0</v>
      </c>
      <c r="R124" s="1455">
        <v>0</v>
      </c>
      <c r="S124" s="1455">
        <v>20700.59</v>
      </c>
      <c r="T124" s="1456">
        <v>20700.59</v>
      </c>
      <c r="U124" s="1449"/>
      <c r="V124" s="1450"/>
      <c r="W124" s="1450"/>
      <c r="X124" s="1450"/>
      <c r="Y124" s="1450"/>
      <c r="Z124" s="1451"/>
      <c r="AA124" s="1449"/>
      <c r="AB124" s="1450"/>
      <c r="AC124" s="1450"/>
      <c r="AD124" s="1450"/>
      <c r="AE124" s="1450"/>
      <c r="AF124" s="1451"/>
    </row>
    <row r="125" spans="1:32" s="1315" customFormat="1">
      <c r="A125" s="1457" t="s">
        <v>241</v>
      </c>
      <c r="B125" s="1457" t="s">
        <v>242</v>
      </c>
      <c r="C125" s="1151" t="s">
        <v>274</v>
      </c>
      <c r="D125" s="1291">
        <f t="shared" si="7"/>
        <v>1038</v>
      </c>
      <c r="E125" s="1218">
        <f t="shared" si="8"/>
        <v>122235.84</v>
      </c>
      <c r="F125" s="1218">
        <f t="shared" si="9"/>
        <v>36191.72</v>
      </c>
      <c r="G125" s="1218">
        <f t="shared" si="10"/>
        <v>30558.959999999999</v>
      </c>
      <c r="H125" s="1219">
        <f t="shared" si="10"/>
        <v>5632.76</v>
      </c>
      <c r="I125" s="1452">
        <v>0</v>
      </c>
      <c r="J125" s="1452">
        <v>0</v>
      </c>
      <c r="K125" s="1452">
        <v>122235.84</v>
      </c>
      <c r="L125" s="1452">
        <v>30558.959999999999</v>
      </c>
      <c r="M125" s="1452">
        <v>1215.4000000000001</v>
      </c>
      <c r="N125" s="1453">
        <v>154010.20000000001</v>
      </c>
      <c r="O125" s="1454">
        <v>0</v>
      </c>
      <c r="P125" s="1455">
        <v>0</v>
      </c>
      <c r="Q125" s="1455">
        <v>0</v>
      </c>
      <c r="R125" s="1455">
        <v>0</v>
      </c>
      <c r="S125" s="1455">
        <v>4417.3599999999997</v>
      </c>
      <c r="T125" s="1456">
        <v>4417.3599999999997</v>
      </c>
      <c r="U125" s="1454">
        <v>1038</v>
      </c>
      <c r="V125" s="1455">
        <v>0</v>
      </c>
      <c r="W125" s="1455">
        <v>0</v>
      </c>
      <c r="X125" s="1455">
        <v>0</v>
      </c>
      <c r="Y125" s="1455">
        <v>0</v>
      </c>
      <c r="Z125" s="1456">
        <v>1038</v>
      </c>
      <c r="AA125" s="1449"/>
      <c r="AB125" s="1450"/>
      <c r="AC125" s="1450"/>
      <c r="AD125" s="1450"/>
      <c r="AE125" s="1450"/>
      <c r="AF125" s="1451"/>
    </row>
    <row r="126" spans="1:32">
      <c r="I126" s="1220"/>
      <c r="J126" s="1220"/>
      <c r="K126" s="1220"/>
      <c r="L126" s="1220"/>
      <c r="M126" s="1220"/>
      <c r="N126" s="1220"/>
      <c r="O126" s="1220"/>
      <c r="P126" s="1220"/>
      <c r="Q126" s="1220"/>
      <c r="R126" s="1220"/>
      <c r="S126" s="1220"/>
      <c r="T126" s="1220"/>
      <c r="U126" s="1220"/>
      <c r="V126" s="1220"/>
      <c r="W126" s="1220"/>
      <c r="X126" s="1220"/>
      <c r="Y126" s="1220"/>
      <c r="Z126" s="1220"/>
      <c r="AA126" s="1221"/>
      <c r="AB126" s="1221"/>
      <c r="AC126" s="1221"/>
      <c r="AD126" s="1221"/>
      <c r="AE126" s="1221"/>
      <c r="AF126" s="1221"/>
    </row>
    <row r="127" spans="1:32" s="511" customFormat="1">
      <c r="A127" s="511" t="s">
        <v>1134</v>
      </c>
      <c r="B127" s="1082"/>
      <c r="C127" s="1082"/>
      <c r="D127" s="1016"/>
    </row>
    <row r="128" spans="1:32" s="511" customFormat="1"/>
    <row r="129" spans="1:32" s="542" customFormat="1">
      <c r="A129" s="542" t="s">
        <v>249</v>
      </c>
    </row>
    <row r="130" spans="1:32">
      <c r="A130" s="543" t="s">
        <v>250</v>
      </c>
      <c r="B130" s="544" t="s">
        <v>251</v>
      </c>
      <c r="C130" s="544"/>
      <c r="K130" s="280"/>
      <c r="L130" s="280"/>
      <c r="M130" s="280"/>
      <c r="N130" s="280"/>
      <c r="O130" s="280"/>
      <c r="P130" s="280"/>
      <c r="Q130" s="280"/>
      <c r="R130" s="280"/>
      <c r="S130" s="280"/>
      <c r="T130" s="280"/>
      <c r="U130" s="280"/>
      <c r="V130" s="280"/>
      <c r="W130" s="280"/>
      <c r="X130" s="280"/>
      <c r="Y130" s="280"/>
      <c r="Z130" s="280"/>
      <c r="AA130" s="280"/>
      <c r="AB130" s="280"/>
      <c r="AC130" s="280"/>
      <c r="AD130" s="280"/>
      <c r="AE130" s="280"/>
      <c r="AF130" s="280"/>
    </row>
  </sheetData>
  <autoFilter ref="A4:C4"/>
  <hyperlinks>
    <hyperlink ref="B130" r:id="rId1"/>
  </hyperlinks>
  <pageMargins left="0.7" right="0.7" top="0.75" bottom="0.75" header="0.3" footer="0.3"/>
  <legacyDrawing r:id="rId2"/>
</worksheet>
</file>

<file path=xl/worksheets/sheet37.xml><?xml version="1.0" encoding="utf-8"?>
<worksheet xmlns="http://schemas.openxmlformats.org/spreadsheetml/2006/main" xmlns:r="http://schemas.openxmlformats.org/officeDocument/2006/relationships">
  <dimension ref="A1:X131"/>
  <sheetViews>
    <sheetView workbookViewId="0">
      <pane ySplit="6" topLeftCell="A105" activePane="bottomLeft" state="frozen"/>
      <selection pane="bottomLeft" activeCell="B110" sqref="B110"/>
    </sheetView>
  </sheetViews>
  <sheetFormatPr defaultRowHeight="15.75"/>
  <cols>
    <col min="1" max="1" width="6.125" style="134" bestFit="1" customWidth="1"/>
    <col min="2" max="2" width="29.375" style="159" customWidth="1"/>
    <col min="3" max="3" width="9.25" style="159" customWidth="1"/>
    <col min="4" max="7" width="15.25" style="1184" customWidth="1"/>
    <col min="8" max="8" width="13.625" style="1184" bestFit="1" customWidth="1"/>
    <col min="9" max="10" width="12.625" style="1184" bestFit="1" customWidth="1"/>
    <col min="11" max="11" width="13.625" style="1184" bestFit="1" customWidth="1"/>
    <col min="12" max="12" width="14.875" style="1184" bestFit="1" customWidth="1"/>
    <col min="13" max="15" width="16" style="1184" customWidth="1"/>
    <col min="16" max="16" width="3.25" style="1184" customWidth="1"/>
    <col min="17" max="17" width="9" style="282" customWidth="1"/>
    <col min="18" max="19" width="9" style="282"/>
    <col min="20" max="20" width="11" style="282" customWidth="1"/>
    <col min="21" max="21" width="3.875" style="1138" customWidth="1"/>
    <col min="22" max="24" width="12.5" style="280" customWidth="1"/>
    <col min="25" max="16384" width="9" style="1138"/>
  </cols>
  <sheetData>
    <row r="1" spans="1:24">
      <c r="A1" s="1137" t="s">
        <v>947</v>
      </c>
      <c r="B1" s="1138"/>
      <c r="C1" s="1138"/>
    </row>
    <row r="3" spans="1:24">
      <c r="A3" s="1138"/>
      <c r="B3" s="1138"/>
      <c r="C3" s="1138"/>
    </row>
    <row r="4" spans="1:24">
      <c r="D4" s="1685" t="s">
        <v>929</v>
      </c>
      <c r="E4" s="1686"/>
      <c r="F4" s="1686"/>
      <c r="G4" s="1687"/>
      <c r="H4" s="1688" t="s">
        <v>930</v>
      </c>
      <c r="I4" s="1689"/>
      <c r="J4" s="1689"/>
      <c r="K4" s="1690"/>
      <c r="L4" s="1685" t="s">
        <v>924</v>
      </c>
      <c r="M4" s="1686"/>
      <c r="N4" s="1686"/>
      <c r="O4" s="1687"/>
      <c r="P4" s="1185"/>
      <c r="Q4" s="1691" t="s">
        <v>925</v>
      </c>
      <c r="R4" s="1692"/>
      <c r="S4" s="1692"/>
      <c r="T4" s="1693"/>
      <c r="V4" s="1691" t="s">
        <v>933</v>
      </c>
      <c r="W4" s="1692"/>
      <c r="X4" s="1693"/>
    </row>
    <row r="5" spans="1:24" ht="31.5">
      <c r="A5" s="1139" t="s">
        <v>4</v>
      </c>
      <c r="B5" s="188" t="s">
        <v>5</v>
      </c>
      <c r="C5" s="188" t="s">
        <v>252</v>
      </c>
      <c r="D5" s="1191" t="s">
        <v>336</v>
      </c>
      <c r="E5" s="1192" t="s">
        <v>337</v>
      </c>
      <c r="F5" s="1193" t="s">
        <v>338</v>
      </c>
      <c r="G5" s="1194" t="s">
        <v>289</v>
      </c>
      <c r="H5" s="1191" t="s">
        <v>336</v>
      </c>
      <c r="I5" s="1192" t="s">
        <v>337</v>
      </c>
      <c r="J5" s="1193" t="s">
        <v>338</v>
      </c>
      <c r="K5" s="1194" t="s">
        <v>289</v>
      </c>
      <c r="L5" s="1191" t="s">
        <v>336</v>
      </c>
      <c r="M5" s="1192" t="s">
        <v>337</v>
      </c>
      <c r="N5" s="1193" t="s">
        <v>338</v>
      </c>
      <c r="O5" s="1194" t="s">
        <v>289</v>
      </c>
      <c r="P5" s="1186"/>
      <c r="Q5" s="1204" t="s">
        <v>926</v>
      </c>
      <c r="R5" s="1205" t="s">
        <v>927</v>
      </c>
      <c r="S5" s="1205" t="s">
        <v>928</v>
      </c>
      <c r="T5" s="1206" t="s">
        <v>937</v>
      </c>
      <c r="V5" s="1204" t="s">
        <v>934</v>
      </c>
      <c r="W5" s="1213" t="s">
        <v>935</v>
      </c>
      <c r="X5" s="1214" t="s">
        <v>936</v>
      </c>
    </row>
    <row r="6" spans="1:24">
      <c r="A6" s="1187" t="s">
        <v>8</v>
      </c>
      <c r="B6" s="1188" t="s">
        <v>9</v>
      </c>
      <c r="C6" s="1188"/>
      <c r="D6" s="1195">
        <f>'Eligibililty Staff LASER-2012'!D4+'Services Staff LASER 2012'!D4+'Other Exp. LASER 2012'!D4</f>
        <v>259639911.60000002</v>
      </c>
      <c r="E6" s="1196">
        <f>'Eligibililty Staff LASER-2012'!E4+'Services Staff LASER 2012'!E4+'Other Exp. LASER 2012'!E4</f>
        <v>99099609.920000002</v>
      </c>
      <c r="F6" s="1196">
        <f>'Eligibililty Staff LASER-2012'!F4+'Services Staff LASER 2012'!F4+'Other Exp. LASER 2012'!F4</f>
        <v>216633981.91999996</v>
      </c>
      <c r="G6" s="1197">
        <f>SUM('Benefits Spending Summary'!D6:F6)</f>
        <v>575373503.44000006</v>
      </c>
      <c r="H6" s="1195">
        <f>'Services for Clients LASER 2012'!D5</f>
        <v>78504138.289999992</v>
      </c>
      <c r="I6" s="1196">
        <f>'Services for Clients LASER 2012'!E5</f>
        <v>25975653.420000002</v>
      </c>
      <c r="J6" s="1196">
        <f>'Services for Clients LASER 2012'!F5</f>
        <v>22191805.769999992</v>
      </c>
      <c r="K6" s="1197">
        <f t="shared" ref="K6:K37" si="0">SUM(H6:J6)</f>
        <v>126671597.47999999</v>
      </c>
      <c r="L6" s="1195">
        <f>'Medicaid &amp; FAMIS - LASER 2012'!E4+'SNAP - LASER 2012'!E4+'SNAP - LASER 2012'!F4+'FC &amp; Adoptions LASER 2012'!D4+'LIHEAP LASER 2012'!E4+'TANF LASER 2012'!D4+'Other Benefits LASER 2012'!D5</f>
        <v>4490302160.7266006</v>
      </c>
      <c r="M6" s="1196">
        <f>'Medicaid &amp; FAMIS - LASER 2012'!F4+'SNAP - LASER 2012'!G4+'FC &amp; Adoptions LASER 2012'!E4+'TANF LASER 2012'!E4+'Other Benefits LASER 2012'!E5</f>
        <v>3214740947.0832</v>
      </c>
      <c r="N6" s="1196">
        <f>'FC &amp; Adoptions LASER 2012'!F4+'TANF LASER 2012'!F4</f>
        <v>116097038.19999999</v>
      </c>
      <c r="O6" s="1197">
        <f t="shared" ref="O6:O37" si="1">SUM(L6:N6)</f>
        <v>7821140146.0098009</v>
      </c>
      <c r="P6" s="1189"/>
      <c r="Q6" s="1207">
        <f t="shared" ref="Q6:Q37" si="2">D6/G6</f>
        <v>0.45125455038802509</v>
      </c>
      <c r="R6" s="1208">
        <f t="shared" ref="R6:R37" si="3">E6/G6</f>
        <v>0.17223526861683874</v>
      </c>
      <c r="S6" s="1208">
        <f t="shared" ref="S6:S37" si="4">F6/G6</f>
        <v>0.37651018099513606</v>
      </c>
      <c r="T6" s="1209">
        <f>(D6+E6)/G6</f>
        <v>0.62348981900486389</v>
      </c>
      <c r="V6" s="1207">
        <f>F6/(F6+J6+N6)</f>
        <v>0.61036925809652098</v>
      </c>
      <c r="W6" s="1208">
        <f>J6/(F6+J6+N6)</f>
        <v>6.2525721512422042E-2</v>
      </c>
      <c r="X6" s="1209">
        <f>N6/(F6+J6+N6)</f>
        <v>0.32710502039105699</v>
      </c>
    </row>
    <row r="7" spans="1:24">
      <c r="A7" s="1147" t="s">
        <v>10</v>
      </c>
      <c r="B7" s="858" t="s">
        <v>11</v>
      </c>
      <c r="C7" s="1148" t="s">
        <v>271</v>
      </c>
      <c r="D7" s="1198">
        <f>'Eligibililty Staff LASER-2012'!D5+'Services Staff LASER 2012'!D5+'Other Exp. LASER 2012'!D5</f>
        <v>1563938.29</v>
      </c>
      <c r="E7" s="1199">
        <f>'Eligibililty Staff LASER-2012'!E5+'Services Staff LASER 2012'!E5+'Other Exp. LASER 2012'!E5</f>
        <v>810536.95</v>
      </c>
      <c r="F7" s="1199">
        <f>'Eligibililty Staff LASER-2012'!F5+'Services Staff LASER 2012'!F5+'Other Exp. LASER 2012'!F5</f>
        <v>615705.97</v>
      </c>
      <c r="G7" s="1200">
        <f>SUM('Benefits Spending Summary'!D7:F7)</f>
        <v>2990181.21</v>
      </c>
      <c r="H7" s="1198">
        <f>'Services for Clients LASER 2012'!D6</f>
        <v>153140.44999999998</v>
      </c>
      <c r="I7" s="1199">
        <f>'Services for Clients LASER 2012'!E6</f>
        <v>21998.02</v>
      </c>
      <c r="J7" s="1199">
        <f>'Services for Clients LASER 2012'!F6</f>
        <v>24472.89</v>
      </c>
      <c r="K7" s="1200">
        <f t="shared" si="0"/>
        <v>199611.36</v>
      </c>
      <c r="L7" s="1198">
        <f>'Medicaid &amp; FAMIS - LASER 2012'!E5+'SNAP - LASER 2012'!E5+'SNAP - LASER 2012'!F5+'FC &amp; Adoptions LASER 2012'!D5+'LIHEAP LASER 2012'!E5+'TANF LASER 2012'!D5+'Other Benefits LASER 2012'!D6</f>
        <v>31527557.821099997</v>
      </c>
      <c r="M7" s="1199">
        <f>'Medicaid &amp; FAMIS - LASER 2012'!F5+'SNAP - LASER 2012'!G5+'FC &amp; Adoptions LASER 2012'!E5+'TANF LASER 2012'!E5+'Other Benefits LASER 2012'!E6</f>
        <v>20650218.268899996</v>
      </c>
      <c r="N7" s="1199">
        <f>'FC &amp; Adoptions LASER 2012'!F5+'TANF LASER 2012'!F5</f>
        <v>136495.31</v>
      </c>
      <c r="O7" s="1200">
        <f t="shared" si="1"/>
        <v>52314271.399999991</v>
      </c>
      <c r="Q7" s="951">
        <f t="shared" si="2"/>
        <v>0.52302458619221948</v>
      </c>
      <c r="R7" s="952">
        <f t="shared" si="3"/>
        <v>0.27106616391318972</v>
      </c>
      <c r="S7" s="952">
        <f t="shared" si="4"/>
        <v>0.20590924989459083</v>
      </c>
      <c r="T7" s="953">
        <f t="shared" ref="T7:T70" si="5">(D7+E7)/G7</f>
        <v>0.79409075010540919</v>
      </c>
      <c r="V7" s="951">
        <f t="shared" ref="V7:V70" si="6">F7/(F7+J7+N7)</f>
        <v>0.7927468091284664</v>
      </c>
      <c r="W7" s="952">
        <f t="shared" ref="W7:W70" si="7">J7/(F7+J7+N7)</f>
        <v>3.1509854383338129E-2</v>
      </c>
      <c r="X7" s="953">
        <f t="shared" ref="X7:X70" si="8">N7/(F7+J7+N7)</f>
        <v>0.17574333648819557</v>
      </c>
    </row>
    <row r="8" spans="1:24">
      <c r="A8" s="1147" t="s">
        <v>12</v>
      </c>
      <c r="B8" s="858" t="s">
        <v>13</v>
      </c>
      <c r="C8" s="1148" t="s">
        <v>272</v>
      </c>
      <c r="D8" s="1198">
        <f>'Eligibililty Staff LASER-2012'!D6+'Services Staff LASER 2012'!D6+'Other Exp. LASER 2012'!D6</f>
        <v>2960551.7199999997</v>
      </c>
      <c r="E8" s="1199">
        <f>'Eligibililty Staff LASER-2012'!E6+'Services Staff LASER 2012'!E6+'Other Exp. LASER 2012'!E6</f>
        <v>717148.83000000007</v>
      </c>
      <c r="F8" s="1199">
        <f>'Eligibililty Staff LASER-2012'!F6+'Services Staff LASER 2012'!F6+'Other Exp. LASER 2012'!F6</f>
        <v>5397006.8499999996</v>
      </c>
      <c r="G8" s="1200">
        <f>SUM('Benefits Spending Summary'!D8:F8)</f>
        <v>9074707.3999999985</v>
      </c>
      <c r="H8" s="1198">
        <f>'Services for Clients LASER 2012'!D7</f>
        <v>573670.55000000005</v>
      </c>
      <c r="I8" s="1199">
        <f>'Services for Clients LASER 2012'!E7</f>
        <v>97243.209999999992</v>
      </c>
      <c r="J8" s="1199">
        <f>'Services for Clients LASER 2012'!F7</f>
        <v>61308.770000000004</v>
      </c>
      <c r="K8" s="1200">
        <f t="shared" si="0"/>
        <v>732222.53</v>
      </c>
      <c r="L8" s="1198">
        <f>'Medicaid &amp; FAMIS - LASER 2012'!E6+'SNAP - LASER 2012'!E6+'SNAP - LASER 2012'!F6+'FC &amp; Adoptions LASER 2012'!D6+'LIHEAP LASER 2012'!E6+'TANF LASER 2012'!D6+'Other Benefits LASER 2012'!D7</f>
        <v>33850757.6712</v>
      </c>
      <c r="M8" s="1199">
        <f>'Medicaid &amp; FAMIS - LASER 2012'!F6+'SNAP - LASER 2012'!G6+'FC &amp; Adoptions LASER 2012'!E6+'TANF LASER 2012'!E6+'Other Benefits LASER 2012'!E7</f>
        <v>26867253.368799996</v>
      </c>
      <c r="N8" s="1199">
        <f>'FC &amp; Adoptions LASER 2012'!F6+'TANF LASER 2012'!F6</f>
        <v>2910628.39</v>
      </c>
      <c r="O8" s="1200">
        <f t="shared" si="1"/>
        <v>63628639.429999992</v>
      </c>
      <c r="Q8" s="951">
        <f t="shared" si="2"/>
        <v>0.32624211332698178</v>
      </c>
      <c r="R8" s="952">
        <f t="shared" si="3"/>
        <v>7.9027212491721788E-2</v>
      </c>
      <c r="S8" s="952">
        <f t="shared" si="4"/>
        <v>0.59473067418129655</v>
      </c>
      <c r="T8" s="953">
        <f t="shared" si="5"/>
        <v>0.40526932581870356</v>
      </c>
      <c r="V8" s="951">
        <f t="shared" si="6"/>
        <v>0.64488504685312142</v>
      </c>
      <c r="W8" s="952">
        <f t="shared" si="7"/>
        <v>7.3257474212687444E-3</v>
      </c>
      <c r="X8" s="953">
        <f t="shared" si="8"/>
        <v>0.34778920572560984</v>
      </c>
    </row>
    <row r="9" spans="1:24">
      <c r="A9" s="1147" t="s">
        <v>16</v>
      </c>
      <c r="B9" s="858" t="s">
        <v>307</v>
      </c>
      <c r="C9" s="1148" t="s">
        <v>272</v>
      </c>
      <c r="D9" s="1198">
        <f>'Eligibililty Staff LASER-2012'!D7+'Services Staff LASER 2012'!D7+'Other Exp. LASER 2012'!D7</f>
        <v>969621.8</v>
      </c>
      <c r="E9" s="1199">
        <f>'Eligibililty Staff LASER-2012'!E7+'Services Staff LASER 2012'!E7+'Other Exp. LASER 2012'!E7</f>
        <v>442651.17</v>
      </c>
      <c r="F9" s="1199">
        <f>'Eligibililty Staff LASER-2012'!F7+'Services Staff LASER 2012'!F7+'Other Exp. LASER 2012'!F7</f>
        <v>411940.95</v>
      </c>
      <c r="G9" s="1200">
        <f>SUM('Benefits Spending Summary'!D9:F9)</f>
        <v>1824213.92</v>
      </c>
      <c r="H9" s="1198">
        <f>'Services for Clients LASER 2012'!D8</f>
        <v>173620.58000000002</v>
      </c>
      <c r="I9" s="1199">
        <f>'Services for Clients LASER 2012'!E8</f>
        <v>37367.33</v>
      </c>
      <c r="J9" s="1199">
        <f>'Services for Clients LASER 2012'!F8</f>
        <v>28956.519999999997</v>
      </c>
      <c r="K9" s="1200">
        <f t="shared" si="0"/>
        <v>239944.43000000002</v>
      </c>
      <c r="L9" s="1198">
        <f>'Medicaid &amp; FAMIS - LASER 2012'!E7+'SNAP - LASER 2012'!E7+'SNAP - LASER 2012'!F7+'FC &amp; Adoptions LASER 2012'!D7+'LIHEAP LASER 2012'!E7+'TANF LASER 2012'!D7+'Other Benefits LASER 2012'!D8</f>
        <v>18747896.030500002</v>
      </c>
      <c r="M9" s="1199">
        <f>'Medicaid &amp; FAMIS - LASER 2012'!F7+'SNAP - LASER 2012'!G7+'FC &amp; Adoptions LASER 2012'!E7+'TANF LASER 2012'!E7+'Other Benefits LASER 2012'!E8</f>
        <v>14881168.559500001</v>
      </c>
      <c r="N9" s="1199">
        <f>'FC &amp; Adoptions LASER 2012'!F7+'TANF LASER 2012'!F7</f>
        <v>483126.98</v>
      </c>
      <c r="O9" s="1200">
        <f t="shared" si="1"/>
        <v>34112191.57</v>
      </c>
      <c r="Q9" s="951">
        <f t="shared" si="2"/>
        <v>0.53152856108016111</v>
      </c>
      <c r="R9" s="952">
        <f t="shared" si="3"/>
        <v>0.24265310397368309</v>
      </c>
      <c r="S9" s="952">
        <f t="shared" si="4"/>
        <v>0.22581833494615589</v>
      </c>
      <c r="T9" s="953">
        <f t="shared" si="5"/>
        <v>0.77418166505384411</v>
      </c>
      <c r="V9" s="951">
        <f t="shared" si="6"/>
        <v>0.44581174231915621</v>
      </c>
      <c r="W9" s="952">
        <f t="shared" si="7"/>
        <v>3.1337395888171575E-2</v>
      </c>
      <c r="X9" s="953">
        <f t="shared" si="8"/>
        <v>0.52285086179267226</v>
      </c>
    </row>
    <row r="10" spans="1:24">
      <c r="A10" s="1147" t="s">
        <v>18</v>
      </c>
      <c r="B10" s="858" t="s">
        <v>19</v>
      </c>
      <c r="C10" s="1148" t="s">
        <v>273</v>
      </c>
      <c r="D10" s="1198">
        <f>'Eligibililty Staff LASER-2012'!D8+'Services Staff LASER 2012'!D8+'Other Exp. LASER 2012'!D8</f>
        <v>528912.39999999991</v>
      </c>
      <c r="E10" s="1199">
        <f>'Eligibililty Staff LASER-2012'!E8+'Services Staff LASER 2012'!E8+'Other Exp. LASER 2012'!E8</f>
        <v>195321.47</v>
      </c>
      <c r="F10" s="1199">
        <f>'Eligibililty Staff LASER-2012'!F8+'Services Staff LASER 2012'!F8+'Other Exp. LASER 2012'!F8</f>
        <v>274522.75</v>
      </c>
      <c r="G10" s="1200">
        <f>SUM('Benefits Spending Summary'!D10:F10)</f>
        <v>998756.61999999988</v>
      </c>
      <c r="H10" s="1198">
        <f>'Services for Clients LASER 2012'!D9</f>
        <v>68241.340000000011</v>
      </c>
      <c r="I10" s="1199">
        <f>'Services for Clients LASER 2012'!E9</f>
        <v>30982.770000000004</v>
      </c>
      <c r="J10" s="1199">
        <f>'Services for Clients LASER 2012'!F9</f>
        <v>11830.050000000003</v>
      </c>
      <c r="K10" s="1200">
        <f t="shared" si="0"/>
        <v>111054.16000000002</v>
      </c>
      <c r="L10" s="1198">
        <f>'Medicaid &amp; FAMIS - LASER 2012'!E8+'SNAP - LASER 2012'!E8+'SNAP - LASER 2012'!F8+'FC &amp; Adoptions LASER 2012'!D8+'LIHEAP LASER 2012'!E8+'TANF LASER 2012'!D8+'Other Benefits LASER 2012'!D9</f>
        <v>9792911.8018999994</v>
      </c>
      <c r="M10" s="1199">
        <f>'Medicaid &amp; FAMIS - LASER 2012'!F8+'SNAP - LASER 2012'!G8+'FC &amp; Adoptions LASER 2012'!E8+'TANF LASER 2012'!E8+'Other Benefits LASER 2012'!E9</f>
        <v>6541908.7581000002</v>
      </c>
      <c r="N10" s="1199">
        <f>'FC &amp; Adoptions LASER 2012'!F8+'TANF LASER 2012'!F8</f>
        <v>113141.17</v>
      </c>
      <c r="O10" s="1200">
        <f t="shared" si="1"/>
        <v>16447961.729999999</v>
      </c>
      <c r="Q10" s="951">
        <f t="shared" si="2"/>
        <v>0.52957085781318769</v>
      </c>
      <c r="R10" s="952">
        <f t="shared" si="3"/>
        <v>0.19556463115108066</v>
      </c>
      <c r="S10" s="952">
        <f t="shared" si="4"/>
        <v>0.27486451103573162</v>
      </c>
      <c r="T10" s="953">
        <f t="shared" si="5"/>
        <v>0.72513548896426838</v>
      </c>
      <c r="V10" s="951">
        <f t="shared" si="6"/>
        <v>0.68717620443682792</v>
      </c>
      <c r="W10" s="952">
        <f t="shared" si="7"/>
        <v>2.9612587143680803E-2</v>
      </c>
      <c r="X10" s="953">
        <f t="shared" si="8"/>
        <v>0.28321120841949132</v>
      </c>
    </row>
    <row r="11" spans="1:24">
      <c r="A11" s="1147" t="s">
        <v>20</v>
      </c>
      <c r="B11" s="858" t="s">
        <v>21</v>
      </c>
      <c r="C11" s="1148" t="s">
        <v>272</v>
      </c>
      <c r="D11" s="1198">
        <f>'Eligibililty Staff LASER-2012'!D9+'Services Staff LASER 2012'!D9+'Other Exp. LASER 2012'!D9</f>
        <v>883456.03999999992</v>
      </c>
      <c r="E11" s="1199">
        <f>'Eligibililty Staff LASER-2012'!E9+'Services Staff LASER 2012'!E9+'Other Exp. LASER 2012'!E9</f>
        <v>353224.17000000004</v>
      </c>
      <c r="F11" s="1199">
        <f>'Eligibililty Staff LASER-2012'!F9+'Services Staff LASER 2012'!F9+'Other Exp. LASER 2012'!F9</f>
        <v>500776.86</v>
      </c>
      <c r="G11" s="1200">
        <f>SUM('Benefits Spending Summary'!D11:F11)</f>
        <v>1737457.0699999998</v>
      </c>
      <c r="H11" s="1198">
        <f>'Services for Clients LASER 2012'!D10</f>
        <v>214279.97999999998</v>
      </c>
      <c r="I11" s="1199">
        <f>'Services for Clients LASER 2012'!E10</f>
        <v>49189.100000000006</v>
      </c>
      <c r="J11" s="1199">
        <f>'Services for Clients LASER 2012'!F10</f>
        <v>20859.010000000002</v>
      </c>
      <c r="K11" s="1200">
        <f t="shared" si="0"/>
        <v>284328.08999999997</v>
      </c>
      <c r="L11" s="1198">
        <f>'Medicaid &amp; FAMIS - LASER 2012'!E9+'SNAP - LASER 2012'!E9+'SNAP - LASER 2012'!F9+'FC &amp; Adoptions LASER 2012'!D9+'LIHEAP LASER 2012'!E9+'TANF LASER 2012'!D9+'Other Benefits LASER 2012'!D10</f>
        <v>22725713.053799998</v>
      </c>
      <c r="M11" s="1199">
        <f>'Medicaid &amp; FAMIS - LASER 2012'!F9+'SNAP - LASER 2012'!G9+'FC &amp; Adoptions LASER 2012'!E9+'TANF LASER 2012'!E9+'Other Benefits LASER 2012'!E10</f>
        <v>16844058.6862</v>
      </c>
      <c r="N11" s="1199">
        <f>'FC &amp; Adoptions LASER 2012'!F9+'TANF LASER 2012'!F9</f>
        <v>259470.29</v>
      </c>
      <c r="O11" s="1200">
        <f t="shared" si="1"/>
        <v>39829242.029999994</v>
      </c>
      <c r="Q11" s="951">
        <f t="shared" si="2"/>
        <v>0.50847647130642482</v>
      </c>
      <c r="R11" s="952">
        <f t="shared" si="3"/>
        <v>0.20329950943766345</v>
      </c>
      <c r="S11" s="952">
        <f t="shared" si="4"/>
        <v>0.28822401925591179</v>
      </c>
      <c r="T11" s="953">
        <f t="shared" si="5"/>
        <v>0.71177598074408832</v>
      </c>
      <c r="V11" s="951">
        <f t="shared" si="6"/>
        <v>0.64111241934130947</v>
      </c>
      <c r="W11" s="952">
        <f t="shared" si="7"/>
        <v>2.6704449495059675E-2</v>
      </c>
      <c r="X11" s="953">
        <f t="shared" si="8"/>
        <v>0.3321831311636308</v>
      </c>
    </row>
    <row r="12" spans="1:24">
      <c r="A12" s="1147" t="s">
        <v>22</v>
      </c>
      <c r="B12" s="858" t="s">
        <v>23</v>
      </c>
      <c r="C12" s="1148" t="s">
        <v>272</v>
      </c>
      <c r="D12" s="1198">
        <f>'Eligibililty Staff LASER-2012'!D10+'Services Staff LASER 2012'!D10+'Other Exp. LASER 2012'!D10</f>
        <v>596658.48</v>
      </c>
      <c r="E12" s="1199">
        <f>'Eligibililty Staff LASER-2012'!E10+'Services Staff LASER 2012'!E10+'Other Exp. LASER 2012'!E10</f>
        <v>259521.64</v>
      </c>
      <c r="F12" s="1199">
        <f>'Eligibililty Staff LASER-2012'!F10+'Services Staff LASER 2012'!F10+'Other Exp. LASER 2012'!F10</f>
        <v>266759.49</v>
      </c>
      <c r="G12" s="1200">
        <f>SUM('Benefits Spending Summary'!D12:F12)</f>
        <v>1122939.6099999999</v>
      </c>
      <c r="H12" s="1198">
        <f>'Services for Clients LASER 2012'!D11</f>
        <v>87254.87</v>
      </c>
      <c r="I12" s="1199">
        <f>'Services for Clients LASER 2012'!E11</f>
        <v>27950.47</v>
      </c>
      <c r="J12" s="1199">
        <f>'Services for Clients LASER 2012'!F11</f>
        <v>13255.53</v>
      </c>
      <c r="K12" s="1200">
        <f t="shared" si="0"/>
        <v>128460.87</v>
      </c>
      <c r="L12" s="1198">
        <f>'Medicaid &amp; FAMIS - LASER 2012'!E10+'SNAP - LASER 2012'!E10+'SNAP - LASER 2012'!F10+'FC &amp; Adoptions LASER 2012'!D10+'LIHEAP LASER 2012'!E10+'TANF LASER 2012'!D10+'Other Benefits LASER 2012'!D11</f>
        <v>12112628.928300001</v>
      </c>
      <c r="M12" s="1199">
        <f>'Medicaid &amp; FAMIS - LASER 2012'!F10+'SNAP - LASER 2012'!G10+'FC &amp; Adoptions LASER 2012'!E10+'TANF LASER 2012'!E10+'Other Benefits LASER 2012'!E11</f>
        <v>8613763.1516999993</v>
      </c>
      <c r="N12" s="1199">
        <f>'FC &amp; Adoptions LASER 2012'!F10+'TANF LASER 2012'!F10</f>
        <v>218397.03</v>
      </c>
      <c r="O12" s="1200">
        <f t="shared" si="1"/>
        <v>20944789.109999999</v>
      </c>
      <c r="Q12" s="951">
        <f t="shared" si="2"/>
        <v>0.53133621317356505</v>
      </c>
      <c r="R12" s="952">
        <f t="shared" si="3"/>
        <v>0.23110916890713298</v>
      </c>
      <c r="S12" s="952">
        <f t="shared" si="4"/>
        <v>0.23755461791930202</v>
      </c>
      <c r="T12" s="953">
        <f t="shared" si="5"/>
        <v>0.76244538208069812</v>
      </c>
      <c r="V12" s="951">
        <f t="shared" si="6"/>
        <v>0.53521878132761835</v>
      </c>
      <c r="W12" s="952">
        <f t="shared" si="7"/>
        <v>2.6595524726980416E-2</v>
      </c>
      <c r="X12" s="953">
        <f t="shared" si="8"/>
        <v>0.43818569394540113</v>
      </c>
    </row>
    <row r="13" spans="1:24">
      <c r="A13" s="1147" t="s">
        <v>24</v>
      </c>
      <c r="B13" s="858" t="s">
        <v>25</v>
      </c>
      <c r="C13" s="1148" t="s">
        <v>274</v>
      </c>
      <c r="D13" s="1198">
        <f>'Eligibililty Staff LASER-2012'!D11+'Services Staff LASER 2012'!D11+'Other Exp. LASER 2012'!D11</f>
        <v>6736631.1399999997</v>
      </c>
      <c r="E13" s="1199">
        <f>'Eligibililty Staff LASER-2012'!E11+'Services Staff LASER 2012'!E11+'Other Exp. LASER 2012'!E11</f>
        <v>1960983.1800000002</v>
      </c>
      <c r="F13" s="1199">
        <f>'Eligibililty Staff LASER-2012'!F11+'Services Staff LASER 2012'!F11+'Other Exp. LASER 2012'!F11</f>
        <v>7681299.6600000001</v>
      </c>
      <c r="G13" s="1200">
        <f>SUM('Benefits Spending Summary'!D13:F13)</f>
        <v>16378913.98</v>
      </c>
      <c r="H13" s="1198">
        <f>'Services for Clients LASER 2012'!D12</f>
        <v>2313306.4300000002</v>
      </c>
      <c r="I13" s="1199">
        <f>'Services for Clients LASER 2012'!E12</f>
        <v>471261.24000000005</v>
      </c>
      <c r="J13" s="1199">
        <f>'Services for Clients LASER 2012'!F12</f>
        <v>1156357.2099999997</v>
      </c>
      <c r="K13" s="1200">
        <f t="shared" si="0"/>
        <v>3940924.88</v>
      </c>
      <c r="L13" s="1198">
        <f>'Medicaid &amp; FAMIS - LASER 2012'!E11+'SNAP - LASER 2012'!E11+'SNAP - LASER 2012'!F11+'FC &amp; Adoptions LASER 2012'!D11+'LIHEAP LASER 2012'!E11+'TANF LASER 2012'!D11+'Other Benefits LASER 2012'!D12</f>
        <v>50187259.847299993</v>
      </c>
      <c r="M13" s="1199">
        <f>'Medicaid &amp; FAMIS - LASER 2012'!F11+'SNAP - LASER 2012'!G11+'FC &amp; Adoptions LASER 2012'!E11+'TANF LASER 2012'!E11+'Other Benefits LASER 2012'!E12</f>
        <v>43408809.23269999</v>
      </c>
      <c r="N13" s="1199">
        <f>'FC &amp; Adoptions LASER 2012'!F11+'TANF LASER 2012'!F11</f>
        <v>4036209.52</v>
      </c>
      <c r="O13" s="1200">
        <f t="shared" si="1"/>
        <v>97632278.599999979</v>
      </c>
      <c r="Q13" s="951">
        <f t="shared" si="2"/>
        <v>0.4112990121461032</v>
      </c>
      <c r="R13" s="952">
        <f t="shared" si="3"/>
        <v>0.11972608088634702</v>
      </c>
      <c r="S13" s="952">
        <f t="shared" si="4"/>
        <v>0.46897490696754973</v>
      </c>
      <c r="T13" s="953">
        <f t="shared" si="5"/>
        <v>0.53102509303245027</v>
      </c>
      <c r="V13" s="951">
        <f t="shared" si="6"/>
        <v>0.59665833303711957</v>
      </c>
      <c r="W13" s="952">
        <f t="shared" si="7"/>
        <v>8.9822060830009889E-2</v>
      </c>
      <c r="X13" s="953">
        <f t="shared" si="8"/>
        <v>0.31351960613287055</v>
      </c>
    </row>
    <row r="14" spans="1:24">
      <c r="A14" s="1147" t="s">
        <v>26</v>
      </c>
      <c r="B14" s="858" t="s">
        <v>308</v>
      </c>
      <c r="C14" s="1148" t="s">
        <v>272</v>
      </c>
      <c r="D14" s="1198">
        <f>'Eligibililty Staff LASER-2012'!D12+'Services Staff LASER 2012'!D12+'Other Exp. LASER 2012'!D12</f>
        <v>3750426.7800000003</v>
      </c>
      <c r="E14" s="1199">
        <f>'Eligibililty Staff LASER-2012'!E12+'Services Staff LASER 2012'!E12+'Other Exp. LASER 2012'!E12</f>
        <v>1358445.55</v>
      </c>
      <c r="F14" s="1199">
        <f>'Eligibililty Staff LASER-2012'!F12+'Services Staff LASER 2012'!F12+'Other Exp. LASER 2012'!F12</f>
        <v>2247157.67</v>
      </c>
      <c r="G14" s="1200">
        <f>SUM('Benefits Spending Summary'!D14:F14)</f>
        <v>7356030</v>
      </c>
      <c r="H14" s="1198">
        <f>'Services for Clients LASER 2012'!D13</f>
        <v>884626.26000000013</v>
      </c>
      <c r="I14" s="1199">
        <f>'Services for Clients LASER 2012'!E13</f>
        <v>347024.61000000004</v>
      </c>
      <c r="J14" s="1199">
        <f>'Services for Clients LASER 2012'!F13</f>
        <v>136595.01999999999</v>
      </c>
      <c r="K14" s="1200">
        <f t="shared" si="0"/>
        <v>1368245.8900000001</v>
      </c>
      <c r="L14" s="1198">
        <f>'Medicaid &amp; FAMIS - LASER 2012'!E12+'SNAP - LASER 2012'!E12+'SNAP - LASER 2012'!F12+'FC &amp; Adoptions LASER 2012'!D12+'LIHEAP LASER 2012'!E12+'TANF LASER 2012'!D12+'Other Benefits LASER 2012'!D13</f>
        <v>72429726.349999979</v>
      </c>
      <c r="M14" s="1199">
        <f>'Medicaid &amp; FAMIS - LASER 2012'!F12+'SNAP - LASER 2012'!G12+'FC &amp; Adoptions LASER 2012'!E12+'TANF LASER 2012'!E12+'Other Benefits LASER 2012'!E13</f>
        <v>53908103.609999999</v>
      </c>
      <c r="N14" s="1199">
        <f>'FC &amp; Adoptions LASER 2012'!F12+'TANF LASER 2012'!F12</f>
        <v>2060195.9900000002</v>
      </c>
      <c r="O14" s="1200">
        <f t="shared" si="1"/>
        <v>128398025.94999997</v>
      </c>
      <c r="Q14" s="951">
        <f t="shared" si="2"/>
        <v>0.50984386686840599</v>
      </c>
      <c r="R14" s="952">
        <f t="shared" si="3"/>
        <v>0.1846710181986751</v>
      </c>
      <c r="S14" s="952">
        <f t="shared" si="4"/>
        <v>0.30548511493291897</v>
      </c>
      <c r="T14" s="953">
        <f t="shared" si="5"/>
        <v>0.69451488506708103</v>
      </c>
      <c r="V14" s="951">
        <f t="shared" si="6"/>
        <v>0.50566688137361659</v>
      </c>
      <c r="W14" s="952">
        <f t="shared" si="7"/>
        <v>3.073730815451271E-2</v>
      </c>
      <c r="X14" s="953">
        <f t="shared" si="8"/>
        <v>0.46359581047187076</v>
      </c>
    </row>
    <row r="15" spans="1:24">
      <c r="A15" s="1147" t="s">
        <v>27</v>
      </c>
      <c r="B15" s="858" t="s">
        <v>28</v>
      </c>
      <c r="C15" s="1148" t="s">
        <v>272</v>
      </c>
      <c r="D15" s="1198">
        <f>'Eligibililty Staff LASER-2012'!D13+'Services Staff LASER 2012'!D13+'Other Exp. LASER 2012'!D13</f>
        <v>208687.34999999998</v>
      </c>
      <c r="E15" s="1199">
        <f>'Eligibililty Staff LASER-2012'!E13+'Services Staff LASER 2012'!E13+'Other Exp. LASER 2012'!E13</f>
        <v>98527.03</v>
      </c>
      <c r="F15" s="1199">
        <f>'Eligibililty Staff LASER-2012'!F13+'Services Staff LASER 2012'!F13+'Other Exp. LASER 2012'!F13</f>
        <v>90862.25</v>
      </c>
      <c r="G15" s="1200">
        <f>SUM('Benefits Spending Summary'!D15:F15)</f>
        <v>398076.63</v>
      </c>
      <c r="H15" s="1198">
        <f>'Services for Clients LASER 2012'!D14</f>
        <v>14172.51</v>
      </c>
      <c r="I15" s="1199">
        <f>'Services for Clients LASER 2012'!E14</f>
        <v>1102.81</v>
      </c>
      <c r="J15" s="1199">
        <f>'Services for Clients LASER 2012'!F14</f>
        <v>2740.98</v>
      </c>
      <c r="K15" s="1200">
        <f t="shared" si="0"/>
        <v>18016.3</v>
      </c>
      <c r="L15" s="1198">
        <f>'Medicaid &amp; FAMIS - LASER 2012'!E13+'SNAP - LASER 2012'!E13+'SNAP - LASER 2012'!F13+'FC &amp; Adoptions LASER 2012'!D13+'LIHEAP LASER 2012'!E13+'TANF LASER 2012'!D13+'Other Benefits LASER 2012'!D14</f>
        <v>2397630.375</v>
      </c>
      <c r="M15" s="1199">
        <f>'Medicaid &amp; FAMIS - LASER 2012'!F13+'SNAP - LASER 2012'!G13+'FC &amp; Adoptions LASER 2012'!E13+'TANF LASER 2012'!E13+'Other Benefits LASER 2012'!E14</f>
        <v>1835390.6049999997</v>
      </c>
      <c r="N15" s="1199">
        <f>'FC &amp; Adoptions LASER 2012'!F13+'TANF LASER 2012'!F13</f>
        <v>57477.04</v>
      </c>
      <c r="O15" s="1200">
        <f t="shared" si="1"/>
        <v>4290498.0199999996</v>
      </c>
      <c r="Q15" s="951">
        <f t="shared" si="2"/>
        <v>0.52423913958475776</v>
      </c>
      <c r="R15" s="952">
        <f t="shared" si="3"/>
        <v>0.24750769719890364</v>
      </c>
      <c r="S15" s="952">
        <f t="shared" si="4"/>
        <v>0.22825316321633851</v>
      </c>
      <c r="T15" s="953">
        <f t="shared" si="5"/>
        <v>0.77174683678366152</v>
      </c>
      <c r="V15" s="951">
        <f t="shared" si="6"/>
        <v>0.60141704803678209</v>
      </c>
      <c r="W15" s="952">
        <f t="shared" si="7"/>
        <v>1.8142541047881371E-2</v>
      </c>
      <c r="X15" s="953">
        <f t="shared" si="8"/>
        <v>0.38044041091533665</v>
      </c>
    </row>
    <row r="16" spans="1:24">
      <c r="A16" s="1147" t="s">
        <v>29</v>
      </c>
      <c r="B16" s="858" t="s">
        <v>804</v>
      </c>
      <c r="C16" s="1148" t="s">
        <v>272</v>
      </c>
      <c r="D16" s="1198">
        <f>'Eligibililty Staff LASER-2012'!D14+'Services Staff LASER 2012'!D14+'Other Exp. LASER 2012'!D14</f>
        <v>1774201.6700000002</v>
      </c>
      <c r="E16" s="1199">
        <f>'Eligibililty Staff LASER-2012'!E14+'Services Staff LASER 2012'!E14+'Other Exp. LASER 2012'!E14</f>
        <v>572935.01</v>
      </c>
      <c r="F16" s="1199">
        <f>'Eligibililty Staff LASER-2012'!F14+'Services Staff LASER 2012'!F14+'Other Exp. LASER 2012'!F14</f>
        <v>2170823.21</v>
      </c>
      <c r="G16" s="1200">
        <f>SUM('Benefits Spending Summary'!D16:F16)</f>
        <v>4517959.8900000006</v>
      </c>
      <c r="H16" s="1198">
        <f>'Services for Clients LASER 2012'!D15</f>
        <v>396672.47</v>
      </c>
      <c r="I16" s="1199">
        <f>'Services for Clients LASER 2012'!E15</f>
        <v>76865.539999999994</v>
      </c>
      <c r="J16" s="1199">
        <f>'Services for Clients LASER 2012'!F15</f>
        <v>43198.250000000007</v>
      </c>
      <c r="K16" s="1200">
        <f t="shared" si="0"/>
        <v>516736.25999999995</v>
      </c>
      <c r="L16" s="1198">
        <f>'Medicaid &amp; FAMIS - LASER 2012'!E14+'SNAP - LASER 2012'!E14+'SNAP - LASER 2012'!F14+'FC &amp; Adoptions LASER 2012'!D14+'LIHEAP LASER 2012'!E14+'TANF LASER 2012'!D14+'Other Benefits LASER 2012'!D15</f>
        <v>36289446.305000007</v>
      </c>
      <c r="M16" s="1199">
        <f>'Medicaid &amp; FAMIS - LASER 2012'!F14+'SNAP - LASER 2012'!G14+'FC &amp; Adoptions LASER 2012'!E14+'TANF LASER 2012'!E14+'Other Benefits LASER 2012'!E15</f>
        <v>26994747.904899999</v>
      </c>
      <c r="N16" s="1199">
        <f>'FC &amp; Adoptions LASER 2012'!F14+'TANF LASER 2012'!F14</f>
        <v>525262.57000000007</v>
      </c>
      <c r="O16" s="1200">
        <f t="shared" si="1"/>
        <v>63809456.779900007</v>
      </c>
      <c r="Q16" s="951">
        <f t="shared" si="2"/>
        <v>0.39269973908511169</v>
      </c>
      <c r="R16" s="952">
        <f t="shared" si="3"/>
        <v>0.12681277035418745</v>
      </c>
      <c r="S16" s="952">
        <f t="shared" si="4"/>
        <v>0.48048749056070078</v>
      </c>
      <c r="T16" s="953">
        <f t="shared" si="5"/>
        <v>0.51951250943929916</v>
      </c>
      <c r="V16" s="951">
        <f t="shared" si="6"/>
        <v>0.79247832142474095</v>
      </c>
      <c r="W16" s="952">
        <f t="shared" si="7"/>
        <v>1.5769905393855782E-2</v>
      </c>
      <c r="X16" s="953">
        <f t="shared" si="8"/>
        <v>0.19175177318140318</v>
      </c>
    </row>
    <row r="17" spans="1:24">
      <c r="A17" s="1147" t="s">
        <v>31</v>
      </c>
      <c r="B17" s="858" t="s">
        <v>32</v>
      </c>
      <c r="C17" s="1148" t="s">
        <v>275</v>
      </c>
      <c r="D17" s="1198">
        <f>'Eligibililty Staff LASER-2012'!D15+'Services Staff LASER 2012'!D15+'Other Exp. LASER 2012'!D15</f>
        <v>338514.32</v>
      </c>
      <c r="E17" s="1199">
        <f>'Eligibililty Staff LASER-2012'!E15+'Services Staff LASER 2012'!E15+'Other Exp. LASER 2012'!E15</f>
        <v>135567.60999999999</v>
      </c>
      <c r="F17" s="1199">
        <f>'Eligibililty Staff LASER-2012'!F15+'Services Staff LASER 2012'!F15+'Other Exp. LASER 2012'!F15</f>
        <v>211434.59</v>
      </c>
      <c r="G17" s="1200">
        <f>SUM('Benefits Spending Summary'!D17:F17)</f>
        <v>685516.52</v>
      </c>
      <c r="H17" s="1198">
        <f>'Services for Clients LASER 2012'!D16</f>
        <v>26366.23</v>
      </c>
      <c r="I17" s="1199">
        <f>'Services for Clients LASER 2012'!E16</f>
        <v>4131.21</v>
      </c>
      <c r="J17" s="1199">
        <f>'Services for Clients LASER 2012'!F16</f>
        <v>5935.3799999999992</v>
      </c>
      <c r="K17" s="1200">
        <f t="shared" si="0"/>
        <v>36432.82</v>
      </c>
      <c r="L17" s="1198">
        <f>'Medicaid &amp; FAMIS - LASER 2012'!E15+'SNAP - LASER 2012'!E15+'SNAP - LASER 2012'!F15+'FC &amp; Adoptions LASER 2012'!D15+'LIHEAP LASER 2012'!E15+'TANF LASER 2012'!D15+'Other Benefits LASER 2012'!D16</f>
        <v>3431466.2479000003</v>
      </c>
      <c r="M17" s="1199">
        <f>'Medicaid &amp; FAMIS - LASER 2012'!F15+'SNAP - LASER 2012'!G15+'FC &amp; Adoptions LASER 2012'!E15+'TANF LASER 2012'!E15+'Other Benefits LASER 2012'!E16</f>
        <v>2799850.4820999997</v>
      </c>
      <c r="N17" s="1199">
        <f>'FC &amp; Adoptions LASER 2012'!F15+'TANF LASER 2012'!F15</f>
        <v>73120.340000000011</v>
      </c>
      <c r="O17" s="1200">
        <f t="shared" si="1"/>
        <v>6304437.0700000003</v>
      </c>
      <c r="Q17" s="951">
        <f t="shared" si="2"/>
        <v>0.49380913533637383</v>
      </c>
      <c r="R17" s="952">
        <f t="shared" si="3"/>
        <v>0.19775980015769712</v>
      </c>
      <c r="S17" s="952">
        <f t="shared" si="4"/>
        <v>0.30843106450592905</v>
      </c>
      <c r="T17" s="953">
        <f t="shared" si="5"/>
        <v>0.69156893549407095</v>
      </c>
      <c r="V17" s="951">
        <f t="shared" si="6"/>
        <v>0.72785419245137639</v>
      </c>
      <c r="W17" s="952">
        <f t="shared" si="7"/>
        <v>2.0432282233441793E-2</v>
      </c>
      <c r="X17" s="953">
        <f t="shared" si="8"/>
        <v>0.25171352531518182</v>
      </c>
    </row>
    <row r="18" spans="1:24">
      <c r="A18" s="1147" t="s">
        <v>33</v>
      </c>
      <c r="B18" s="858" t="s">
        <v>34</v>
      </c>
      <c r="C18" s="1148" t="s">
        <v>272</v>
      </c>
      <c r="D18" s="1198">
        <f>'Eligibililty Staff LASER-2012'!D16+'Services Staff LASER 2012'!D16+'Other Exp. LASER 2012'!D16</f>
        <v>513702.62000000005</v>
      </c>
      <c r="E18" s="1199">
        <f>'Eligibililty Staff LASER-2012'!E16+'Services Staff LASER 2012'!E16+'Other Exp. LASER 2012'!E16</f>
        <v>233383.69</v>
      </c>
      <c r="F18" s="1199">
        <f>'Eligibililty Staff LASER-2012'!F16+'Services Staff LASER 2012'!F16+'Other Exp. LASER 2012'!F16</f>
        <v>248411.42999999996</v>
      </c>
      <c r="G18" s="1200">
        <f>SUM('Benefits Spending Summary'!D18:F18)</f>
        <v>995497.74</v>
      </c>
      <c r="H18" s="1198">
        <f>'Services for Clients LASER 2012'!D17</f>
        <v>165062.72999999998</v>
      </c>
      <c r="I18" s="1199">
        <f>'Services for Clients LASER 2012'!E17</f>
        <v>27342.799999999999</v>
      </c>
      <c r="J18" s="1199">
        <f>'Services for Clients LASER 2012'!F17</f>
        <v>14744.14</v>
      </c>
      <c r="K18" s="1200">
        <f t="shared" si="0"/>
        <v>207149.66999999998</v>
      </c>
      <c r="L18" s="1198">
        <f>'Medicaid &amp; FAMIS - LASER 2012'!E16+'SNAP - LASER 2012'!E16+'SNAP - LASER 2012'!F16+'FC &amp; Adoptions LASER 2012'!D16+'LIHEAP LASER 2012'!E16+'TANF LASER 2012'!D16+'Other Benefits LASER 2012'!D17</f>
        <v>10724987.397299999</v>
      </c>
      <c r="M18" s="1199">
        <f>'Medicaid &amp; FAMIS - LASER 2012'!F16+'SNAP - LASER 2012'!G16+'FC &amp; Adoptions LASER 2012'!E16+'TANF LASER 2012'!E16+'Other Benefits LASER 2012'!E17</f>
        <v>8933531.5827000011</v>
      </c>
      <c r="N18" s="1199">
        <f>'FC &amp; Adoptions LASER 2012'!F16+'TANF LASER 2012'!F16</f>
        <v>426007.98</v>
      </c>
      <c r="O18" s="1200">
        <f t="shared" si="1"/>
        <v>20084526.960000001</v>
      </c>
      <c r="Q18" s="951">
        <f t="shared" si="2"/>
        <v>0.51602590278105509</v>
      </c>
      <c r="R18" s="952">
        <f t="shared" si="3"/>
        <v>0.23443919621555345</v>
      </c>
      <c r="S18" s="952">
        <f t="shared" si="4"/>
        <v>0.24953490100339148</v>
      </c>
      <c r="T18" s="953">
        <f t="shared" si="5"/>
        <v>0.75046509899660852</v>
      </c>
      <c r="V18" s="951">
        <f t="shared" si="6"/>
        <v>0.36045352369550016</v>
      </c>
      <c r="W18" s="952">
        <f t="shared" si="7"/>
        <v>2.139425394741205E-2</v>
      </c>
      <c r="X18" s="953">
        <f t="shared" si="8"/>
        <v>0.61815222235708789</v>
      </c>
    </row>
    <row r="19" spans="1:24">
      <c r="A19" s="1147" t="s">
        <v>37</v>
      </c>
      <c r="B19" s="858" t="s">
        <v>38</v>
      </c>
      <c r="C19" s="1148" t="s">
        <v>271</v>
      </c>
      <c r="D19" s="1198">
        <f>'Eligibililty Staff LASER-2012'!D17+'Services Staff LASER 2012'!D17+'Other Exp. LASER 2012'!D17</f>
        <v>826039.42</v>
      </c>
      <c r="E19" s="1199">
        <f>'Eligibililty Staff LASER-2012'!E17+'Services Staff LASER 2012'!E17+'Other Exp. LASER 2012'!E17</f>
        <v>421169.74</v>
      </c>
      <c r="F19" s="1199">
        <f>'Eligibililty Staff LASER-2012'!F17+'Services Staff LASER 2012'!F17+'Other Exp. LASER 2012'!F17</f>
        <v>291521.25</v>
      </c>
      <c r="G19" s="1200">
        <f>SUM('Benefits Spending Summary'!D19:F19)</f>
        <v>1538730.4100000001</v>
      </c>
      <c r="H19" s="1198">
        <f>'Services for Clients LASER 2012'!D18</f>
        <v>143308.88</v>
      </c>
      <c r="I19" s="1199">
        <f>'Services for Clients LASER 2012'!E18</f>
        <v>29817.74</v>
      </c>
      <c r="J19" s="1199">
        <f>'Services for Clients LASER 2012'!F18</f>
        <v>22122.770000000004</v>
      </c>
      <c r="K19" s="1200">
        <f t="shared" si="0"/>
        <v>195249.39</v>
      </c>
      <c r="L19" s="1198">
        <f>'Medicaid &amp; FAMIS - LASER 2012'!E17+'SNAP - LASER 2012'!E17+'SNAP - LASER 2012'!F17+'FC &amp; Adoptions LASER 2012'!D17+'LIHEAP LASER 2012'!E17+'TANF LASER 2012'!D17+'Other Benefits LASER 2012'!D18</f>
        <v>17736645.229199998</v>
      </c>
      <c r="M19" s="1199">
        <f>'Medicaid &amp; FAMIS - LASER 2012'!F17+'SNAP - LASER 2012'!G17+'FC &amp; Adoptions LASER 2012'!E17+'TANF LASER 2012'!E17+'Other Benefits LASER 2012'!E18</f>
        <v>11562928.330800001</v>
      </c>
      <c r="N19" s="1199">
        <f>'FC &amp; Adoptions LASER 2012'!F17+'TANF LASER 2012'!F17</f>
        <v>109877.05</v>
      </c>
      <c r="O19" s="1200">
        <f t="shared" si="1"/>
        <v>29409450.609999999</v>
      </c>
      <c r="Q19" s="951">
        <f t="shared" si="2"/>
        <v>0.53683180278473863</v>
      </c>
      <c r="R19" s="952">
        <f t="shared" si="3"/>
        <v>0.27371249522520319</v>
      </c>
      <c r="S19" s="952">
        <f t="shared" si="4"/>
        <v>0.18945570199005812</v>
      </c>
      <c r="T19" s="953">
        <f t="shared" si="5"/>
        <v>0.81054429800994188</v>
      </c>
      <c r="V19" s="951">
        <f t="shared" si="6"/>
        <v>0.68832761968607603</v>
      </c>
      <c r="W19" s="952">
        <f t="shared" si="7"/>
        <v>5.2235346874241709E-2</v>
      </c>
      <c r="X19" s="953">
        <f t="shared" si="8"/>
        <v>0.25943703343968222</v>
      </c>
    </row>
    <row r="20" spans="1:24">
      <c r="A20" s="1147" t="s">
        <v>39</v>
      </c>
      <c r="B20" s="858" t="s">
        <v>40</v>
      </c>
      <c r="C20" s="1148" t="s">
        <v>275</v>
      </c>
      <c r="D20" s="1198">
        <f>'Eligibililty Staff LASER-2012'!D18+'Services Staff LASER 2012'!D18+'Other Exp. LASER 2012'!D18</f>
        <v>1953857.3599999999</v>
      </c>
      <c r="E20" s="1199">
        <f>'Eligibililty Staff LASER-2012'!E18+'Services Staff LASER 2012'!E18+'Other Exp. LASER 2012'!E18</f>
        <v>764232.8</v>
      </c>
      <c r="F20" s="1199">
        <f>'Eligibililty Staff LASER-2012'!F18+'Services Staff LASER 2012'!F18+'Other Exp. LASER 2012'!F18</f>
        <v>1048287.5599999999</v>
      </c>
      <c r="G20" s="1200">
        <f>SUM('Benefits Spending Summary'!D20:F20)</f>
        <v>3766377.72</v>
      </c>
      <c r="H20" s="1198">
        <f>'Services for Clients LASER 2012'!D19</f>
        <v>194890.58</v>
      </c>
      <c r="I20" s="1199">
        <f>'Services for Clients LASER 2012'!E19</f>
        <v>17080.190000000002</v>
      </c>
      <c r="J20" s="1199">
        <f>'Services for Clients LASER 2012'!F19</f>
        <v>33941.39</v>
      </c>
      <c r="K20" s="1200">
        <f t="shared" si="0"/>
        <v>245912.15999999997</v>
      </c>
      <c r="L20" s="1198">
        <f>'Medicaid &amp; FAMIS - LASER 2012'!E18+'SNAP - LASER 2012'!E18+'SNAP - LASER 2012'!F18+'FC &amp; Adoptions LASER 2012'!D18+'LIHEAP LASER 2012'!E18+'TANF LASER 2012'!D18+'Other Benefits LASER 2012'!D19</f>
        <v>21471158.034299999</v>
      </c>
      <c r="M20" s="1199">
        <f>'Medicaid &amp; FAMIS - LASER 2012'!F18+'SNAP - LASER 2012'!G18+'FC &amp; Adoptions LASER 2012'!E18+'TANF LASER 2012'!E18+'Other Benefits LASER 2012'!E19</f>
        <v>14799884.5057</v>
      </c>
      <c r="N20" s="1199">
        <f>'FC &amp; Adoptions LASER 2012'!F18+'TANF LASER 2012'!F18</f>
        <v>464432.11000000004</v>
      </c>
      <c r="O20" s="1200">
        <f t="shared" si="1"/>
        <v>36735474.649999999</v>
      </c>
      <c r="Q20" s="951">
        <f t="shared" si="2"/>
        <v>0.51876298800960408</v>
      </c>
      <c r="R20" s="952">
        <f t="shared" si="3"/>
        <v>0.20290922918904691</v>
      </c>
      <c r="S20" s="952">
        <f t="shared" si="4"/>
        <v>0.27832778280134896</v>
      </c>
      <c r="T20" s="953">
        <f t="shared" si="5"/>
        <v>0.72167221719865104</v>
      </c>
      <c r="V20" s="951">
        <f t="shared" si="6"/>
        <v>0.67777458624321985</v>
      </c>
      <c r="W20" s="952">
        <f t="shared" si="7"/>
        <v>2.1944943774559113E-2</v>
      </c>
      <c r="X20" s="953">
        <f t="shared" si="8"/>
        <v>0.30028046998222097</v>
      </c>
    </row>
    <row r="21" spans="1:24">
      <c r="A21" s="1147" t="s">
        <v>41</v>
      </c>
      <c r="B21" s="858" t="s">
        <v>42</v>
      </c>
      <c r="C21" s="1148" t="s">
        <v>273</v>
      </c>
      <c r="D21" s="1198">
        <f>'Eligibililty Staff LASER-2012'!D19+'Services Staff LASER 2012'!D19+'Other Exp. LASER 2012'!D19</f>
        <v>620960.21</v>
      </c>
      <c r="E21" s="1199">
        <f>'Eligibililty Staff LASER-2012'!E19+'Services Staff LASER 2012'!E19+'Other Exp. LASER 2012'!E19</f>
        <v>275770.34000000003</v>
      </c>
      <c r="F21" s="1199">
        <f>'Eligibililty Staff LASER-2012'!F19+'Services Staff LASER 2012'!F19+'Other Exp. LASER 2012'!F19</f>
        <v>304909.90999999997</v>
      </c>
      <c r="G21" s="1200">
        <f>SUM('Benefits Spending Summary'!D21:F21)</f>
        <v>1201640.46</v>
      </c>
      <c r="H21" s="1198">
        <f>'Services for Clients LASER 2012'!D20</f>
        <v>134748.97999999998</v>
      </c>
      <c r="I21" s="1199">
        <f>'Services for Clients LASER 2012'!E20</f>
        <v>26267.339999999997</v>
      </c>
      <c r="J21" s="1199">
        <f>'Services for Clients LASER 2012'!F20</f>
        <v>16696.599999999999</v>
      </c>
      <c r="K21" s="1200">
        <f t="shared" si="0"/>
        <v>177712.91999999998</v>
      </c>
      <c r="L21" s="1198">
        <f>'Medicaid &amp; FAMIS - LASER 2012'!E19+'SNAP - LASER 2012'!E19+'SNAP - LASER 2012'!F19+'FC &amp; Adoptions LASER 2012'!D19+'LIHEAP LASER 2012'!E19+'TANF LASER 2012'!D19+'Other Benefits LASER 2012'!D20</f>
        <v>14340560.146500001</v>
      </c>
      <c r="M21" s="1199">
        <f>'Medicaid &amp; FAMIS - LASER 2012'!F19+'SNAP - LASER 2012'!G19+'FC &amp; Adoptions LASER 2012'!E19+'TANF LASER 2012'!E19+'Other Benefits LASER 2012'!E20</f>
        <v>9452328.8435000014</v>
      </c>
      <c r="N21" s="1199">
        <f>'FC &amp; Adoptions LASER 2012'!F19+'TANF LASER 2012'!F19</f>
        <v>221976.30000000002</v>
      </c>
      <c r="O21" s="1200">
        <f t="shared" si="1"/>
        <v>24014865.290000003</v>
      </c>
      <c r="Q21" s="951">
        <f t="shared" si="2"/>
        <v>0.51676040435589188</v>
      </c>
      <c r="R21" s="952">
        <f t="shared" si="3"/>
        <v>0.22949488568319348</v>
      </c>
      <c r="S21" s="952">
        <f t="shared" si="4"/>
        <v>0.25374470996091458</v>
      </c>
      <c r="T21" s="953">
        <f t="shared" si="5"/>
        <v>0.74625529003908542</v>
      </c>
      <c r="V21" s="951">
        <f t="shared" si="6"/>
        <v>0.5609263287777625</v>
      </c>
      <c r="W21" s="952">
        <f t="shared" si="7"/>
        <v>3.071583518249961E-2</v>
      </c>
      <c r="X21" s="953">
        <f t="shared" si="8"/>
        <v>0.40835783603973796</v>
      </c>
    </row>
    <row r="22" spans="1:24">
      <c r="A22" s="1147" t="s">
        <v>43</v>
      </c>
      <c r="B22" s="858" t="s">
        <v>44</v>
      </c>
      <c r="C22" s="1148" t="s">
        <v>272</v>
      </c>
      <c r="D22" s="1198">
        <f>'Eligibililty Staff LASER-2012'!D20+'Services Staff LASER 2012'!D20+'Other Exp. LASER 2012'!D20</f>
        <v>2071285.41</v>
      </c>
      <c r="E22" s="1199">
        <f>'Eligibililty Staff LASER-2012'!E20+'Services Staff LASER 2012'!E20+'Other Exp. LASER 2012'!E20</f>
        <v>831678.27</v>
      </c>
      <c r="F22" s="1199">
        <f>'Eligibililty Staff LASER-2012'!F20+'Services Staff LASER 2012'!F20+'Other Exp. LASER 2012'!F20</f>
        <v>1057317.22</v>
      </c>
      <c r="G22" s="1200">
        <f>SUM('Benefits Spending Summary'!D22:F22)</f>
        <v>3960280.8999999994</v>
      </c>
      <c r="H22" s="1198">
        <f>'Services for Clients LASER 2012'!D21</f>
        <v>373640.03</v>
      </c>
      <c r="I22" s="1199">
        <f>'Services for Clients LASER 2012'!E21</f>
        <v>134293.68999999997</v>
      </c>
      <c r="J22" s="1199">
        <f>'Services for Clients LASER 2012'!F21</f>
        <v>158133.78000000003</v>
      </c>
      <c r="K22" s="1200">
        <f t="shared" si="0"/>
        <v>666067.5</v>
      </c>
      <c r="L22" s="1198">
        <f>'Medicaid &amp; FAMIS - LASER 2012'!E20+'SNAP - LASER 2012'!E20+'SNAP - LASER 2012'!F20+'FC &amp; Adoptions LASER 2012'!D20+'LIHEAP LASER 2012'!E20+'TANF LASER 2012'!D20+'Other Benefits LASER 2012'!D21</f>
        <v>39633681.068799995</v>
      </c>
      <c r="M22" s="1199">
        <f>'Medicaid &amp; FAMIS - LASER 2012'!F20+'SNAP - LASER 2012'!G20+'FC &amp; Adoptions LASER 2012'!E20+'TANF LASER 2012'!E20+'Other Benefits LASER 2012'!E21</f>
        <v>28975680.111200001</v>
      </c>
      <c r="N22" s="1199">
        <f>'FC &amp; Adoptions LASER 2012'!F20+'TANF LASER 2012'!F20</f>
        <v>491960.23</v>
      </c>
      <c r="O22" s="1200">
        <f t="shared" si="1"/>
        <v>69101321.409999996</v>
      </c>
      <c r="Q22" s="951">
        <f t="shared" si="2"/>
        <v>0.52301477150269826</v>
      </c>
      <c r="R22" s="952">
        <f t="shared" si="3"/>
        <v>0.21000486859404346</v>
      </c>
      <c r="S22" s="952">
        <f t="shared" si="4"/>
        <v>0.26698035990325841</v>
      </c>
      <c r="T22" s="953">
        <f t="shared" si="5"/>
        <v>0.7330196400967417</v>
      </c>
      <c r="V22" s="951">
        <f t="shared" si="6"/>
        <v>0.61925164917651387</v>
      </c>
      <c r="W22" s="952">
        <f t="shared" si="7"/>
        <v>9.2616106314352881E-2</v>
      </c>
      <c r="X22" s="953">
        <f t="shared" si="8"/>
        <v>0.28813224450913327</v>
      </c>
    </row>
    <row r="23" spans="1:24">
      <c r="A23" s="1147" t="s">
        <v>45</v>
      </c>
      <c r="B23" s="858" t="s">
        <v>46</v>
      </c>
      <c r="C23" s="1148" t="s">
        <v>273</v>
      </c>
      <c r="D23" s="1198">
        <f>'Eligibililty Staff LASER-2012'!D21+'Services Staff LASER 2012'!D21+'Other Exp. LASER 2012'!D21</f>
        <v>989641.02999999991</v>
      </c>
      <c r="E23" s="1199">
        <f>'Eligibililty Staff LASER-2012'!E21+'Services Staff LASER 2012'!E21+'Other Exp. LASER 2012'!E21</f>
        <v>345530.44</v>
      </c>
      <c r="F23" s="1199">
        <f>'Eligibililty Staff LASER-2012'!F21+'Services Staff LASER 2012'!F21+'Other Exp. LASER 2012'!F21</f>
        <v>624737.22</v>
      </c>
      <c r="G23" s="1200">
        <f>SUM('Benefits Spending Summary'!D23:F23)</f>
        <v>1959908.69</v>
      </c>
      <c r="H23" s="1198">
        <f>'Services for Clients LASER 2012'!D22</f>
        <v>324110.77</v>
      </c>
      <c r="I23" s="1199">
        <f>'Services for Clients LASER 2012'!E22</f>
        <v>79022.89</v>
      </c>
      <c r="J23" s="1199">
        <f>'Services for Clients LASER 2012'!F22</f>
        <v>31434.1</v>
      </c>
      <c r="K23" s="1200">
        <f t="shared" si="0"/>
        <v>434567.76</v>
      </c>
      <c r="L23" s="1198">
        <f>'Medicaid &amp; FAMIS - LASER 2012'!E21+'SNAP - LASER 2012'!E21+'SNAP - LASER 2012'!F21+'FC &amp; Adoptions LASER 2012'!D21+'LIHEAP LASER 2012'!E21+'TANF LASER 2012'!D21+'Other Benefits LASER 2012'!D22</f>
        <v>20865413.739200003</v>
      </c>
      <c r="M23" s="1199">
        <f>'Medicaid &amp; FAMIS - LASER 2012'!F21+'SNAP - LASER 2012'!G21+'FC &amp; Adoptions LASER 2012'!E21+'TANF LASER 2012'!E21+'Other Benefits LASER 2012'!E22</f>
        <v>13418354.070800001</v>
      </c>
      <c r="N23" s="1199">
        <f>'FC &amp; Adoptions LASER 2012'!F21+'TANF LASER 2012'!F21</f>
        <v>551709.12</v>
      </c>
      <c r="O23" s="1200">
        <f t="shared" si="1"/>
        <v>34835476.93</v>
      </c>
      <c r="Q23" s="951">
        <f t="shared" si="2"/>
        <v>0.50494241647553484</v>
      </c>
      <c r="R23" s="952">
        <f t="shared" si="3"/>
        <v>0.17629925402290042</v>
      </c>
      <c r="S23" s="952">
        <f t="shared" si="4"/>
        <v>0.31875832950156469</v>
      </c>
      <c r="T23" s="953">
        <f t="shared" si="5"/>
        <v>0.68124167049843531</v>
      </c>
      <c r="V23" s="951">
        <f t="shared" si="6"/>
        <v>0.51721776370515615</v>
      </c>
      <c r="W23" s="952">
        <f t="shared" si="7"/>
        <v>2.6024181664867425E-2</v>
      </c>
      <c r="X23" s="953">
        <f t="shared" si="8"/>
        <v>0.45675805462997648</v>
      </c>
    </row>
    <row r="24" spans="1:24">
      <c r="A24" s="1147" t="s">
        <v>47</v>
      </c>
      <c r="B24" s="858" t="s">
        <v>48</v>
      </c>
      <c r="C24" s="1148" t="s">
        <v>275</v>
      </c>
      <c r="D24" s="1198">
        <f>'Eligibililty Staff LASER-2012'!D22+'Services Staff LASER 2012'!D22+'Other Exp. LASER 2012'!D22</f>
        <v>1045406.97</v>
      </c>
      <c r="E24" s="1199">
        <f>'Eligibililty Staff LASER-2012'!E22+'Services Staff LASER 2012'!E22+'Other Exp. LASER 2012'!E22</f>
        <v>462787.5</v>
      </c>
      <c r="F24" s="1199">
        <f>'Eligibililty Staff LASER-2012'!F22+'Services Staff LASER 2012'!F22+'Other Exp. LASER 2012'!F22</f>
        <v>594984.6</v>
      </c>
      <c r="G24" s="1200">
        <f>SUM('Benefits Spending Summary'!D24:F24)</f>
        <v>2103179.0699999998</v>
      </c>
      <c r="H24" s="1198">
        <f>'Services for Clients LASER 2012'!D23</f>
        <v>222146.2</v>
      </c>
      <c r="I24" s="1199">
        <f>'Services for Clients LASER 2012'!E23</f>
        <v>74673.7</v>
      </c>
      <c r="J24" s="1199">
        <f>'Services for Clients LASER 2012'!F23</f>
        <v>40313.79</v>
      </c>
      <c r="K24" s="1200">
        <f t="shared" si="0"/>
        <v>337133.69</v>
      </c>
      <c r="L24" s="1198">
        <f>'Medicaid &amp; FAMIS - LASER 2012'!E22+'SNAP - LASER 2012'!E22+'SNAP - LASER 2012'!F22+'FC &amp; Adoptions LASER 2012'!D22+'LIHEAP LASER 2012'!E22+'TANF LASER 2012'!D22+'Other Benefits LASER 2012'!D23</f>
        <v>25975398.417399999</v>
      </c>
      <c r="M24" s="1199">
        <f>'Medicaid &amp; FAMIS - LASER 2012'!F22+'SNAP - LASER 2012'!G22+'FC &amp; Adoptions LASER 2012'!E22+'TANF LASER 2012'!E22+'Other Benefits LASER 2012'!E23</f>
        <v>18453858.482600003</v>
      </c>
      <c r="N24" s="1199">
        <f>'FC &amp; Adoptions LASER 2012'!F22+'TANF LASER 2012'!F22</f>
        <v>504328.16000000003</v>
      </c>
      <c r="O24" s="1200">
        <f t="shared" si="1"/>
        <v>44933585.060000002</v>
      </c>
      <c r="Q24" s="951">
        <f t="shared" si="2"/>
        <v>0.49706037156408184</v>
      </c>
      <c r="R24" s="952">
        <f t="shared" si="3"/>
        <v>0.2200418911548031</v>
      </c>
      <c r="S24" s="952">
        <f t="shared" si="4"/>
        <v>0.28289773728111511</v>
      </c>
      <c r="T24" s="953">
        <f t="shared" si="5"/>
        <v>0.71710226271888489</v>
      </c>
      <c r="V24" s="951">
        <f t="shared" si="6"/>
        <v>0.5220873451921596</v>
      </c>
      <c r="W24" s="952">
        <f t="shared" si="7"/>
        <v>3.5374561956282961E-2</v>
      </c>
      <c r="X24" s="953">
        <f t="shared" si="8"/>
        <v>0.44253809285155737</v>
      </c>
    </row>
    <row r="25" spans="1:24">
      <c r="A25" s="1147" t="s">
        <v>49</v>
      </c>
      <c r="B25" s="858" t="s">
        <v>276</v>
      </c>
      <c r="C25" s="1148" t="s">
        <v>273</v>
      </c>
      <c r="D25" s="1198">
        <f>'Eligibililty Staff LASER-2012'!D23+'Services Staff LASER 2012'!D23+'Other Exp. LASER 2012'!D23</f>
        <v>411424.10000000003</v>
      </c>
      <c r="E25" s="1199">
        <f>'Eligibililty Staff LASER-2012'!E23+'Services Staff LASER 2012'!E23+'Other Exp. LASER 2012'!E23</f>
        <v>187958.35</v>
      </c>
      <c r="F25" s="1199">
        <f>'Eligibililty Staff LASER-2012'!F23+'Services Staff LASER 2012'!F23+'Other Exp. LASER 2012'!F23</f>
        <v>169434.38</v>
      </c>
      <c r="G25" s="1200">
        <f>SUM('Benefits Spending Summary'!D25:F25)</f>
        <v>768816.83000000007</v>
      </c>
      <c r="H25" s="1198">
        <f>'Services for Clients LASER 2012'!D24</f>
        <v>86287.31</v>
      </c>
      <c r="I25" s="1199">
        <f>'Services for Clients LASER 2012'!E24</f>
        <v>12217.07</v>
      </c>
      <c r="J25" s="1199">
        <f>'Services for Clients LASER 2012'!F24</f>
        <v>17352</v>
      </c>
      <c r="K25" s="1200">
        <f t="shared" si="0"/>
        <v>115856.38</v>
      </c>
      <c r="L25" s="1198">
        <f>'Medicaid &amp; FAMIS - LASER 2012'!E23+'SNAP - LASER 2012'!E23+'SNAP - LASER 2012'!F23+'FC &amp; Adoptions LASER 2012'!D23+'LIHEAP LASER 2012'!E23+'TANF LASER 2012'!D23+'Other Benefits LASER 2012'!D24</f>
        <v>4563361.4860999994</v>
      </c>
      <c r="M25" s="1199">
        <f>'Medicaid &amp; FAMIS - LASER 2012'!F23+'SNAP - LASER 2012'!G23+'FC &amp; Adoptions LASER 2012'!E23+'TANF LASER 2012'!E23+'Other Benefits LASER 2012'!E24</f>
        <v>2803451.3638999998</v>
      </c>
      <c r="N25" s="1199">
        <f>'FC &amp; Adoptions LASER 2012'!F23+'TANF LASER 2012'!F23</f>
        <v>55443.18</v>
      </c>
      <c r="O25" s="1200">
        <f t="shared" si="1"/>
        <v>7422256.0299999993</v>
      </c>
      <c r="Q25" s="951">
        <f t="shared" si="2"/>
        <v>0.53513929969509122</v>
      </c>
      <c r="R25" s="952">
        <f t="shared" si="3"/>
        <v>0.24447741343019244</v>
      </c>
      <c r="S25" s="952">
        <f t="shared" si="4"/>
        <v>0.22038328687471628</v>
      </c>
      <c r="T25" s="953">
        <f t="shared" si="5"/>
        <v>0.77961671312528369</v>
      </c>
      <c r="V25" s="951">
        <f t="shared" si="6"/>
        <v>0.69947854423712785</v>
      </c>
      <c r="W25" s="952">
        <f t="shared" si="7"/>
        <v>7.1634527181571067E-2</v>
      </c>
      <c r="X25" s="953">
        <f t="shared" si="8"/>
        <v>0.22888692858130114</v>
      </c>
    </row>
    <row r="26" spans="1:24">
      <c r="A26" s="1147" t="s">
        <v>51</v>
      </c>
      <c r="B26" s="858" t="s">
        <v>52</v>
      </c>
      <c r="C26" s="1148" t="s">
        <v>272</v>
      </c>
      <c r="D26" s="1198">
        <f>'Eligibililty Staff LASER-2012'!D24+'Services Staff LASER 2012'!D24+'Other Exp. LASER 2012'!D24</f>
        <v>647550.38</v>
      </c>
      <c r="E26" s="1199">
        <f>'Eligibililty Staff LASER-2012'!E24+'Services Staff LASER 2012'!E24+'Other Exp. LASER 2012'!E24</f>
        <v>275102.63</v>
      </c>
      <c r="F26" s="1199">
        <f>'Eligibililty Staff LASER-2012'!F24+'Services Staff LASER 2012'!F24+'Other Exp. LASER 2012'!F24</f>
        <v>638266.29000000015</v>
      </c>
      <c r="G26" s="1200">
        <f>SUM('Benefits Spending Summary'!D26:F26)</f>
        <v>1560919.3000000003</v>
      </c>
      <c r="H26" s="1198">
        <f>'Services for Clients LASER 2012'!D25</f>
        <v>94352.170000000013</v>
      </c>
      <c r="I26" s="1199">
        <f>'Services for Clients LASER 2012'!E25</f>
        <v>9573.8499999999985</v>
      </c>
      <c r="J26" s="1199">
        <f>'Services for Clients LASER 2012'!F25</f>
        <v>16950.480000000003</v>
      </c>
      <c r="K26" s="1200">
        <f t="shared" si="0"/>
        <v>120876.50000000003</v>
      </c>
      <c r="L26" s="1198">
        <f>'Medicaid &amp; FAMIS - LASER 2012'!E24+'SNAP - LASER 2012'!E24+'SNAP - LASER 2012'!F24+'FC &amp; Adoptions LASER 2012'!D24+'LIHEAP LASER 2012'!E24+'TANF LASER 2012'!D24+'Other Benefits LASER 2012'!D25</f>
        <v>11874218.8555</v>
      </c>
      <c r="M26" s="1199">
        <f>'Medicaid &amp; FAMIS - LASER 2012'!F24+'SNAP - LASER 2012'!G24+'FC &amp; Adoptions LASER 2012'!E24+'TANF LASER 2012'!E24+'Other Benefits LASER 2012'!E25</f>
        <v>8324507.3645000001</v>
      </c>
      <c r="N26" s="1199">
        <f>'FC &amp; Adoptions LASER 2012'!F24+'TANF LASER 2012'!F24</f>
        <v>142680.82999999999</v>
      </c>
      <c r="O26" s="1200">
        <f t="shared" si="1"/>
        <v>20341407.049999997</v>
      </c>
      <c r="Q26" s="951">
        <f t="shared" si="2"/>
        <v>0.41485192732257198</v>
      </c>
      <c r="R26" s="952">
        <f t="shared" si="3"/>
        <v>0.17624398006994976</v>
      </c>
      <c r="S26" s="952">
        <f t="shared" si="4"/>
        <v>0.40890409260747818</v>
      </c>
      <c r="T26" s="953">
        <f t="shared" si="5"/>
        <v>0.59109590739252171</v>
      </c>
      <c r="V26" s="951">
        <f t="shared" si="6"/>
        <v>0.79993509192156997</v>
      </c>
      <c r="W26" s="952">
        <f t="shared" si="7"/>
        <v>2.124392904553166E-2</v>
      </c>
      <c r="X26" s="953">
        <f t="shared" si="8"/>
        <v>0.17882097903289842</v>
      </c>
    </row>
    <row r="27" spans="1:24">
      <c r="A27" s="1147" t="s">
        <v>57</v>
      </c>
      <c r="B27" s="858" t="s">
        <v>305</v>
      </c>
      <c r="C27" s="1148" t="s">
        <v>273</v>
      </c>
      <c r="D27" s="1198">
        <f>'Eligibililty Staff LASER-2012'!D25+'Services Staff LASER 2012'!D25+'Other Exp. LASER 2012'!D25</f>
        <v>4951511.3800000008</v>
      </c>
      <c r="E27" s="1199">
        <f>'Eligibililty Staff LASER-2012'!E25+'Services Staff LASER 2012'!E25+'Other Exp. LASER 2012'!E25</f>
        <v>1658881.24</v>
      </c>
      <c r="F27" s="1199">
        <f>'Eligibililty Staff LASER-2012'!F25+'Services Staff LASER 2012'!F25+'Other Exp. LASER 2012'!F25</f>
        <v>4514021.74</v>
      </c>
      <c r="G27" s="1200">
        <f>SUM('Benefits Spending Summary'!D27:F27)</f>
        <v>11124414.360000001</v>
      </c>
      <c r="H27" s="1198">
        <f>'Services for Clients LASER 2012'!D26</f>
        <v>1996218.4500000002</v>
      </c>
      <c r="I27" s="1199">
        <f>'Services for Clients LASER 2012'!E26</f>
        <v>811309.72000000009</v>
      </c>
      <c r="J27" s="1199">
        <f>'Services for Clients LASER 2012'!F26</f>
        <v>226353.69000000003</v>
      </c>
      <c r="K27" s="1200">
        <f t="shared" si="0"/>
        <v>3033881.8600000003</v>
      </c>
      <c r="L27" s="1198">
        <f>'Medicaid &amp; FAMIS - LASER 2012'!E25+'SNAP - LASER 2012'!E25+'SNAP - LASER 2012'!F25+'FC &amp; Adoptions LASER 2012'!D25+'LIHEAP LASER 2012'!E25+'TANF LASER 2012'!D25+'Other Benefits LASER 2012'!D26</f>
        <v>158117636.37740001</v>
      </c>
      <c r="M27" s="1199">
        <f>'Medicaid &amp; FAMIS - LASER 2012'!F25+'SNAP - LASER 2012'!G25+'FC &amp; Adoptions LASER 2012'!E25+'TANF LASER 2012'!E25+'Other Benefits LASER 2012'!E26</f>
        <v>108683881.5126</v>
      </c>
      <c r="N27" s="1199">
        <f>'FC &amp; Adoptions LASER 2012'!F25+'TANF LASER 2012'!F25</f>
        <v>2592219.0200000005</v>
      </c>
      <c r="O27" s="1200">
        <f t="shared" si="1"/>
        <v>269393736.91000003</v>
      </c>
      <c r="Q27" s="951">
        <f t="shared" si="2"/>
        <v>0.44510310563440753</v>
      </c>
      <c r="R27" s="952">
        <f t="shared" si="3"/>
        <v>0.14912077043487615</v>
      </c>
      <c r="S27" s="952">
        <f t="shared" si="4"/>
        <v>0.40577612393071627</v>
      </c>
      <c r="T27" s="953">
        <f t="shared" si="5"/>
        <v>0.59422387606928373</v>
      </c>
      <c r="V27" s="951">
        <f t="shared" si="6"/>
        <v>0.61561044604069159</v>
      </c>
      <c r="W27" s="952">
        <f t="shared" si="7"/>
        <v>3.0869522587601991E-2</v>
      </c>
      <c r="X27" s="953">
        <f t="shared" si="8"/>
        <v>0.3535200313717064</v>
      </c>
    </row>
    <row r="28" spans="1:24">
      <c r="A28" s="1147" t="s">
        <v>59</v>
      </c>
      <c r="B28" s="858" t="s">
        <v>60</v>
      </c>
      <c r="C28" s="1148" t="s">
        <v>274</v>
      </c>
      <c r="D28" s="1198">
        <f>'Eligibililty Staff LASER-2012'!D26+'Services Staff LASER 2012'!D26+'Other Exp. LASER 2012'!D26</f>
        <v>413540.23</v>
      </c>
      <c r="E28" s="1199">
        <f>'Eligibililty Staff LASER-2012'!E26+'Services Staff LASER 2012'!E26+'Other Exp. LASER 2012'!E26</f>
        <v>125430.19</v>
      </c>
      <c r="F28" s="1199">
        <f>'Eligibililty Staff LASER-2012'!F26+'Services Staff LASER 2012'!F26+'Other Exp. LASER 2012'!F26</f>
        <v>497475.37</v>
      </c>
      <c r="G28" s="1200">
        <f>SUM('Benefits Spending Summary'!D28:F28)</f>
        <v>1036445.7899999999</v>
      </c>
      <c r="H28" s="1198">
        <f>'Services for Clients LASER 2012'!D27</f>
        <v>140193.01</v>
      </c>
      <c r="I28" s="1199">
        <f>'Services for Clients LASER 2012'!E27</f>
        <v>31435.480000000003</v>
      </c>
      <c r="J28" s="1199">
        <f>'Services for Clients LASER 2012'!F27</f>
        <v>38212.97</v>
      </c>
      <c r="K28" s="1200">
        <f t="shared" si="0"/>
        <v>209841.46000000002</v>
      </c>
      <c r="L28" s="1198">
        <f>'Medicaid &amp; FAMIS - LASER 2012'!E26+'SNAP - LASER 2012'!E26+'SNAP - LASER 2012'!F26+'FC &amp; Adoptions LASER 2012'!D26+'LIHEAP LASER 2012'!E26+'TANF LASER 2012'!D26+'Other Benefits LASER 2012'!D27</f>
        <v>4878715.3050000006</v>
      </c>
      <c r="M28" s="1199">
        <f>'Medicaid &amp; FAMIS - LASER 2012'!F26+'SNAP - LASER 2012'!G26+'FC &amp; Adoptions LASER 2012'!E26+'TANF LASER 2012'!E26+'Other Benefits LASER 2012'!E27</f>
        <v>4086219.415</v>
      </c>
      <c r="N28" s="1199">
        <f>'FC &amp; Adoptions LASER 2012'!F26+'TANF LASER 2012'!F26</f>
        <v>348131.31</v>
      </c>
      <c r="O28" s="1200">
        <f t="shared" si="1"/>
        <v>9313066.0300000012</v>
      </c>
      <c r="Q28" s="951">
        <f t="shared" si="2"/>
        <v>0.39899841746667719</v>
      </c>
      <c r="R28" s="952">
        <f t="shared" si="3"/>
        <v>0.12101953735563922</v>
      </c>
      <c r="S28" s="952">
        <f t="shared" si="4"/>
        <v>0.47998204517768367</v>
      </c>
      <c r="T28" s="953">
        <f t="shared" si="5"/>
        <v>0.52001795482231639</v>
      </c>
      <c r="V28" s="951">
        <f t="shared" si="6"/>
        <v>0.56286977778781</v>
      </c>
      <c r="W28" s="952">
        <f t="shared" si="7"/>
        <v>4.3236162490843021E-2</v>
      </c>
      <c r="X28" s="953">
        <f t="shared" si="8"/>
        <v>0.39389405972134706</v>
      </c>
    </row>
    <row r="29" spans="1:24">
      <c r="A29" s="1147" t="s">
        <v>61</v>
      </c>
      <c r="B29" s="858" t="s">
        <v>62</v>
      </c>
      <c r="C29" s="1148" t="s">
        <v>272</v>
      </c>
      <c r="D29" s="1198">
        <f>'Eligibililty Staff LASER-2012'!D27+'Services Staff LASER 2012'!D27+'Other Exp. LASER 2012'!D27</f>
        <v>172485.63999999998</v>
      </c>
      <c r="E29" s="1199">
        <f>'Eligibililty Staff LASER-2012'!E27+'Services Staff LASER 2012'!E27+'Other Exp. LASER 2012'!E27</f>
        <v>80494.66</v>
      </c>
      <c r="F29" s="1199">
        <f>'Eligibililty Staff LASER-2012'!F27+'Services Staff LASER 2012'!F27+'Other Exp. LASER 2012'!F27</f>
        <v>544406.87</v>
      </c>
      <c r="G29" s="1200">
        <f>SUM('Benefits Spending Summary'!D29:F29)</f>
        <v>797387.16999999993</v>
      </c>
      <c r="H29" s="1198">
        <f>'Services for Clients LASER 2012'!D28</f>
        <v>31798.690000000002</v>
      </c>
      <c r="I29" s="1199">
        <f>'Services for Clients LASER 2012'!E28</f>
        <v>7218.45</v>
      </c>
      <c r="J29" s="1199">
        <f>'Services for Clients LASER 2012'!F28</f>
        <v>2668.47</v>
      </c>
      <c r="K29" s="1200">
        <f t="shared" si="0"/>
        <v>41685.61</v>
      </c>
      <c r="L29" s="1198">
        <f>'Medicaid &amp; FAMIS - LASER 2012'!E27+'SNAP - LASER 2012'!E27+'SNAP - LASER 2012'!F27+'FC &amp; Adoptions LASER 2012'!D27+'LIHEAP LASER 2012'!E27+'TANF LASER 2012'!D27+'Other Benefits LASER 2012'!D28</f>
        <v>2630751.4903000006</v>
      </c>
      <c r="M29" s="1199">
        <f>'Medicaid &amp; FAMIS - LASER 2012'!F27+'SNAP - LASER 2012'!G27+'FC &amp; Adoptions LASER 2012'!E27+'TANF LASER 2012'!E27+'Other Benefits LASER 2012'!E28</f>
        <v>2102338.5896999999</v>
      </c>
      <c r="N29" s="1199">
        <f>'FC &amp; Adoptions LASER 2012'!F27+'TANF LASER 2012'!F27</f>
        <v>164595.32</v>
      </c>
      <c r="O29" s="1200">
        <f t="shared" si="1"/>
        <v>4897685.4000000004</v>
      </c>
      <c r="Q29" s="951">
        <f t="shared" si="2"/>
        <v>0.21631353812728138</v>
      </c>
      <c r="R29" s="952">
        <f t="shared" si="3"/>
        <v>0.1009480250353163</v>
      </c>
      <c r="S29" s="952">
        <f t="shared" si="4"/>
        <v>0.68273843683740243</v>
      </c>
      <c r="T29" s="953">
        <f t="shared" si="5"/>
        <v>0.31726156316259768</v>
      </c>
      <c r="V29" s="951">
        <f t="shared" si="6"/>
        <v>0.76497023215766691</v>
      </c>
      <c r="W29" s="952">
        <f t="shared" si="7"/>
        <v>3.7495855175482436E-3</v>
      </c>
      <c r="X29" s="953">
        <f t="shared" si="8"/>
        <v>0.23128018232478492</v>
      </c>
    </row>
    <row r="30" spans="1:24">
      <c r="A30" s="1147" t="s">
        <v>63</v>
      </c>
      <c r="B30" s="858" t="s">
        <v>64</v>
      </c>
      <c r="C30" s="1148" t="s">
        <v>274</v>
      </c>
      <c r="D30" s="1198">
        <f>'Eligibililty Staff LASER-2012'!D28+'Services Staff LASER 2012'!D28+'Other Exp. LASER 2012'!D28</f>
        <v>1505307.22</v>
      </c>
      <c r="E30" s="1199">
        <f>'Eligibililty Staff LASER-2012'!E28+'Services Staff LASER 2012'!E28+'Other Exp. LASER 2012'!E28</f>
        <v>432807.74</v>
      </c>
      <c r="F30" s="1199">
        <f>'Eligibililty Staff LASER-2012'!F28+'Services Staff LASER 2012'!F28+'Other Exp. LASER 2012'!F28</f>
        <v>5109649.82</v>
      </c>
      <c r="G30" s="1200">
        <f>SUM('Benefits Spending Summary'!D30:F30)</f>
        <v>7047764.7800000003</v>
      </c>
      <c r="H30" s="1198">
        <f>'Services for Clients LASER 2012'!D29</f>
        <v>728924.3</v>
      </c>
      <c r="I30" s="1199">
        <f>'Services for Clients LASER 2012'!E29</f>
        <v>186784.03999999998</v>
      </c>
      <c r="J30" s="1199">
        <f>'Services for Clients LASER 2012'!F29</f>
        <v>55589.500000000007</v>
      </c>
      <c r="K30" s="1200">
        <f t="shared" si="0"/>
        <v>971297.84000000008</v>
      </c>
      <c r="L30" s="1198">
        <f>'Medicaid &amp; FAMIS - LASER 2012'!E28+'SNAP - LASER 2012'!E28+'SNAP - LASER 2012'!F28+'FC &amp; Adoptions LASER 2012'!D28+'LIHEAP LASER 2012'!E28+'TANF LASER 2012'!D28+'Other Benefits LASER 2012'!D29</f>
        <v>28734068.5297</v>
      </c>
      <c r="M30" s="1199">
        <f>'Medicaid &amp; FAMIS - LASER 2012'!F28+'SNAP - LASER 2012'!G28+'FC &amp; Adoptions LASER 2012'!E28+'TANF LASER 2012'!E28+'Other Benefits LASER 2012'!E29</f>
        <v>21407990.960299999</v>
      </c>
      <c r="N30" s="1199">
        <f>'FC &amp; Adoptions LASER 2012'!F28+'TANF LASER 2012'!F28</f>
        <v>1173066.43</v>
      </c>
      <c r="O30" s="1200">
        <f t="shared" si="1"/>
        <v>51315125.919999994</v>
      </c>
      <c r="Q30" s="951">
        <f t="shared" si="2"/>
        <v>0.2135864727312877</v>
      </c>
      <c r="R30" s="952">
        <f t="shared" si="3"/>
        <v>6.141063918991916E-2</v>
      </c>
      <c r="S30" s="952">
        <f t="shared" si="4"/>
        <v>0.7250028880787931</v>
      </c>
      <c r="T30" s="953">
        <f t="shared" si="5"/>
        <v>0.27499711192120685</v>
      </c>
      <c r="V30" s="951">
        <f t="shared" si="6"/>
        <v>0.80615388741699634</v>
      </c>
      <c r="W30" s="952">
        <f t="shared" si="7"/>
        <v>8.7704036682042363E-3</v>
      </c>
      <c r="X30" s="953">
        <f t="shared" si="8"/>
        <v>0.18507570891479949</v>
      </c>
    </row>
    <row r="31" spans="1:24">
      <c r="A31" s="1147" t="s">
        <v>65</v>
      </c>
      <c r="B31" s="858" t="s">
        <v>66</v>
      </c>
      <c r="C31" s="1148" t="s">
        <v>273</v>
      </c>
      <c r="D31" s="1198">
        <f>'Eligibililty Staff LASER-2012'!D29+'Services Staff LASER 2012'!D29+'Other Exp. LASER 2012'!D29</f>
        <v>445735.71</v>
      </c>
      <c r="E31" s="1199">
        <f>'Eligibililty Staff LASER-2012'!E29+'Services Staff LASER 2012'!E29+'Other Exp. LASER 2012'!E29</f>
        <v>193734.6</v>
      </c>
      <c r="F31" s="1199">
        <f>'Eligibililty Staff LASER-2012'!F29+'Services Staff LASER 2012'!F29+'Other Exp. LASER 2012'!F29</f>
        <v>227456.84999999998</v>
      </c>
      <c r="G31" s="1200">
        <f>SUM('Benefits Spending Summary'!D31:F31)</f>
        <v>866927.16</v>
      </c>
      <c r="H31" s="1198">
        <f>'Services for Clients LASER 2012'!D30</f>
        <v>74587.48</v>
      </c>
      <c r="I31" s="1199">
        <f>'Services for Clients LASER 2012'!E30</f>
        <v>30607.38</v>
      </c>
      <c r="J31" s="1199">
        <f>'Services for Clients LASER 2012'!F30</f>
        <v>15505.050000000001</v>
      </c>
      <c r="K31" s="1200">
        <f t="shared" si="0"/>
        <v>120699.91</v>
      </c>
      <c r="L31" s="1198">
        <f>'Medicaid &amp; FAMIS - LASER 2012'!E29+'SNAP - LASER 2012'!E29+'SNAP - LASER 2012'!F29+'FC &amp; Adoptions LASER 2012'!D29+'LIHEAP LASER 2012'!E29+'TANF LASER 2012'!D29+'Other Benefits LASER 2012'!D30</f>
        <v>10080342.8149</v>
      </c>
      <c r="M31" s="1199">
        <f>'Medicaid &amp; FAMIS - LASER 2012'!F29+'SNAP - LASER 2012'!G29+'FC &amp; Adoptions LASER 2012'!E29+'TANF LASER 2012'!E29+'Other Benefits LASER 2012'!E30</f>
        <v>6958468.3649999993</v>
      </c>
      <c r="N31" s="1199">
        <f>'FC &amp; Adoptions LASER 2012'!F29+'TANF LASER 2012'!F29</f>
        <v>157649.01</v>
      </c>
      <c r="O31" s="1200">
        <f t="shared" si="1"/>
        <v>17196460.1899</v>
      </c>
      <c r="Q31" s="951">
        <f t="shared" si="2"/>
        <v>0.51415589517347682</v>
      </c>
      <c r="R31" s="952">
        <f t="shared" si="3"/>
        <v>0.22347275404314246</v>
      </c>
      <c r="S31" s="952">
        <f t="shared" si="4"/>
        <v>0.26237135078338064</v>
      </c>
      <c r="T31" s="953">
        <f t="shared" si="5"/>
        <v>0.7376286492166193</v>
      </c>
      <c r="V31" s="951">
        <f t="shared" si="6"/>
        <v>0.5677749764728075</v>
      </c>
      <c r="W31" s="952">
        <f t="shared" si="7"/>
        <v>3.8703514090517407E-2</v>
      </c>
      <c r="X31" s="953">
        <f t="shared" si="8"/>
        <v>0.39352150943667513</v>
      </c>
    </row>
    <row r="32" spans="1:24">
      <c r="A32" s="1147" t="s">
        <v>69</v>
      </c>
      <c r="B32" s="858" t="s">
        <v>70</v>
      </c>
      <c r="C32" s="1148" t="s">
        <v>275</v>
      </c>
      <c r="D32" s="1198">
        <f>'Eligibililty Staff LASER-2012'!D30+'Services Staff LASER 2012'!D30+'Other Exp. LASER 2012'!D30</f>
        <v>1229228.7800000003</v>
      </c>
      <c r="E32" s="1199">
        <f>'Eligibililty Staff LASER-2012'!E30+'Services Staff LASER 2012'!E30+'Other Exp. LASER 2012'!E30</f>
        <v>546201.96</v>
      </c>
      <c r="F32" s="1199">
        <f>'Eligibililty Staff LASER-2012'!F30+'Services Staff LASER 2012'!F30+'Other Exp. LASER 2012'!F30</f>
        <v>584536.59</v>
      </c>
      <c r="G32" s="1200">
        <f>SUM('Benefits Spending Summary'!D32:F32)</f>
        <v>2359967.33</v>
      </c>
      <c r="H32" s="1198">
        <f>'Services for Clients LASER 2012'!D31</f>
        <v>130122.53</v>
      </c>
      <c r="I32" s="1199">
        <f>'Services for Clients LASER 2012'!E31</f>
        <v>23233.859999999997</v>
      </c>
      <c r="J32" s="1199">
        <f>'Services for Clients LASER 2012'!F31</f>
        <v>27548.949999999997</v>
      </c>
      <c r="K32" s="1200">
        <f t="shared" si="0"/>
        <v>180905.33999999997</v>
      </c>
      <c r="L32" s="1198">
        <f>'Medicaid &amp; FAMIS - LASER 2012'!E30+'SNAP - LASER 2012'!E30+'SNAP - LASER 2012'!F30+'FC &amp; Adoptions LASER 2012'!D30+'LIHEAP LASER 2012'!E30+'TANF LASER 2012'!D30+'Other Benefits LASER 2012'!D31</f>
        <v>15875558.207700003</v>
      </c>
      <c r="M32" s="1199">
        <f>'Medicaid &amp; FAMIS - LASER 2012'!F30+'SNAP - LASER 2012'!G30+'FC &amp; Adoptions LASER 2012'!E30+'TANF LASER 2012'!E30+'Other Benefits LASER 2012'!E31</f>
        <v>12127516.0823</v>
      </c>
      <c r="N32" s="1199">
        <f>'FC &amp; Adoptions LASER 2012'!F30+'TANF LASER 2012'!F30</f>
        <v>364509.01999999996</v>
      </c>
      <c r="O32" s="1200">
        <f t="shared" si="1"/>
        <v>28367583.310000002</v>
      </c>
      <c r="Q32" s="951">
        <f t="shared" si="2"/>
        <v>0.52086686301712504</v>
      </c>
      <c r="R32" s="952">
        <f t="shared" si="3"/>
        <v>0.2314447124147265</v>
      </c>
      <c r="S32" s="952">
        <f t="shared" si="4"/>
        <v>0.24768842456814855</v>
      </c>
      <c r="T32" s="953">
        <f t="shared" si="5"/>
        <v>0.75231157543185145</v>
      </c>
      <c r="V32" s="951">
        <f t="shared" si="6"/>
        <v>0.59854581823597308</v>
      </c>
      <c r="W32" s="952">
        <f t="shared" si="7"/>
        <v>2.8209198707803577E-2</v>
      </c>
      <c r="X32" s="953">
        <f t="shared" si="8"/>
        <v>0.3732449830562235</v>
      </c>
    </row>
    <row r="33" spans="1:24">
      <c r="A33" s="1147" t="s">
        <v>71</v>
      </c>
      <c r="B33" s="858" t="s">
        <v>72</v>
      </c>
      <c r="C33" s="1148" t="s">
        <v>271</v>
      </c>
      <c r="D33" s="1198">
        <f>'Eligibililty Staff LASER-2012'!D31+'Services Staff LASER 2012'!D31+'Other Exp. LASER 2012'!D31</f>
        <v>937606.5</v>
      </c>
      <c r="E33" s="1199">
        <f>'Eligibililty Staff LASER-2012'!E31+'Services Staff LASER 2012'!E31+'Other Exp. LASER 2012'!E31</f>
        <v>428492.39</v>
      </c>
      <c r="F33" s="1199">
        <f>'Eligibililty Staff LASER-2012'!F31+'Services Staff LASER 2012'!F31+'Other Exp. LASER 2012'!F31</f>
        <v>385016</v>
      </c>
      <c r="G33" s="1200">
        <f>SUM('Benefits Spending Summary'!D33:F33)</f>
        <v>1751114.8900000001</v>
      </c>
      <c r="H33" s="1198">
        <f>'Services for Clients LASER 2012'!D32</f>
        <v>234483.83000000002</v>
      </c>
      <c r="I33" s="1199">
        <f>'Services for Clients LASER 2012'!E32</f>
        <v>53219.320000000007</v>
      </c>
      <c r="J33" s="1199">
        <f>'Services for Clients LASER 2012'!F32</f>
        <v>76784.37</v>
      </c>
      <c r="K33" s="1200">
        <f t="shared" si="0"/>
        <v>364487.52</v>
      </c>
      <c r="L33" s="1198">
        <f>'Medicaid &amp; FAMIS - LASER 2012'!E31+'SNAP - LASER 2012'!E31+'SNAP - LASER 2012'!F31+'FC &amp; Adoptions LASER 2012'!D31+'LIHEAP LASER 2012'!E31+'TANF LASER 2012'!D31+'Other Benefits LASER 2012'!D32</f>
        <v>22363231.543200001</v>
      </c>
      <c r="M33" s="1199">
        <f>'Medicaid &amp; FAMIS - LASER 2012'!F31+'SNAP - LASER 2012'!G31+'FC &amp; Adoptions LASER 2012'!E31+'TANF LASER 2012'!E31+'Other Benefits LASER 2012'!E32</f>
        <v>14814749.256800001</v>
      </c>
      <c r="N33" s="1199">
        <f>'FC &amp; Adoptions LASER 2012'!F31+'TANF LASER 2012'!F31</f>
        <v>308492.65000000002</v>
      </c>
      <c r="O33" s="1200">
        <f t="shared" si="1"/>
        <v>37486473.450000003</v>
      </c>
      <c r="Q33" s="951">
        <f t="shared" si="2"/>
        <v>0.53543402854623656</v>
      </c>
      <c r="R33" s="952">
        <f t="shared" si="3"/>
        <v>0.24469690278288936</v>
      </c>
      <c r="S33" s="952">
        <f t="shared" si="4"/>
        <v>0.219869068670874</v>
      </c>
      <c r="T33" s="953">
        <f t="shared" si="5"/>
        <v>0.78013093132912603</v>
      </c>
      <c r="V33" s="951">
        <f t="shared" si="6"/>
        <v>0.49983057096895411</v>
      </c>
      <c r="W33" s="952">
        <f t="shared" si="7"/>
        <v>9.9682027496497363E-2</v>
      </c>
      <c r="X33" s="953">
        <f t="shared" si="8"/>
        <v>0.40048740153454854</v>
      </c>
    </row>
    <row r="34" spans="1:24">
      <c r="A34" s="1147" t="s">
        <v>73</v>
      </c>
      <c r="B34" s="858" t="s">
        <v>74</v>
      </c>
      <c r="C34" s="1148" t="s">
        <v>273</v>
      </c>
      <c r="D34" s="1198">
        <f>'Eligibililty Staff LASER-2012'!D32+'Services Staff LASER 2012'!D32+'Other Exp. LASER 2012'!D32</f>
        <v>514776.02999999997</v>
      </c>
      <c r="E34" s="1199">
        <f>'Eligibililty Staff LASER-2012'!E32+'Services Staff LASER 2012'!E32+'Other Exp. LASER 2012'!E32</f>
        <v>171936.79</v>
      </c>
      <c r="F34" s="1199">
        <f>'Eligibililty Staff LASER-2012'!F32+'Services Staff LASER 2012'!F32+'Other Exp. LASER 2012'!F32</f>
        <v>464252.36000000004</v>
      </c>
      <c r="G34" s="1200">
        <f>SUM('Benefits Spending Summary'!D34:F34)</f>
        <v>1150965.18</v>
      </c>
      <c r="H34" s="1198">
        <f>'Services for Clients LASER 2012'!D33</f>
        <v>196050.95</v>
      </c>
      <c r="I34" s="1199">
        <f>'Services for Clients LASER 2012'!E33</f>
        <v>62217.119999999995</v>
      </c>
      <c r="J34" s="1199">
        <f>'Services for Clients LASER 2012'!F33</f>
        <v>18386.860000000004</v>
      </c>
      <c r="K34" s="1200">
        <f t="shared" si="0"/>
        <v>276654.93</v>
      </c>
      <c r="L34" s="1198">
        <f>'Medicaid &amp; FAMIS - LASER 2012'!E32+'SNAP - LASER 2012'!E32+'SNAP - LASER 2012'!F32+'FC &amp; Adoptions LASER 2012'!D32+'LIHEAP LASER 2012'!E32+'TANF LASER 2012'!D32+'Other Benefits LASER 2012'!D33</f>
        <v>11108581.9933</v>
      </c>
      <c r="M34" s="1199">
        <f>'Medicaid &amp; FAMIS - LASER 2012'!F32+'SNAP - LASER 2012'!G32+'FC &amp; Adoptions LASER 2012'!E32+'TANF LASER 2012'!E32+'Other Benefits LASER 2012'!E33</f>
        <v>6777626.706699999</v>
      </c>
      <c r="N34" s="1199">
        <f>'FC &amp; Adoptions LASER 2012'!F32+'TANF LASER 2012'!F32</f>
        <v>133191.65</v>
      </c>
      <c r="O34" s="1200">
        <f t="shared" si="1"/>
        <v>18019400.349999998</v>
      </c>
      <c r="Q34" s="951">
        <f t="shared" si="2"/>
        <v>0.44725595434607329</v>
      </c>
      <c r="R34" s="952">
        <f t="shared" si="3"/>
        <v>0.14938487539649115</v>
      </c>
      <c r="S34" s="952">
        <f t="shared" si="4"/>
        <v>0.40335917025743567</v>
      </c>
      <c r="T34" s="953">
        <f t="shared" si="5"/>
        <v>0.59664082974256438</v>
      </c>
      <c r="V34" s="951">
        <f t="shared" si="6"/>
        <v>0.75386341058219453</v>
      </c>
      <c r="W34" s="952">
        <f t="shared" si="7"/>
        <v>2.9856996288607624E-2</v>
      </c>
      <c r="X34" s="953">
        <f t="shared" si="8"/>
        <v>0.21627959312919795</v>
      </c>
    </row>
    <row r="35" spans="1:24">
      <c r="A35" s="1147" t="s">
        <v>75</v>
      </c>
      <c r="B35" s="858" t="s">
        <v>803</v>
      </c>
      <c r="C35" s="1148" t="s">
        <v>274</v>
      </c>
      <c r="D35" s="1198">
        <f>'Eligibililty Staff LASER-2012'!D33+'Services Staff LASER 2012'!D33+'Other Exp. LASER 2012'!D33</f>
        <v>21740873.43</v>
      </c>
      <c r="E35" s="1199">
        <f>'Eligibililty Staff LASER-2012'!E33+'Services Staff LASER 2012'!E33+'Other Exp. LASER 2012'!E33</f>
        <v>5716772.3499999996</v>
      </c>
      <c r="F35" s="1199">
        <f>'Eligibililty Staff LASER-2012'!F33+'Services Staff LASER 2012'!F33+'Other Exp. LASER 2012'!F33</f>
        <v>37921126.839999996</v>
      </c>
      <c r="G35" s="1200">
        <f>SUM('Benefits Spending Summary'!D35:F35)</f>
        <v>65378772.619999997</v>
      </c>
      <c r="H35" s="1198">
        <f>'Services for Clients LASER 2012'!D34</f>
        <v>12722434.689999999</v>
      </c>
      <c r="I35" s="1199">
        <f>'Services for Clients LASER 2012'!E34</f>
        <v>5237207.1500000004</v>
      </c>
      <c r="J35" s="1199">
        <f>'Services for Clients LASER 2012'!F34</f>
        <v>12227657.720000001</v>
      </c>
      <c r="K35" s="1200">
        <f t="shared" si="0"/>
        <v>30187299.560000002</v>
      </c>
      <c r="L35" s="1198">
        <f>'Medicaid &amp; FAMIS - LASER 2012'!E33+'SNAP - LASER 2012'!E33+'SNAP - LASER 2012'!F33+'FC &amp; Adoptions LASER 2012'!D33+'LIHEAP LASER 2012'!E33+'TANF LASER 2012'!D33+'Other Benefits LASER 2012'!D34</f>
        <v>280043577.12680006</v>
      </c>
      <c r="M35" s="1199">
        <f>'Medicaid &amp; FAMIS - LASER 2012'!F33+'SNAP - LASER 2012'!G33+'FC &amp; Adoptions LASER 2012'!E33+'TANF LASER 2012'!E33+'Other Benefits LASER 2012'!E34</f>
        <v>230584631.3432</v>
      </c>
      <c r="N35" s="1199">
        <f>'FC &amp; Adoptions LASER 2012'!F33+'TANF LASER 2012'!F33</f>
        <v>19118724.84</v>
      </c>
      <c r="O35" s="1200">
        <f t="shared" si="1"/>
        <v>529746933.31</v>
      </c>
      <c r="Q35" s="951">
        <f t="shared" si="2"/>
        <v>0.3325371914881935</v>
      </c>
      <c r="R35" s="952">
        <f t="shared" si="3"/>
        <v>8.7440802586299757E-2</v>
      </c>
      <c r="S35" s="952">
        <f t="shared" si="4"/>
        <v>0.58002200592550679</v>
      </c>
      <c r="T35" s="953">
        <f t="shared" si="5"/>
        <v>0.41997799407449327</v>
      </c>
      <c r="V35" s="951">
        <f t="shared" si="6"/>
        <v>0.54745907812299655</v>
      </c>
      <c r="W35" s="952">
        <f t="shared" si="7"/>
        <v>0.17652804072092135</v>
      </c>
      <c r="X35" s="953">
        <f t="shared" si="8"/>
        <v>0.27601288115608213</v>
      </c>
    </row>
    <row r="36" spans="1:24">
      <c r="A36" s="1147" t="s">
        <v>77</v>
      </c>
      <c r="B36" s="858" t="s">
        <v>78</v>
      </c>
      <c r="C36" s="1148" t="s">
        <v>274</v>
      </c>
      <c r="D36" s="1198">
        <f>'Eligibililty Staff LASER-2012'!D34+'Services Staff LASER 2012'!D34+'Other Exp. LASER 2012'!D34</f>
        <v>1326349.44</v>
      </c>
      <c r="E36" s="1199">
        <f>'Eligibililty Staff LASER-2012'!E34+'Services Staff LASER 2012'!E34+'Other Exp. LASER 2012'!E34</f>
        <v>452779.06</v>
      </c>
      <c r="F36" s="1199">
        <f>'Eligibililty Staff LASER-2012'!F34+'Services Staff LASER 2012'!F34+'Other Exp. LASER 2012'!F34</f>
        <v>1934265.2899999998</v>
      </c>
      <c r="G36" s="1200">
        <f>SUM('Benefits Spending Summary'!D36:F36)</f>
        <v>3713393.79</v>
      </c>
      <c r="H36" s="1198">
        <f>'Services for Clients LASER 2012'!D35</f>
        <v>432366.57999999996</v>
      </c>
      <c r="I36" s="1199">
        <f>'Services for Clients LASER 2012'!E35</f>
        <v>68756.76999999999</v>
      </c>
      <c r="J36" s="1199">
        <f>'Services for Clients LASER 2012'!F35</f>
        <v>36487.26</v>
      </c>
      <c r="K36" s="1200">
        <f t="shared" si="0"/>
        <v>537610.61</v>
      </c>
      <c r="L36" s="1198">
        <f>'Medicaid &amp; FAMIS - LASER 2012'!E34+'SNAP - LASER 2012'!E34+'SNAP - LASER 2012'!F34+'FC &amp; Adoptions LASER 2012'!D34+'LIHEAP LASER 2012'!E34+'TANF LASER 2012'!D34+'Other Benefits LASER 2012'!D35</f>
        <v>24601592.313099999</v>
      </c>
      <c r="M36" s="1199">
        <f>'Medicaid &amp; FAMIS - LASER 2012'!F34+'SNAP - LASER 2012'!G34+'FC &amp; Adoptions LASER 2012'!E34+'TANF LASER 2012'!E34+'Other Benefits LASER 2012'!E35</f>
        <v>19273214.616899997</v>
      </c>
      <c r="N36" s="1199">
        <f>'FC &amp; Adoptions LASER 2012'!F34+'TANF LASER 2012'!F34</f>
        <v>1530082.76</v>
      </c>
      <c r="O36" s="1200">
        <f t="shared" si="1"/>
        <v>45404889.68999999</v>
      </c>
      <c r="Q36" s="951">
        <f t="shared" si="2"/>
        <v>0.35717985083397252</v>
      </c>
      <c r="R36" s="952">
        <f t="shared" si="3"/>
        <v>0.1219313344087862</v>
      </c>
      <c r="S36" s="952">
        <f t="shared" si="4"/>
        <v>0.52088881475724114</v>
      </c>
      <c r="T36" s="953">
        <f t="shared" si="5"/>
        <v>0.47911118524275875</v>
      </c>
      <c r="V36" s="951">
        <f t="shared" si="6"/>
        <v>0.55251536239789589</v>
      </c>
      <c r="W36" s="952">
        <f t="shared" si="7"/>
        <v>1.0422444008084461E-2</v>
      </c>
      <c r="X36" s="953">
        <f t="shared" si="8"/>
        <v>0.43706219359401977</v>
      </c>
    </row>
    <row r="37" spans="1:24">
      <c r="A37" s="1147" t="s">
        <v>79</v>
      </c>
      <c r="B37" s="858" t="s">
        <v>80</v>
      </c>
      <c r="C37" s="1148" t="s">
        <v>275</v>
      </c>
      <c r="D37" s="1198">
        <f>'Eligibililty Staff LASER-2012'!D35+'Services Staff LASER 2012'!D35+'Other Exp. LASER 2012'!D35</f>
        <v>432569.20999999996</v>
      </c>
      <c r="E37" s="1199">
        <f>'Eligibililty Staff LASER-2012'!E35+'Services Staff LASER 2012'!E35+'Other Exp. LASER 2012'!E35</f>
        <v>160880.35</v>
      </c>
      <c r="F37" s="1199">
        <f>'Eligibililty Staff LASER-2012'!F35+'Services Staff LASER 2012'!F35+'Other Exp. LASER 2012'!F35</f>
        <v>246417.01</v>
      </c>
      <c r="G37" s="1200">
        <f>SUM('Benefits Spending Summary'!D37:F37)</f>
        <v>839866.57</v>
      </c>
      <c r="H37" s="1198">
        <f>'Services for Clients LASER 2012'!D36</f>
        <v>56130.92</v>
      </c>
      <c r="I37" s="1199">
        <f>'Services for Clients LASER 2012'!E36</f>
        <v>15226.909999999998</v>
      </c>
      <c r="J37" s="1199">
        <f>'Services for Clients LASER 2012'!F36</f>
        <v>9715.6000000000022</v>
      </c>
      <c r="K37" s="1200">
        <f t="shared" si="0"/>
        <v>81073.430000000008</v>
      </c>
      <c r="L37" s="1198">
        <f>'Medicaid &amp; FAMIS - LASER 2012'!E35+'SNAP - LASER 2012'!E35+'SNAP - LASER 2012'!F35+'FC &amp; Adoptions LASER 2012'!D35+'LIHEAP LASER 2012'!E35+'TANF LASER 2012'!D35+'Other Benefits LASER 2012'!D36</f>
        <v>11221569.846300002</v>
      </c>
      <c r="M37" s="1199">
        <f>'Medicaid &amp; FAMIS - LASER 2012'!F35+'SNAP - LASER 2012'!G35+'FC &amp; Adoptions LASER 2012'!E35+'TANF LASER 2012'!E35+'Other Benefits LASER 2012'!E36</f>
        <v>8029305.8737000013</v>
      </c>
      <c r="N37" s="1199">
        <f>'FC &amp; Adoptions LASER 2012'!F35+'TANF LASER 2012'!F35</f>
        <v>90050.57</v>
      </c>
      <c r="O37" s="1200">
        <f t="shared" si="1"/>
        <v>19340926.290000003</v>
      </c>
      <c r="Q37" s="951">
        <f t="shared" si="2"/>
        <v>0.51504515770880133</v>
      </c>
      <c r="R37" s="952">
        <f t="shared" si="3"/>
        <v>0.19155465373505701</v>
      </c>
      <c r="S37" s="952">
        <f t="shared" si="4"/>
        <v>0.29340018855614175</v>
      </c>
      <c r="T37" s="953">
        <f t="shared" si="5"/>
        <v>0.70659981144385819</v>
      </c>
      <c r="V37" s="951">
        <f t="shared" si="6"/>
        <v>0.71181104177274002</v>
      </c>
      <c r="W37" s="952">
        <f t="shared" si="7"/>
        <v>2.8064910605997671E-2</v>
      </c>
      <c r="X37" s="953">
        <f t="shared" si="8"/>
        <v>0.26012404762126223</v>
      </c>
    </row>
    <row r="38" spans="1:24">
      <c r="A38" s="1147" t="s">
        <v>81</v>
      </c>
      <c r="B38" s="858" t="s">
        <v>82</v>
      </c>
      <c r="C38" s="1148" t="s">
        <v>273</v>
      </c>
      <c r="D38" s="1198">
        <f>'Eligibililty Staff LASER-2012'!D36+'Services Staff LASER 2012'!D36+'Other Exp. LASER 2012'!D36</f>
        <v>599858.31999999995</v>
      </c>
      <c r="E38" s="1199">
        <f>'Eligibililty Staff LASER-2012'!E36+'Services Staff LASER 2012'!E36+'Other Exp. LASER 2012'!E36</f>
        <v>226727.41999999998</v>
      </c>
      <c r="F38" s="1199">
        <f>'Eligibililty Staff LASER-2012'!F36+'Services Staff LASER 2012'!F36+'Other Exp. LASER 2012'!F36</f>
        <v>759648.34</v>
      </c>
      <c r="G38" s="1200">
        <f>SUM('Benefits Spending Summary'!D38:F38)</f>
        <v>1586234.08</v>
      </c>
      <c r="H38" s="1198">
        <f>'Services for Clients LASER 2012'!D37</f>
        <v>125100.33</v>
      </c>
      <c r="I38" s="1199">
        <f>'Services for Clients LASER 2012'!E37</f>
        <v>31311.69</v>
      </c>
      <c r="J38" s="1199">
        <f>'Services for Clients LASER 2012'!F37</f>
        <v>13136.809999999998</v>
      </c>
      <c r="K38" s="1200">
        <f t="shared" ref="K38:K69" si="9">SUM(H38:J38)</f>
        <v>169548.83</v>
      </c>
      <c r="L38" s="1198">
        <f>'Medicaid &amp; FAMIS - LASER 2012'!E36+'SNAP - LASER 2012'!E36+'SNAP - LASER 2012'!F36+'FC &amp; Adoptions LASER 2012'!D36+'LIHEAP LASER 2012'!E36+'TANF LASER 2012'!D36+'Other Benefits LASER 2012'!D37</f>
        <v>9070215.0844999999</v>
      </c>
      <c r="M38" s="1199">
        <f>'Medicaid &amp; FAMIS - LASER 2012'!F36+'SNAP - LASER 2012'!G36+'FC &amp; Adoptions LASER 2012'!E36+'TANF LASER 2012'!E36+'Other Benefits LASER 2012'!E37</f>
        <v>7595928.3355</v>
      </c>
      <c r="N38" s="1199">
        <f>'FC &amp; Adoptions LASER 2012'!F36+'TANF LASER 2012'!F36</f>
        <v>811985.65999999992</v>
      </c>
      <c r="O38" s="1200">
        <f t="shared" ref="O38:O69" si="10">SUM(L38:N38)</f>
        <v>17478129.079999998</v>
      </c>
      <c r="Q38" s="951">
        <f t="shared" ref="Q38:Q69" si="11">D38/G38</f>
        <v>0.37816506880245565</v>
      </c>
      <c r="R38" s="952">
        <f t="shared" ref="R38:R69" si="12">E38/G38</f>
        <v>0.14293440221634879</v>
      </c>
      <c r="S38" s="952">
        <f t="shared" ref="S38:S69" si="13">F38/G38</f>
        <v>0.47890052898119545</v>
      </c>
      <c r="T38" s="953">
        <f t="shared" si="5"/>
        <v>0.52109947101880449</v>
      </c>
      <c r="V38" s="951">
        <f t="shared" si="6"/>
        <v>0.47934271328483141</v>
      </c>
      <c r="W38" s="952">
        <f t="shared" si="7"/>
        <v>8.2894068448926064E-3</v>
      </c>
      <c r="X38" s="953">
        <f t="shared" si="8"/>
        <v>0.51236787987027599</v>
      </c>
    </row>
    <row r="39" spans="1:24">
      <c r="A39" s="1147" t="s">
        <v>85</v>
      </c>
      <c r="B39" s="858" t="s">
        <v>330</v>
      </c>
      <c r="C39" s="1148" t="s">
        <v>272</v>
      </c>
      <c r="D39" s="1198">
        <f>'Eligibililty Staff LASER-2012'!D37+'Services Staff LASER 2012'!D37+'Other Exp. LASER 2012'!D37</f>
        <v>1472608.9000000001</v>
      </c>
      <c r="E39" s="1199">
        <f>'Eligibililty Staff LASER-2012'!E37+'Services Staff LASER 2012'!E37+'Other Exp. LASER 2012'!E37</f>
        <v>522870.73</v>
      </c>
      <c r="F39" s="1199">
        <f>'Eligibililty Staff LASER-2012'!F37+'Services Staff LASER 2012'!F37+'Other Exp. LASER 2012'!F37</f>
        <v>1305962.3600000001</v>
      </c>
      <c r="G39" s="1200">
        <f>SUM('Benefits Spending Summary'!D39:F39)</f>
        <v>3301441.99</v>
      </c>
      <c r="H39" s="1198">
        <f>'Services for Clients LASER 2012'!D38</f>
        <v>394285.48999999993</v>
      </c>
      <c r="I39" s="1199">
        <f>'Services for Clients LASER 2012'!E38</f>
        <v>117074.97</v>
      </c>
      <c r="J39" s="1199">
        <f>'Services for Clients LASER 2012'!F38</f>
        <v>64733.32</v>
      </c>
      <c r="K39" s="1200">
        <f t="shared" si="9"/>
        <v>576093.77999999991</v>
      </c>
      <c r="L39" s="1198">
        <f>'Medicaid &amp; FAMIS - LASER 2012'!E37+'SNAP - LASER 2012'!E37+'SNAP - LASER 2012'!F37+'FC &amp; Adoptions LASER 2012'!D37+'LIHEAP LASER 2012'!E37+'TANF LASER 2012'!D37+'Other Benefits LASER 2012'!D38</f>
        <v>39817074.320799999</v>
      </c>
      <c r="M39" s="1199">
        <f>'Medicaid &amp; FAMIS - LASER 2012'!F37+'SNAP - LASER 2012'!G37+'FC &amp; Adoptions LASER 2012'!E37+'TANF LASER 2012'!E37+'Other Benefits LASER 2012'!E38</f>
        <v>28539708.859199997</v>
      </c>
      <c r="N39" s="1199">
        <f>'FC &amp; Adoptions LASER 2012'!F37+'TANF LASER 2012'!F37</f>
        <v>915444.9</v>
      </c>
      <c r="O39" s="1200">
        <f t="shared" si="10"/>
        <v>69272228.079999998</v>
      </c>
      <c r="Q39" s="951">
        <f t="shared" si="11"/>
        <v>0.44605021213775742</v>
      </c>
      <c r="R39" s="952">
        <f t="shared" si="12"/>
        <v>0.15837647051917456</v>
      </c>
      <c r="S39" s="952">
        <f t="shared" si="13"/>
        <v>0.395573317343068</v>
      </c>
      <c r="T39" s="953">
        <f t="shared" si="5"/>
        <v>0.604426682656932</v>
      </c>
      <c r="V39" s="951">
        <f t="shared" si="6"/>
        <v>0.57125199186132292</v>
      </c>
      <c r="W39" s="952">
        <f t="shared" si="7"/>
        <v>2.8315546544386172E-2</v>
      </c>
      <c r="X39" s="953">
        <f t="shared" si="8"/>
        <v>0.40043246159429091</v>
      </c>
    </row>
    <row r="40" spans="1:24">
      <c r="A40" s="1147" t="s">
        <v>87</v>
      </c>
      <c r="B40" s="858" t="s">
        <v>88</v>
      </c>
      <c r="C40" s="1148" t="s">
        <v>274</v>
      </c>
      <c r="D40" s="1198">
        <f>'Eligibililty Staff LASER-2012'!D38+'Services Staff LASER 2012'!D38+'Other Exp. LASER 2012'!D38</f>
        <v>1618219.22</v>
      </c>
      <c r="E40" s="1199">
        <f>'Eligibililty Staff LASER-2012'!E38+'Services Staff LASER 2012'!E38+'Other Exp. LASER 2012'!E38</f>
        <v>457977.95999999996</v>
      </c>
      <c r="F40" s="1199">
        <f>'Eligibililty Staff LASER-2012'!F38+'Services Staff LASER 2012'!F38+'Other Exp. LASER 2012'!F38</f>
        <v>1886277.5</v>
      </c>
      <c r="G40" s="1200">
        <f>SUM('Benefits Spending Summary'!D40:F40)</f>
        <v>3962474.6799999997</v>
      </c>
      <c r="H40" s="1198">
        <f>'Services for Clients LASER 2012'!D39</f>
        <v>412220.17</v>
      </c>
      <c r="I40" s="1199">
        <f>'Services for Clients LASER 2012'!E39</f>
        <v>122514.04000000001</v>
      </c>
      <c r="J40" s="1199">
        <f>'Services for Clients LASER 2012'!F39</f>
        <v>69685.39</v>
      </c>
      <c r="K40" s="1200">
        <f t="shared" si="9"/>
        <v>604419.6</v>
      </c>
      <c r="L40" s="1198">
        <f>'Medicaid &amp; FAMIS - LASER 2012'!E38+'SNAP - LASER 2012'!E38+'SNAP - LASER 2012'!F38+'FC &amp; Adoptions LASER 2012'!D38+'LIHEAP LASER 2012'!E38+'TANF LASER 2012'!D38+'Other Benefits LASER 2012'!D39</f>
        <v>33368627.010900002</v>
      </c>
      <c r="M40" s="1199">
        <f>'Medicaid &amp; FAMIS - LASER 2012'!F38+'SNAP - LASER 2012'!G38+'FC &amp; Adoptions LASER 2012'!E38+'TANF LASER 2012'!E38+'Other Benefits LASER 2012'!E39</f>
        <v>22446814.5691</v>
      </c>
      <c r="N40" s="1199">
        <f>'FC &amp; Adoptions LASER 2012'!F38+'TANF LASER 2012'!F38</f>
        <v>805255.67999999993</v>
      </c>
      <c r="O40" s="1200">
        <f t="shared" si="10"/>
        <v>56620697.259999998</v>
      </c>
      <c r="Q40" s="951">
        <f t="shared" si="11"/>
        <v>0.40838600891703364</v>
      </c>
      <c r="R40" s="952">
        <f t="shared" si="12"/>
        <v>0.11557877260681954</v>
      </c>
      <c r="S40" s="952">
        <f t="shared" si="13"/>
        <v>0.47603521847614688</v>
      </c>
      <c r="T40" s="953">
        <f t="shared" si="5"/>
        <v>0.52396478152385317</v>
      </c>
      <c r="V40" s="951">
        <f t="shared" si="6"/>
        <v>0.68313226649058789</v>
      </c>
      <c r="W40" s="952">
        <f t="shared" si="7"/>
        <v>2.5237187217671073E-2</v>
      </c>
      <c r="X40" s="953">
        <f t="shared" si="8"/>
        <v>0.29163054629174101</v>
      </c>
    </row>
    <row r="41" spans="1:24">
      <c r="A41" s="1147" t="s">
        <v>93</v>
      </c>
      <c r="B41" s="858" t="s">
        <v>94</v>
      </c>
      <c r="C41" s="1148" t="s">
        <v>275</v>
      </c>
      <c r="D41" s="1198">
        <f>'Eligibililty Staff LASER-2012'!D39+'Services Staff LASER 2012'!D39+'Other Exp. LASER 2012'!D39</f>
        <v>698367.74</v>
      </c>
      <c r="E41" s="1199">
        <f>'Eligibililty Staff LASER-2012'!E39+'Services Staff LASER 2012'!E39+'Other Exp. LASER 2012'!E39</f>
        <v>297749.34999999998</v>
      </c>
      <c r="F41" s="1199">
        <f>'Eligibililty Staff LASER-2012'!F39+'Services Staff LASER 2012'!F39+'Other Exp. LASER 2012'!F39</f>
        <v>289829.72000000003</v>
      </c>
      <c r="G41" s="1200">
        <f>SUM('Benefits Spending Summary'!D41:F41)</f>
        <v>1285946.81</v>
      </c>
      <c r="H41" s="1198">
        <f>'Services for Clients LASER 2012'!D40</f>
        <v>99240.49</v>
      </c>
      <c r="I41" s="1199">
        <f>'Services for Clients LASER 2012'!E40</f>
        <v>20104.999999999996</v>
      </c>
      <c r="J41" s="1199">
        <f>'Services for Clients LASER 2012'!F40</f>
        <v>11637.59</v>
      </c>
      <c r="K41" s="1200">
        <f t="shared" si="9"/>
        <v>130983.08</v>
      </c>
      <c r="L41" s="1198">
        <f>'Medicaid &amp; FAMIS - LASER 2012'!E39+'SNAP - LASER 2012'!E39+'SNAP - LASER 2012'!F39+'FC &amp; Adoptions LASER 2012'!D39+'LIHEAP LASER 2012'!E39+'TANF LASER 2012'!D39+'Other Benefits LASER 2012'!D40</f>
        <v>13126610.6939</v>
      </c>
      <c r="M41" s="1199">
        <f>'Medicaid &amp; FAMIS - LASER 2012'!F39+'SNAP - LASER 2012'!G39+'FC &amp; Adoptions LASER 2012'!E39+'TANF LASER 2012'!E39+'Other Benefits LASER 2012'!E40</f>
        <v>10391384.766100001</v>
      </c>
      <c r="N41" s="1199">
        <f>'FC &amp; Adoptions LASER 2012'!F39+'TANF LASER 2012'!F39</f>
        <v>424539.61000000004</v>
      </c>
      <c r="O41" s="1200">
        <f t="shared" si="10"/>
        <v>23942535.07</v>
      </c>
      <c r="Q41" s="951">
        <f t="shared" si="11"/>
        <v>0.54307669226225619</v>
      </c>
      <c r="R41" s="952">
        <f t="shared" si="12"/>
        <v>0.23154095308187744</v>
      </c>
      <c r="S41" s="952">
        <f t="shared" si="13"/>
        <v>0.22538235465586637</v>
      </c>
      <c r="T41" s="953">
        <f t="shared" si="5"/>
        <v>0.77461764534413358</v>
      </c>
      <c r="V41" s="951">
        <f t="shared" si="6"/>
        <v>0.39921068520944669</v>
      </c>
      <c r="W41" s="952">
        <f t="shared" si="7"/>
        <v>1.6029585503124402E-2</v>
      </c>
      <c r="X41" s="953">
        <f t="shared" si="8"/>
        <v>0.58475972928742881</v>
      </c>
    </row>
    <row r="42" spans="1:24">
      <c r="A42" s="1147" t="s">
        <v>95</v>
      </c>
      <c r="B42" s="858" t="s">
        <v>96</v>
      </c>
      <c r="C42" s="1148" t="s">
        <v>271</v>
      </c>
      <c r="D42" s="1198">
        <f>'Eligibililty Staff LASER-2012'!D40+'Services Staff LASER 2012'!D40+'Other Exp. LASER 2012'!D40</f>
        <v>997349.2</v>
      </c>
      <c r="E42" s="1199">
        <f>'Eligibililty Staff LASER-2012'!E40+'Services Staff LASER 2012'!E40+'Other Exp. LASER 2012'!E40</f>
        <v>398327.05</v>
      </c>
      <c r="F42" s="1199">
        <f>'Eligibililty Staff LASER-2012'!F40+'Services Staff LASER 2012'!F40+'Other Exp. LASER 2012'!F40</f>
        <v>678671.94</v>
      </c>
      <c r="G42" s="1200">
        <f>SUM('Benefits Spending Summary'!D42:F42)</f>
        <v>2074348.19</v>
      </c>
      <c r="H42" s="1198">
        <f>'Services for Clients LASER 2012'!D41</f>
        <v>187574.42</v>
      </c>
      <c r="I42" s="1199">
        <f>'Services for Clients LASER 2012'!E41</f>
        <v>55014.899999999994</v>
      </c>
      <c r="J42" s="1199">
        <f>'Services for Clients LASER 2012'!F41</f>
        <v>19770.320000000003</v>
      </c>
      <c r="K42" s="1200">
        <f t="shared" si="9"/>
        <v>262359.64</v>
      </c>
      <c r="L42" s="1198">
        <f>'Medicaid &amp; FAMIS - LASER 2012'!E40+'SNAP - LASER 2012'!E40+'SNAP - LASER 2012'!F40+'FC &amp; Adoptions LASER 2012'!D40+'LIHEAP LASER 2012'!E40+'TANF LASER 2012'!D40+'Other Benefits LASER 2012'!D41</f>
        <v>20311212.2645</v>
      </c>
      <c r="M42" s="1199">
        <f>'Medicaid &amp; FAMIS - LASER 2012'!F40+'SNAP - LASER 2012'!G40+'FC &amp; Adoptions LASER 2012'!E40+'TANF LASER 2012'!E40+'Other Benefits LASER 2012'!E41</f>
        <v>13497278.3355</v>
      </c>
      <c r="N42" s="1199">
        <f>'FC &amp; Adoptions LASER 2012'!F40+'TANF LASER 2012'!F40</f>
        <v>340110.94</v>
      </c>
      <c r="O42" s="1200">
        <f t="shared" si="10"/>
        <v>34148601.539999999</v>
      </c>
      <c r="Q42" s="951">
        <f t="shared" si="11"/>
        <v>0.48080124870453883</v>
      </c>
      <c r="R42" s="952">
        <f t="shared" si="12"/>
        <v>0.19202516333576572</v>
      </c>
      <c r="S42" s="952">
        <f t="shared" si="13"/>
        <v>0.32717358795969542</v>
      </c>
      <c r="T42" s="953">
        <f t="shared" si="5"/>
        <v>0.67282641204030458</v>
      </c>
      <c r="V42" s="951">
        <f t="shared" si="6"/>
        <v>0.65347826187430746</v>
      </c>
      <c r="W42" s="952">
        <f t="shared" si="7"/>
        <v>1.9036405645854255E-2</v>
      </c>
      <c r="X42" s="953">
        <f t="shared" si="8"/>
        <v>0.3274853324798383</v>
      </c>
    </row>
    <row r="43" spans="1:24">
      <c r="A43" s="1147" t="s">
        <v>97</v>
      </c>
      <c r="B43" s="858" t="s">
        <v>98</v>
      </c>
      <c r="C43" s="1148" t="s">
        <v>273</v>
      </c>
      <c r="D43" s="1198">
        <f>'Eligibililty Staff LASER-2012'!D41+'Services Staff LASER 2012'!D41+'Other Exp. LASER 2012'!D41</f>
        <v>557600.82000000007</v>
      </c>
      <c r="E43" s="1199">
        <f>'Eligibililty Staff LASER-2012'!E41+'Services Staff LASER 2012'!E41+'Other Exp. LASER 2012'!E41</f>
        <v>229359.87999999998</v>
      </c>
      <c r="F43" s="1199">
        <f>'Eligibililty Staff LASER-2012'!F41+'Services Staff LASER 2012'!F41+'Other Exp. LASER 2012'!F41</f>
        <v>570667.68999999994</v>
      </c>
      <c r="G43" s="1200">
        <f>SUM('Benefits Spending Summary'!D43:F43)</f>
        <v>1357628.3900000001</v>
      </c>
      <c r="H43" s="1198">
        <f>'Services for Clients LASER 2012'!D42</f>
        <v>107075.29</v>
      </c>
      <c r="I43" s="1199">
        <f>'Services for Clients LASER 2012'!E42</f>
        <v>27623.820000000003</v>
      </c>
      <c r="J43" s="1199">
        <f>'Services for Clients LASER 2012'!F42</f>
        <v>72553.360000000015</v>
      </c>
      <c r="K43" s="1200">
        <f t="shared" si="9"/>
        <v>207252.47</v>
      </c>
      <c r="L43" s="1198">
        <f>'Medicaid &amp; FAMIS - LASER 2012'!E41+'SNAP - LASER 2012'!E41+'SNAP - LASER 2012'!F41+'FC &amp; Adoptions LASER 2012'!D41+'LIHEAP LASER 2012'!E41+'TANF LASER 2012'!D41+'Other Benefits LASER 2012'!D42</f>
        <v>6763764.2815999994</v>
      </c>
      <c r="M43" s="1199">
        <f>'Medicaid &amp; FAMIS - LASER 2012'!F41+'SNAP - LASER 2012'!G41+'FC &amp; Adoptions LASER 2012'!E41+'TANF LASER 2012'!E41+'Other Benefits LASER 2012'!E42</f>
        <v>5096882.4483999992</v>
      </c>
      <c r="N43" s="1199">
        <f>'FC &amp; Adoptions LASER 2012'!F41+'TANF LASER 2012'!F41</f>
        <v>464350.47000000003</v>
      </c>
      <c r="O43" s="1200">
        <f t="shared" si="10"/>
        <v>12324997.199999999</v>
      </c>
      <c r="Q43" s="951">
        <f t="shared" si="11"/>
        <v>0.41071682362211059</v>
      </c>
      <c r="R43" s="952">
        <f t="shared" si="12"/>
        <v>0.16894157612599717</v>
      </c>
      <c r="S43" s="952">
        <f t="shared" si="13"/>
        <v>0.4203416002518921</v>
      </c>
      <c r="T43" s="953">
        <f t="shared" si="5"/>
        <v>0.57965839974810784</v>
      </c>
      <c r="V43" s="951">
        <f t="shared" si="6"/>
        <v>0.51524229333740901</v>
      </c>
      <c r="W43" s="952">
        <f t="shared" si="7"/>
        <v>6.550670425328381E-2</v>
      </c>
      <c r="X43" s="953">
        <f t="shared" si="8"/>
        <v>0.41925100240930718</v>
      </c>
    </row>
    <row r="44" spans="1:24">
      <c r="A44" s="1147" t="s">
        <v>99</v>
      </c>
      <c r="B44" s="858" t="s">
        <v>100</v>
      </c>
      <c r="C44" s="1148" t="s">
        <v>275</v>
      </c>
      <c r="D44" s="1198">
        <f>'Eligibililty Staff LASER-2012'!D42+'Services Staff LASER 2012'!D42+'Other Exp. LASER 2012'!D42</f>
        <v>658318.78</v>
      </c>
      <c r="E44" s="1199">
        <f>'Eligibililty Staff LASER-2012'!E42+'Services Staff LASER 2012'!E42+'Other Exp. LASER 2012'!E42</f>
        <v>306273.34999999998</v>
      </c>
      <c r="F44" s="1199">
        <f>'Eligibililty Staff LASER-2012'!F42+'Services Staff LASER 2012'!F42+'Other Exp. LASER 2012'!F42</f>
        <v>250035.74</v>
      </c>
      <c r="G44" s="1200">
        <f>SUM('Benefits Spending Summary'!D44:F44)</f>
        <v>1214627.8700000001</v>
      </c>
      <c r="H44" s="1198">
        <f>'Services for Clients LASER 2012'!D43</f>
        <v>79818.509999999995</v>
      </c>
      <c r="I44" s="1199">
        <f>'Services for Clients LASER 2012'!E43</f>
        <v>14547.429999999998</v>
      </c>
      <c r="J44" s="1199">
        <f>'Services for Clients LASER 2012'!F43</f>
        <v>9998.57</v>
      </c>
      <c r="K44" s="1200">
        <f t="shared" si="9"/>
        <v>104364.50999999998</v>
      </c>
      <c r="L44" s="1198">
        <f>'Medicaid &amp; FAMIS - LASER 2012'!E42+'SNAP - LASER 2012'!E42+'SNAP - LASER 2012'!F42+'FC &amp; Adoptions LASER 2012'!D42+'LIHEAP LASER 2012'!E42+'TANF LASER 2012'!D42+'Other Benefits LASER 2012'!D43</f>
        <v>13953337.3062</v>
      </c>
      <c r="M44" s="1199">
        <f>'Medicaid &amp; FAMIS - LASER 2012'!F42+'SNAP - LASER 2012'!G42+'FC &amp; Adoptions LASER 2012'!E42+'TANF LASER 2012'!E42+'Other Benefits LASER 2012'!E43</f>
        <v>9784564.5037999991</v>
      </c>
      <c r="N44" s="1199">
        <f>'FC &amp; Adoptions LASER 2012'!F42+'TANF LASER 2012'!F42</f>
        <v>121572.56999999999</v>
      </c>
      <c r="O44" s="1200">
        <f t="shared" si="10"/>
        <v>23859474.379999999</v>
      </c>
      <c r="Q44" s="951">
        <f t="shared" si="11"/>
        <v>0.54199215764742825</v>
      </c>
      <c r="R44" s="952">
        <f t="shared" si="12"/>
        <v>0.25215406098001025</v>
      </c>
      <c r="S44" s="952">
        <f t="shared" si="13"/>
        <v>0.20585378137256144</v>
      </c>
      <c r="T44" s="953">
        <f t="shared" si="5"/>
        <v>0.7941462186274385</v>
      </c>
      <c r="V44" s="951">
        <f t="shared" si="6"/>
        <v>0.65521811346797521</v>
      </c>
      <c r="W44" s="952">
        <f t="shared" si="7"/>
        <v>2.620123096313148E-2</v>
      </c>
      <c r="X44" s="953">
        <f t="shared" si="8"/>
        <v>0.31858065556889326</v>
      </c>
    </row>
    <row r="45" spans="1:24">
      <c r="A45" s="1147" t="s">
        <v>101</v>
      </c>
      <c r="B45" s="858" t="s">
        <v>102</v>
      </c>
      <c r="C45" s="1148" t="s">
        <v>274</v>
      </c>
      <c r="D45" s="1198">
        <f>'Eligibililty Staff LASER-2012'!D43+'Services Staff LASER 2012'!D43+'Other Exp. LASER 2012'!D43</f>
        <v>501053.16000000003</v>
      </c>
      <c r="E45" s="1199">
        <f>'Eligibililty Staff LASER-2012'!E43+'Services Staff LASER 2012'!E43+'Other Exp. LASER 2012'!E43</f>
        <v>176950.25</v>
      </c>
      <c r="F45" s="1199">
        <f>'Eligibililty Staff LASER-2012'!F43+'Services Staff LASER 2012'!F43+'Other Exp. LASER 2012'!F43</f>
        <v>446592.85</v>
      </c>
      <c r="G45" s="1200">
        <f>SUM('Benefits Spending Summary'!D45:F45)</f>
        <v>1124596.26</v>
      </c>
      <c r="H45" s="1198">
        <f>'Services for Clients LASER 2012'!D44</f>
        <v>105570.62</v>
      </c>
      <c r="I45" s="1199">
        <f>'Services for Clients LASER 2012'!E44</f>
        <v>30134.359999999997</v>
      </c>
      <c r="J45" s="1199">
        <f>'Services for Clients LASER 2012'!F44</f>
        <v>9488.4200000000019</v>
      </c>
      <c r="K45" s="1200">
        <f t="shared" si="9"/>
        <v>145193.4</v>
      </c>
      <c r="L45" s="1198">
        <f>'Medicaid &amp; FAMIS - LASER 2012'!E43+'SNAP - LASER 2012'!E43+'SNAP - LASER 2012'!F43+'FC &amp; Adoptions LASER 2012'!D43+'LIHEAP LASER 2012'!E43+'TANF LASER 2012'!D43+'Other Benefits LASER 2012'!D44</f>
        <v>9455881.4744000025</v>
      </c>
      <c r="M45" s="1199">
        <f>'Medicaid &amp; FAMIS - LASER 2012'!F43+'SNAP - LASER 2012'!G43+'FC &amp; Adoptions LASER 2012'!E43+'TANF LASER 2012'!E43+'Other Benefits LASER 2012'!E44</f>
        <v>6846503.3456000006</v>
      </c>
      <c r="N45" s="1199">
        <f>'FC &amp; Adoptions LASER 2012'!F43+'TANF LASER 2012'!F43</f>
        <v>495922.42</v>
      </c>
      <c r="O45" s="1200">
        <f t="shared" si="10"/>
        <v>16798307.240000006</v>
      </c>
      <c r="Q45" s="951">
        <f t="shared" si="11"/>
        <v>0.44554048223493115</v>
      </c>
      <c r="R45" s="952">
        <f t="shared" si="12"/>
        <v>0.15734557929260765</v>
      </c>
      <c r="S45" s="952">
        <f t="shared" si="13"/>
        <v>0.39711393847246118</v>
      </c>
      <c r="T45" s="953">
        <f t="shared" si="5"/>
        <v>0.60288606152753876</v>
      </c>
      <c r="V45" s="951">
        <f t="shared" si="6"/>
        <v>0.46910831826712773</v>
      </c>
      <c r="W45" s="952">
        <f t="shared" si="7"/>
        <v>9.9667890993153634E-3</v>
      </c>
      <c r="X45" s="953">
        <f t="shared" si="8"/>
        <v>0.5209248926335569</v>
      </c>
    </row>
    <row r="46" spans="1:24">
      <c r="A46" s="1147" t="s">
        <v>103</v>
      </c>
      <c r="B46" s="858" t="s">
        <v>290</v>
      </c>
      <c r="C46" s="1148" t="s">
        <v>271</v>
      </c>
      <c r="D46" s="1198">
        <f>'Eligibililty Staff LASER-2012'!D44+'Services Staff LASER 2012'!D44+'Other Exp. LASER 2012'!D44</f>
        <v>981808.78999999992</v>
      </c>
      <c r="E46" s="1199">
        <f>'Eligibililty Staff LASER-2012'!E44+'Services Staff LASER 2012'!E44+'Other Exp. LASER 2012'!E44</f>
        <v>474639.34</v>
      </c>
      <c r="F46" s="1199">
        <f>'Eligibililty Staff LASER-2012'!F44+'Services Staff LASER 2012'!F44+'Other Exp. LASER 2012'!F44</f>
        <v>358492.30999999994</v>
      </c>
      <c r="G46" s="1200">
        <f>SUM('Benefits Spending Summary'!D46:F46)</f>
        <v>1814940.44</v>
      </c>
      <c r="H46" s="1198">
        <f>'Services for Clients LASER 2012'!D45</f>
        <v>257346.03000000003</v>
      </c>
      <c r="I46" s="1199">
        <f>'Services for Clients LASER 2012'!E45</f>
        <v>36783.78</v>
      </c>
      <c r="J46" s="1199">
        <f>'Services for Clients LASER 2012'!F45</f>
        <v>17802.329999999998</v>
      </c>
      <c r="K46" s="1200">
        <f t="shared" si="9"/>
        <v>311932.14000000007</v>
      </c>
      <c r="L46" s="1198">
        <f>'Medicaid &amp; FAMIS - LASER 2012'!E44+'SNAP - LASER 2012'!E44+'SNAP - LASER 2012'!F44+'FC &amp; Adoptions LASER 2012'!D44+'LIHEAP LASER 2012'!E44+'TANF LASER 2012'!D44+'Other Benefits LASER 2012'!D45</f>
        <v>20318400.631400004</v>
      </c>
      <c r="M46" s="1199">
        <f>'Medicaid &amp; FAMIS - LASER 2012'!F44+'SNAP - LASER 2012'!G44+'FC &amp; Adoptions LASER 2012'!E44+'TANF LASER 2012'!E44+'Other Benefits LASER 2012'!E45</f>
        <v>13949298.908599999</v>
      </c>
      <c r="N46" s="1199">
        <f>'FC &amp; Adoptions LASER 2012'!F44+'TANF LASER 2012'!F44</f>
        <v>114074.65999999999</v>
      </c>
      <c r="O46" s="1200">
        <f t="shared" si="10"/>
        <v>34381774.200000003</v>
      </c>
      <c r="Q46" s="951">
        <f t="shared" si="11"/>
        <v>0.54095923390191247</v>
      </c>
      <c r="R46" s="952">
        <f t="shared" si="12"/>
        <v>0.26151786005715982</v>
      </c>
      <c r="S46" s="952">
        <f t="shared" si="13"/>
        <v>0.19752290604092768</v>
      </c>
      <c r="T46" s="953">
        <f t="shared" si="5"/>
        <v>0.8024770939590723</v>
      </c>
      <c r="V46" s="951">
        <f t="shared" si="6"/>
        <v>0.73106597415458108</v>
      </c>
      <c r="W46" s="952">
        <f t="shared" si="7"/>
        <v>3.6303924409623524E-2</v>
      </c>
      <c r="X46" s="953">
        <f t="shared" si="8"/>
        <v>0.23263010143579543</v>
      </c>
    </row>
    <row r="47" spans="1:24">
      <c r="A47" s="1147" t="s">
        <v>105</v>
      </c>
      <c r="B47" s="858" t="s">
        <v>790</v>
      </c>
      <c r="C47" s="1148" t="s">
        <v>272</v>
      </c>
      <c r="D47" s="1198">
        <f>'Eligibililty Staff LASER-2012'!D45+'Services Staff LASER 2012'!D45+'Other Exp. LASER 2012'!D45</f>
        <v>1758182.14</v>
      </c>
      <c r="E47" s="1199">
        <f>'Eligibililty Staff LASER-2012'!E45+'Services Staff LASER 2012'!E45+'Other Exp. LASER 2012'!E45</f>
        <v>710575.48</v>
      </c>
      <c r="F47" s="1199">
        <f>'Eligibililty Staff LASER-2012'!F45+'Services Staff LASER 2012'!F45+'Other Exp. LASER 2012'!F45</f>
        <v>909597.16</v>
      </c>
      <c r="G47" s="1200">
        <f>SUM('Benefits Spending Summary'!D47:F47)</f>
        <v>3378354.7800000003</v>
      </c>
      <c r="H47" s="1198">
        <f>'Services for Clients LASER 2012'!D46</f>
        <v>137208.13</v>
      </c>
      <c r="I47" s="1199">
        <f>'Services for Clients LASER 2012'!E46</f>
        <v>27066.27</v>
      </c>
      <c r="J47" s="1199">
        <f>'Services for Clients LASER 2012'!F46</f>
        <v>20864.670000000002</v>
      </c>
      <c r="K47" s="1200">
        <f t="shared" si="9"/>
        <v>185139.07</v>
      </c>
      <c r="L47" s="1198">
        <f>'Medicaid &amp; FAMIS - LASER 2012'!E45+'SNAP - LASER 2012'!E45+'SNAP - LASER 2012'!F45+'FC &amp; Adoptions LASER 2012'!D45+'LIHEAP LASER 2012'!E45+'TANF LASER 2012'!D45+'Other Benefits LASER 2012'!D46</f>
        <v>34454494.500999995</v>
      </c>
      <c r="M47" s="1199">
        <f>'Medicaid &amp; FAMIS - LASER 2012'!F45+'SNAP - LASER 2012'!G45+'FC &amp; Adoptions LASER 2012'!E45+'TANF LASER 2012'!E45+'Other Benefits LASER 2012'!E46</f>
        <v>25280529.778999999</v>
      </c>
      <c r="N47" s="1199">
        <f>'FC &amp; Adoptions LASER 2012'!F45+'TANF LASER 2012'!F45</f>
        <v>689265.03</v>
      </c>
      <c r="O47" s="1200">
        <f t="shared" si="10"/>
        <v>60424289.309999995</v>
      </c>
      <c r="Q47" s="951">
        <f t="shared" si="11"/>
        <v>0.52042554867490853</v>
      </c>
      <c r="R47" s="952">
        <f t="shared" si="12"/>
        <v>0.21033181127294154</v>
      </c>
      <c r="S47" s="952">
        <f t="shared" si="13"/>
        <v>0.26924264005214987</v>
      </c>
      <c r="T47" s="953">
        <f t="shared" si="5"/>
        <v>0.73075735994785007</v>
      </c>
      <c r="V47" s="951">
        <f t="shared" si="6"/>
        <v>0.56157441261423546</v>
      </c>
      <c r="W47" s="952">
        <f t="shared" si="7"/>
        <v>1.2881597826932377E-2</v>
      </c>
      <c r="X47" s="953">
        <f t="shared" si="8"/>
        <v>0.42554398955883216</v>
      </c>
    </row>
    <row r="48" spans="1:24">
      <c r="A48" s="1147" t="s">
        <v>109</v>
      </c>
      <c r="B48" s="858" t="s">
        <v>110</v>
      </c>
      <c r="C48" s="1148" t="s">
        <v>273</v>
      </c>
      <c r="D48" s="1198">
        <f>'Eligibililty Staff LASER-2012'!D46+'Services Staff LASER 2012'!D46+'Other Exp. LASER 2012'!D46</f>
        <v>1659980.55</v>
      </c>
      <c r="E48" s="1199">
        <f>'Eligibililty Staff LASER-2012'!E46+'Services Staff LASER 2012'!E46+'Other Exp. LASER 2012'!E46</f>
        <v>422786.19</v>
      </c>
      <c r="F48" s="1199">
        <f>'Eligibililty Staff LASER-2012'!F46+'Services Staff LASER 2012'!F46+'Other Exp. LASER 2012'!F46</f>
        <v>1665550.8499999999</v>
      </c>
      <c r="G48" s="1200">
        <f>SUM('Benefits Spending Summary'!D48:F48)</f>
        <v>3748317.59</v>
      </c>
      <c r="H48" s="1198">
        <f>'Services for Clients LASER 2012'!D47</f>
        <v>327468.12000000005</v>
      </c>
      <c r="I48" s="1199">
        <f>'Services for Clients LASER 2012'!E47</f>
        <v>60199.38</v>
      </c>
      <c r="J48" s="1199">
        <f>'Services for Clients LASER 2012'!F47</f>
        <v>35510.480000000003</v>
      </c>
      <c r="K48" s="1200">
        <f t="shared" si="9"/>
        <v>423177.98000000004</v>
      </c>
      <c r="L48" s="1198">
        <f>'Medicaid &amp; FAMIS - LASER 2012'!E46+'SNAP - LASER 2012'!E46+'SNAP - LASER 2012'!F46+'FC &amp; Adoptions LASER 2012'!D46+'LIHEAP LASER 2012'!E46+'TANF LASER 2012'!D46+'Other Benefits LASER 2012'!D47</f>
        <v>31347614.294599999</v>
      </c>
      <c r="M48" s="1199">
        <f>'Medicaid &amp; FAMIS - LASER 2012'!F46+'SNAP - LASER 2012'!G46+'FC &amp; Adoptions LASER 2012'!E46+'TANF LASER 2012'!E46+'Other Benefits LASER 2012'!E47</f>
        <v>24258295.655400001</v>
      </c>
      <c r="N48" s="1199">
        <f>'FC &amp; Adoptions LASER 2012'!F46+'TANF LASER 2012'!F46</f>
        <v>2250917.5100000002</v>
      </c>
      <c r="O48" s="1200">
        <f t="shared" si="10"/>
        <v>57856827.460000001</v>
      </c>
      <c r="Q48" s="951">
        <f t="shared" si="11"/>
        <v>0.4428601659658194</v>
      </c>
      <c r="R48" s="952">
        <f t="shared" si="12"/>
        <v>0.11279358801611046</v>
      </c>
      <c r="S48" s="952">
        <f t="shared" si="13"/>
        <v>0.44434624601807016</v>
      </c>
      <c r="T48" s="953">
        <f t="shared" si="5"/>
        <v>0.55565375398192984</v>
      </c>
      <c r="V48" s="951">
        <f t="shared" si="6"/>
        <v>0.42144730967233618</v>
      </c>
      <c r="W48" s="952">
        <f t="shared" si="7"/>
        <v>8.98549345471698E-3</v>
      </c>
      <c r="X48" s="953">
        <f t="shared" si="8"/>
        <v>0.56956719687294688</v>
      </c>
    </row>
    <row r="49" spans="1:24">
      <c r="A49" s="1147" t="s">
        <v>111</v>
      </c>
      <c r="B49" s="858" t="s">
        <v>112</v>
      </c>
      <c r="C49" s="1148" t="s">
        <v>273</v>
      </c>
      <c r="D49" s="1198">
        <f>'Eligibililty Staff LASER-2012'!D47+'Services Staff LASER 2012'!D47+'Other Exp. LASER 2012'!D47</f>
        <v>5982319.3099999996</v>
      </c>
      <c r="E49" s="1199">
        <f>'Eligibililty Staff LASER-2012'!E47+'Services Staff LASER 2012'!E47+'Other Exp. LASER 2012'!E47</f>
        <v>2016744.21</v>
      </c>
      <c r="F49" s="1199">
        <f>'Eligibililty Staff LASER-2012'!F47+'Services Staff LASER 2012'!F47+'Other Exp. LASER 2012'!F47</f>
        <v>5202105.6100000003</v>
      </c>
      <c r="G49" s="1200">
        <f>SUM('Benefits Spending Summary'!D49:F49)</f>
        <v>13201169.129999999</v>
      </c>
      <c r="H49" s="1198">
        <f>'Services for Clients LASER 2012'!D48</f>
        <v>3967194.8599999994</v>
      </c>
      <c r="I49" s="1199">
        <f>'Services for Clients LASER 2012'!E48</f>
        <v>1811128.5799999998</v>
      </c>
      <c r="J49" s="1199">
        <f>'Services for Clients LASER 2012'!F48</f>
        <v>504511.13000000006</v>
      </c>
      <c r="K49" s="1200">
        <f t="shared" si="9"/>
        <v>6282834.5699999994</v>
      </c>
      <c r="L49" s="1198">
        <f>'Medicaid &amp; FAMIS - LASER 2012'!E47+'SNAP - LASER 2012'!E47+'SNAP - LASER 2012'!F47+'FC &amp; Adoptions LASER 2012'!D47+'LIHEAP LASER 2012'!E47+'TANF LASER 2012'!D47+'Other Benefits LASER 2012'!D48</f>
        <v>161971146.92629999</v>
      </c>
      <c r="M49" s="1199">
        <f>'Medicaid &amp; FAMIS - LASER 2012'!F47+'SNAP - LASER 2012'!G47+'FC &amp; Adoptions LASER 2012'!E47+'TANF LASER 2012'!E47+'Other Benefits LASER 2012'!E48</f>
        <v>105983536.9937</v>
      </c>
      <c r="N49" s="1199">
        <f>'FC &amp; Adoptions LASER 2012'!F47+'TANF LASER 2012'!F47</f>
        <v>2247888.54</v>
      </c>
      <c r="O49" s="1200">
        <f t="shared" si="10"/>
        <v>270202572.45999998</v>
      </c>
      <c r="Q49" s="951">
        <f t="shared" si="11"/>
        <v>0.45316587122613433</v>
      </c>
      <c r="R49" s="952">
        <f t="shared" si="12"/>
        <v>0.15277012135363802</v>
      </c>
      <c r="S49" s="952">
        <f t="shared" si="13"/>
        <v>0.39406400742022768</v>
      </c>
      <c r="T49" s="953">
        <f t="shared" si="5"/>
        <v>0.60593599257977238</v>
      </c>
      <c r="V49" s="951">
        <f t="shared" si="6"/>
        <v>0.65398229391834661</v>
      </c>
      <c r="W49" s="952">
        <f t="shared" si="7"/>
        <v>6.3424576669587687E-2</v>
      </c>
      <c r="X49" s="953">
        <f t="shared" si="8"/>
        <v>0.28259312941206571</v>
      </c>
    </row>
    <row r="50" spans="1:24">
      <c r="A50" s="1147" t="s">
        <v>113</v>
      </c>
      <c r="B50" s="858" t="s">
        <v>310</v>
      </c>
      <c r="C50" s="1148" t="s">
        <v>272</v>
      </c>
      <c r="D50" s="1198">
        <f>'Eligibililty Staff LASER-2012'!D48+'Services Staff LASER 2012'!D48+'Other Exp. LASER 2012'!D48</f>
        <v>2346765.84</v>
      </c>
      <c r="E50" s="1199">
        <f>'Eligibililty Staff LASER-2012'!E48+'Services Staff LASER 2012'!E48+'Other Exp. LASER 2012'!E48</f>
        <v>1222074.6400000001</v>
      </c>
      <c r="F50" s="1199">
        <f>'Eligibililty Staff LASER-2012'!F48+'Services Staff LASER 2012'!F48+'Other Exp. LASER 2012'!F48</f>
        <v>781926.66</v>
      </c>
      <c r="G50" s="1200">
        <f>SUM('Benefits Spending Summary'!D50:F50)</f>
        <v>4350767.1399999997</v>
      </c>
      <c r="H50" s="1198">
        <f>'Services for Clients LASER 2012'!D49</f>
        <v>462224.85</v>
      </c>
      <c r="I50" s="1199">
        <f>'Services for Clients LASER 2012'!E49</f>
        <v>139739.79999999999</v>
      </c>
      <c r="J50" s="1199">
        <f>'Services for Clients LASER 2012'!F49</f>
        <v>70649.319999999992</v>
      </c>
      <c r="K50" s="1200">
        <f t="shared" si="9"/>
        <v>672613.96999999986</v>
      </c>
      <c r="L50" s="1198">
        <f>'Medicaid &amp; FAMIS - LASER 2012'!E48+'SNAP - LASER 2012'!E48+'SNAP - LASER 2012'!F48+'FC &amp; Adoptions LASER 2012'!D48+'LIHEAP LASER 2012'!E48+'TANF LASER 2012'!D48+'Other Benefits LASER 2012'!D49</f>
        <v>71239318.272499993</v>
      </c>
      <c r="M50" s="1199">
        <f>'Medicaid &amp; FAMIS - LASER 2012'!F48+'SNAP - LASER 2012'!G48+'FC &amp; Adoptions LASER 2012'!E48+'TANF LASER 2012'!E48+'Other Benefits LASER 2012'!E49</f>
        <v>44127582.347500004</v>
      </c>
      <c r="N50" s="1199">
        <f>'FC &amp; Adoptions LASER 2012'!F48+'TANF LASER 2012'!F48</f>
        <v>195517.30000000002</v>
      </c>
      <c r="O50" s="1200">
        <f t="shared" si="10"/>
        <v>115562417.92</v>
      </c>
      <c r="Q50" s="951">
        <f t="shared" si="11"/>
        <v>0.53939127617848104</v>
      </c>
      <c r="R50" s="952">
        <f t="shared" si="12"/>
        <v>0.28088716326932639</v>
      </c>
      <c r="S50" s="952">
        <f t="shared" si="13"/>
        <v>0.17972156055219266</v>
      </c>
      <c r="T50" s="953">
        <f t="shared" si="5"/>
        <v>0.82027843944780743</v>
      </c>
      <c r="V50" s="951">
        <f t="shared" si="6"/>
        <v>0.74604682132872757</v>
      </c>
      <c r="W50" s="952">
        <f t="shared" si="7"/>
        <v>6.7407473502740123E-2</v>
      </c>
      <c r="X50" s="953">
        <f t="shared" si="8"/>
        <v>0.18654570516853233</v>
      </c>
    </row>
    <row r="51" spans="1:24">
      <c r="A51" s="1147" t="s">
        <v>115</v>
      </c>
      <c r="B51" s="858" t="s">
        <v>116</v>
      </c>
      <c r="C51" s="1148" t="s">
        <v>272</v>
      </c>
      <c r="D51" s="1198">
        <f>'Eligibililty Staff LASER-2012'!D49+'Services Staff LASER 2012'!D49+'Other Exp. LASER 2012'!D49</f>
        <v>117024.95</v>
      </c>
      <c r="E51" s="1199">
        <f>'Eligibililty Staff LASER-2012'!E49+'Services Staff LASER 2012'!E49+'Other Exp. LASER 2012'!E49</f>
        <v>54448.01</v>
      </c>
      <c r="F51" s="1199">
        <f>'Eligibililty Staff LASER-2012'!F49+'Services Staff LASER 2012'!F49+'Other Exp. LASER 2012'!F49</f>
        <v>54546.71</v>
      </c>
      <c r="G51" s="1200">
        <f>SUM('Benefits Spending Summary'!D51:F51)</f>
        <v>226019.66999999998</v>
      </c>
      <c r="H51" s="1198">
        <f>'Services for Clients LASER 2012'!D50</f>
        <v>25223.920000000002</v>
      </c>
      <c r="I51" s="1199">
        <f>'Services for Clients LASER 2012'!E50</f>
        <v>2567.23</v>
      </c>
      <c r="J51" s="1199">
        <f>'Services for Clients LASER 2012'!F50</f>
        <v>4696.4799999999996</v>
      </c>
      <c r="K51" s="1200">
        <f t="shared" si="9"/>
        <v>32487.63</v>
      </c>
      <c r="L51" s="1198">
        <f>'Medicaid &amp; FAMIS - LASER 2012'!E49+'SNAP - LASER 2012'!E49+'SNAP - LASER 2012'!F49+'FC &amp; Adoptions LASER 2012'!D49+'LIHEAP LASER 2012'!E49+'TANF LASER 2012'!D49+'Other Benefits LASER 2012'!D50</f>
        <v>1058578.4576000001</v>
      </c>
      <c r="M51" s="1199">
        <f>'Medicaid &amp; FAMIS - LASER 2012'!F49+'SNAP - LASER 2012'!G49+'FC &amp; Adoptions LASER 2012'!E49+'TANF LASER 2012'!E49+'Other Benefits LASER 2012'!E50</f>
        <v>805552.55240000004</v>
      </c>
      <c r="N51" s="1199">
        <f>'FC &amp; Adoptions LASER 2012'!F49+'TANF LASER 2012'!F49</f>
        <v>-0.05</v>
      </c>
      <c r="O51" s="1200">
        <f t="shared" si="10"/>
        <v>1864130.9600000002</v>
      </c>
      <c r="Q51" s="951">
        <f t="shared" si="11"/>
        <v>0.51776444943929001</v>
      </c>
      <c r="R51" s="952">
        <f t="shared" si="12"/>
        <v>0.24089943145213868</v>
      </c>
      <c r="S51" s="952">
        <f t="shared" si="13"/>
        <v>0.24133611910857142</v>
      </c>
      <c r="T51" s="953">
        <f t="shared" si="5"/>
        <v>0.75866388089142867</v>
      </c>
      <c r="V51" s="951">
        <f t="shared" si="6"/>
        <v>0.92072618028011344</v>
      </c>
      <c r="W51" s="952">
        <f t="shared" si="7"/>
        <v>7.9274663699459541E-2</v>
      </c>
      <c r="X51" s="953">
        <f t="shared" si="8"/>
        <v>-8.4397957299359898E-7</v>
      </c>
    </row>
    <row r="52" spans="1:24">
      <c r="A52" s="1147" t="s">
        <v>119</v>
      </c>
      <c r="B52" s="858" t="s">
        <v>120</v>
      </c>
      <c r="C52" s="1148" t="s">
        <v>271</v>
      </c>
      <c r="D52" s="1198">
        <f>'Eligibililty Staff LASER-2012'!D50+'Services Staff LASER 2012'!D50+'Other Exp. LASER 2012'!D50</f>
        <v>1179338.29</v>
      </c>
      <c r="E52" s="1199">
        <f>'Eligibililty Staff LASER-2012'!E50+'Services Staff LASER 2012'!E50+'Other Exp. LASER 2012'!E50</f>
        <v>475762.38</v>
      </c>
      <c r="F52" s="1199">
        <f>'Eligibililty Staff LASER-2012'!F50+'Services Staff LASER 2012'!F50+'Other Exp. LASER 2012'!F50</f>
        <v>797903.16</v>
      </c>
      <c r="G52" s="1200">
        <f>SUM('Benefits Spending Summary'!D52:F52)</f>
        <v>2453003.83</v>
      </c>
      <c r="H52" s="1198">
        <f>'Services for Clients LASER 2012'!D51</f>
        <v>206385.52</v>
      </c>
      <c r="I52" s="1199">
        <f>'Services for Clients LASER 2012'!E51</f>
        <v>46749.88</v>
      </c>
      <c r="J52" s="1199">
        <f>'Services for Clients LASER 2012'!F51</f>
        <v>63721.62000000001</v>
      </c>
      <c r="K52" s="1200">
        <f t="shared" si="9"/>
        <v>316857.02</v>
      </c>
      <c r="L52" s="1198">
        <f>'Medicaid &amp; FAMIS - LASER 2012'!E50+'SNAP - LASER 2012'!E50+'SNAP - LASER 2012'!F50+'FC &amp; Adoptions LASER 2012'!D50+'LIHEAP LASER 2012'!E50+'TANF LASER 2012'!D50+'Other Benefits LASER 2012'!D51</f>
        <v>19991628.585599996</v>
      </c>
      <c r="M52" s="1199">
        <f>'Medicaid &amp; FAMIS - LASER 2012'!F50+'SNAP - LASER 2012'!G50+'FC &amp; Adoptions LASER 2012'!E50+'TANF LASER 2012'!E50+'Other Benefits LASER 2012'!E51</f>
        <v>13549148.644400001</v>
      </c>
      <c r="N52" s="1199">
        <f>'FC &amp; Adoptions LASER 2012'!F50+'TANF LASER 2012'!F50</f>
        <v>197002.87</v>
      </c>
      <c r="O52" s="1200">
        <f t="shared" si="10"/>
        <v>33737780.099999994</v>
      </c>
      <c r="Q52" s="951">
        <f t="shared" si="11"/>
        <v>0.48077311399876616</v>
      </c>
      <c r="R52" s="952">
        <f t="shared" si="12"/>
        <v>0.19395093239622052</v>
      </c>
      <c r="S52" s="952">
        <f t="shared" si="13"/>
        <v>0.32527595360501332</v>
      </c>
      <c r="T52" s="953">
        <f t="shared" si="5"/>
        <v>0.67472404639498662</v>
      </c>
      <c r="V52" s="951">
        <f t="shared" si="6"/>
        <v>0.75371464178174463</v>
      </c>
      <c r="W52" s="952">
        <f t="shared" si="7"/>
        <v>6.0192665475911213E-2</v>
      </c>
      <c r="X52" s="953">
        <f t="shared" si="8"/>
        <v>0.1860926927423443</v>
      </c>
    </row>
    <row r="53" spans="1:24">
      <c r="A53" s="1147" t="s">
        <v>121</v>
      </c>
      <c r="B53" s="858" t="s">
        <v>122</v>
      </c>
      <c r="C53" s="1148" t="s">
        <v>271</v>
      </c>
      <c r="D53" s="1198">
        <f>'Eligibililty Staff LASER-2012'!D51+'Services Staff LASER 2012'!D51+'Other Exp. LASER 2012'!D51</f>
        <v>1580469.78</v>
      </c>
      <c r="E53" s="1199">
        <f>'Eligibililty Staff LASER-2012'!E51+'Services Staff LASER 2012'!E51+'Other Exp. LASER 2012'!E51</f>
        <v>536593</v>
      </c>
      <c r="F53" s="1199">
        <f>'Eligibililty Staff LASER-2012'!F51+'Services Staff LASER 2012'!F51+'Other Exp. LASER 2012'!F51</f>
        <v>1795591.05</v>
      </c>
      <c r="G53" s="1200">
        <f>SUM('Benefits Spending Summary'!D53:F53)</f>
        <v>3912653.83</v>
      </c>
      <c r="H53" s="1198">
        <f>'Services for Clients LASER 2012'!D52</f>
        <v>317273.49</v>
      </c>
      <c r="I53" s="1199">
        <f>'Services for Clients LASER 2012'!E52</f>
        <v>62401.43</v>
      </c>
      <c r="J53" s="1199">
        <f>'Services for Clients LASER 2012'!F52</f>
        <v>36489.97</v>
      </c>
      <c r="K53" s="1200">
        <f t="shared" si="9"/>
        <v>416164.89</v>
      </c>
      <c r="L53" s="1198">
        <f>'Medicaid &amp; FAMIS - LASER 2012'!E51+'SNAP - LASER 2012'!E51+'SNAP - LASER 2012'!F51+'FC &amp; Adoptions LASER 2012'!D51+'LIHEAP LASER 2012'!E51+'TANF LASER 2012'!D51+'Other Benefits LASER 2012'!D52</f>
        <v>19338735.010200001</v>
      </c>
      <c r="M53" s="1199">
        <f>'Medicaid &amp; FAMIS - LASER 2012'!F51+'SNAP - LASER 2012'!G51+'FC &amp; Adoptions LASER 2012'!E51+'TANF LASER 2012'!E51+'Other Benefits LASER 2012'!E52</f>
        <v>12335281.649800001</v>
      </c>
      <c r="N53" s="1199">
        <f>'FC &amp; Adoptions LASER 2012'!F51+'TANF LASER 2012'!F51</f>
        <v>250470.53</v>
      </c>
      <c r="O53" s="1200">
        <f t="shared" si="10"/>
        <v>31924487.190000005</v>
      </c>
      <c r="Q53" s="951">
        <f t="shared" si="11"/>
        <v>0.40393805551665685</v>
      </c>
      <c r="R53" s="952">
        <f t="shared" si="12"/>
        <v>0.13714297847811391</v>
      </c>
      <c r="S53" s="952">
        <f t="shared" si="13"/>
        <v>0.45891896600522925</v>
      </c>
      <c r="T53" s="953">
        <f t="shared" si="5"/>
        <v>0.54108103399477081</v>
      </c>
      <c r="V53" s="951">
        <f t="shared" si="6"/>
        <v>0.8622072524447234</v>
      </c>
      <c r="W53" s="952">
        <f t="shared" si="7"/>
        <v>1.7521760745850445E-2</v>
      </c>
      <c r="X53" s="953">
        <f t="shared" si="8"/>
        <v>0.12027098680942616</v>
      </c>
    </row>
    <row r="54" spans="1:24">
      <c r="A54" s="1147" t="s">
        <v>123</v>
      </c>
      <c r="B54" s="858" t="s">
        <v>278</v>
      </c>
      <c r="C54" s="1148" t="s">
        <v>273</v>
      </c>
      <c r="D54" s="1198">
        <f>'Eligibililty Staff LASER-2012'!D52+'Services Staff LASER 2012'!D52+'Other Exp. LASER 2012'!D52</f>
        <v>417909.19000000006</v>
      </c>
      <c r="E54" s="1199">
        <f>'Eligibililty Staff LASER-2012'!E52+'Services Staff LASER 2012'!E52+'Other Exp. LASER 2012'!E52</f>
        <v>168947.57</v>
      </c>
      <c r="F54" s="1199">
        <f>'Eligibililty Staff LASER-2012'!F52+'Services Staff LASER 2012'!F52+'Other Exp. LASER 2012'!F52</f>
        <v>270686.15000000002</v>
      </c>
      <c r="G54" s="1200">
        <f>SUM('Benefits Spending Summary'!D54:F54)</f>
        <v>857542.91</v>
      </c>
      <c r="H54" s="1198">
        <f>'Services for Clients LASER 2012'!D53</f>
        <v>46138.18</v>
      </c>
      <c r="I54" s="1199">
        <f>'Services for Clients LASER 2012'!E53</f>
        <v>10341.469999999999</v>
      </c>
      <c r="J54" s="1199">
        <f>'Services for Clients LASER 2012'!F53</f>
        <v>5949.32</v>
      </c>
      <c r="K54" s="1200">
        <f t="shared" si="9"/>
        <v>62428.97</v>
      </c>
      <c r="L54" s="1198">
        <f>'Medicaid &amp; FAMIS - LASER 2012'!E52+'SNAP - LASER 2012'!E52+'SNAP - LASER 2012'!F52+'FC &amp; Adoptions LASER 2012'!D52+'LIHEAP LASER 2012'!E52+'TANF LASER 2012'!D52+'Other Benefits LASER 2012'!D53</f>
        <v>5384324.582799999</v>
      </c>
      <c r="M54" s="1199">
        <f>'Medicaid &amp; FAMIS - LASER 2012'!F52+'SNAP - LASER 2012'!G52+'FC &amp; Adoptions LASER 2012'!E52+'TANF LASER 2012'!E52+'Other Benefits LASER 2012'!E53</f>
        <v>4000860.5871999995</v>
      </c>
      <c r="N54" s="1199">
        <f>'FC &amp; Adoptions LASER 2012'!F52+'TANF LASER 2012'!F52</f>
        <v>221124</v>
      </c>
      <c r="O54" s="1200">
        <f t="shared" si="10"/>
        <v>9606309.1699999981</v>
      </c>
      <c r="Q54" s="951">
        <f t="shared" si="11"/>
        <v>0.48733326942205146</v>
      </c>
      <c r="R54" s="952">
        <f t="shared" si="12"/>
        <v>0.19701354652911771</v>
      </c>
      <c r="S54" s="952">
        <f t="shared" si="13"/>
        <v>0.31565318404883086</v>
      </c>
      <c r="T54" s="953">
        <f t="shared" si="5"/>
        <v>0.68434681595116909</v>
      </c>
      <c r="V54" s="951">
        <f t="shared" si="6"/>
        <v>0.54380914139112213</v>
      </c>
      <c r="W54" s="952">
        <f t="shared" si="7"/>
        <v>1.1952198518694179E-2</v>
      </c>
      <c r="X54" s="953">
        <f t="shared" si="8"/>
        <v>0.4442386600901837</v>
      </c>
    </row>
    <row r="55" spans="1:24">
      <c r="A55" s="1147" t="s">
        <v>125</v>
      </c>
      <c r="B55" s="858" t="s">
        <v>126</v>
      </c>
      <c r="C55" s="1148" t="s">
        <v>274</v>
      </c>
      <c r="D55" s="1198">
        <f>'Eligibililty Staff LASER-2012'!D53+'Services Staff LASER 2012'!D53+'Other Exp. LASER 2012'!D53</f>
        <v>570018.23</v>
      </c>
      <c r="E55" s="1199">
        <f>'Eligibililty Staff LASER-2012'!E53+'Services Staff LASER 2012'!E53+'Other Exp. LASER 2012'!E53</f>
        <v>203625.72999999998</v>
      </c>
      <c r="F55" s="1199">
        <f>'Eligibililty Staff LASER-2012'!F53+'Services Staff LASER 2012'!F53+'Other Exp. LASER 2012'!F53</f>
        <v>702695.99</v>
      </c>
      <c r="G55" s="1200">
        <f>SUM('Benefits Spending Summary'!D55:F55)</f>
        <v>1476339.95</v>
      </c>
      <c r="H55" s="1198">
        <f>'Services for Clients LASER 2012'!D54</f>
        <v>190771.66</v>
      </c>
      <c r="I55" s="1199">
        <f>'Services for Clients LASER 2012'!E54</f>
        <v>44701.429999999993</v>
      </c>
      <c r="J55" s="1199">
        <f>'Services for Clients LASER 2012'!F54</f>
        <v>12986.16</v>
      </c>
      <c r="K55" s="1200">
        <f t="shared" si="9"/>
        <v>248459.25</v>
      </c>
      <c r="L55" s="1198">
        <f>'Medicaid &amp; FAMIS - LASER 2012'!E53+'SNAP - LASER 2012'!E53+'SNAP - LASER 2012'!F53+'FC &amp; Adoptions LASER 2012'!D53+'LIHEAP LASER 2012'!E53+'TANF LASER 2012'!D53+'Other Benefits LASER 2012'!D54</f>
        <v>11511778.502200002</v>
      </c>
      <c r="M55" s="1199">
        <f>'Medicaid &amp; FAMIS - LASER 2012'!F53+'SNAP - LASER 2012'!G53+'FC &amp; Adoptions LASER 2012'!E53+'TANF LASER 2012'!E53+'Other Benefits LASER 2012'!E54</f>
        <v>7976511.7578000007</v>
      </c>
      <c r="N55" s="1199">
        <f>'FC &amp; Adoptions LASER 2012'!F53+'TANF LASER 2012'!F53</f>
        <v>871612.03</v>
      </c>
      <c r="O55" s="1200">
        <f t="shared" si="10"/>
        <v>20359902.290000003</v>
      </c>
      <c r="Q55" s="951">
        <f t="shared" si="11"/>
        <v>0.38610228626543636</v>
      </c>
      <c r="R55" s="952">
        <f t="shared" si="12"/>
        <v>0.13792604474328557</v>
      </c>
      <c r="S55" s="952">
        <f t="shared" si="13"/>
        <v>0.47597166899127807</v>
      </c>
      <c r="T55" s="953">
        <f t="shared" si="5"/>
        <v>0.52402833100872193</v>
      </c>
      <c r="V55" s="951">
        <f t="shared" si="6"/>
        <v>0.44270053960633809</v>
      </c>
      <c r="W55" s="952">
        <f t="shared" si="7"/>
        <v>8.181318978943147E-3</v>
      </c>
      <c r="X55" s="953">
        <f t="shared" si="8"/>
        <v>0.54911814141471871</v>
      </c>
    </row>
    <row r="56" spans="1:24">
      <c r="A56" s="1147" t="s">
        <v>127</v>
      </c>
      <c r="B56" s="858" t="s">
        <v>128</v>
      </c>
      <c r="C56" s="1148" t="s">
        <v>273</v>
      </c>
      <c r="D56" s="1198">
        <f>'Eligibililty Staff LASER-2012'!D54+'Services Staff LASER 2012'!D54+'Other Exp. LASER 2012'!D54</f>
        <v>398343.41000000003</v>
      </c>
      <c r="E56" s="1199">
        <f>'Eligibililty Staff LASER-2012'!E54+'Services Staff LASER 2012'!E54+'Other Exp. LASER 2012'!E54</f>
        <v>147785.62</v>
      </c>
      <c r="F56" s="1199">
        <f>'Eligibililty Staff LASER-2012'!F54+'Services Staff LASER 2012'!F54+'Other Exp. LASER 2012'!F54</f>
        <v>296196.24</v>
      </c>
      <c r="G56" s="1200">
        <f>SUM('Benefits Spending Summary'!D56:F56)</f>
        <v>842325.27</v>
      </c>
      <c r="H56" s="1198">
        <f>'Services for Clients LASER 2012'!D55</f>
        <v>159971.24</v>
      </c>
      <c r="I56" s="1199">
        <f>'Services for Clients LASER 2012'!E55</f>
        <v>31136.629999999997</v>
      </c>
      <c r="J56" s="1199">
        <f>'Services for Clients LASER 2012'!F55</f>
        <v>12020.49</v>
      </c>
      <c r="K56" s="1200">
        <f t="shared" si="9"/>
        <v>203128.36</v>
      </c>
      <c r="L56" s="1198">
        <f>'Medicaid &amp; FAMIS - LASER 2012'!E54+'SNAP - LASER 2012'!E54+'SNAP - LASER 2012'!F54+'FC &amp; Adoptions LASER 2012'!D54+'LIHEAP LASER 2012'!E54+'TANF LASER 2012'!D54+'Other Benefits LASER 2012'!D55</f>
        <v>8849504.0848999992</v>
      </c>
      <c r="M56" s="1199">
        <f>'Medicaid &amp; FAMIS - LASER 2012'!F54+'SNAP - LASER 2012'!G54+'FC &amp; Adoptions LASER 2012'!E54+'TANF LASER 2012'!E54+'Other Benefits LASER 2012'!E55</f>
        <v>5750403.8051000005</v>
      </c>
      <c r="N56" s="1199">
        <f>'FC &amp; Adoptions LASER 2012'!F54+'TANF LASER 2012'!F54</f>
        <v>132118.74</v>
      </c>
      <c r="O56" s="1200">
        <f t="shared" si="10"/>
        <v>14732026.630000001</v>
      </c>
      <c r="Q56" s="951">
        <f t="shared" si="11"/>
        <v>0.47290924799157458</v>
      </c>
      <c r="R56" s="952">
        <f t="shared" si="12"/>
        <v>0.17544958612009823</v>
      </c>
      <c r="S56" s="952">
        <f t="shared" si="13"/>
        <v>0.35164116588832717</v>
      </c>
      <c r="T56" s="953">
        <f t="shared" si="5"/>
        <v>0.64835883411167283</v>
      </c>
      <c r="V56" s="951">
        <f t="shared" si="6"/>
        <v>0.67266041502402707</v>
      </c>
      <c r="W56" s="952">
        <f t="shared" si="7"/>
        <v>2.7298482223110487E-2</v>
      </c>
      <c r="X56" s="953">
        <f t="shared" si="8"/>
        <v>0.3000411027528625</v>
      </c>
    </row>
    <row r="57" spans="1:24">
      <c r="A57" s="1147" t="s">
        <v>129</v>
      </c>
      <c r="B57" s="858" t="s">
        <v>130</v>
      </c>
      <c r="C57" s="1148" t="s">
        <v>273</v>
      </c>
      <c r="D57" s="1198">
        <f>'Eligibililty Staff LASER-2012'!D55+'Services Staff LASER 2012'!D55+'Other Exp. LASER 2012'!D55</f>
        <v>558164.5</v>
      </c>
      <c r="E57" s="1199">
        <f>'Eligibililty Staff LASER-2012'!E55+'Services Staff LASER 2012'!E55+'Other Exp. LASER 2012'!E55</f>
        <v>279315.34999999998</v>
      </c>
      <c r="F57" s="1199">
        <f>'Eligibililty Staff LASER-2012'!F55+'Services Staff LASER 2012'!F55+'Other Exp. LASER 2012'!F55</f>
        <v>248497.03999999998</v>
      </c>
      <c r="G57" s="1200">
        <f>SUM('Benefits Spending Summary'!D57:F57)</f>
        <v>1085976.8899999999</v>
      </c>
      <c r="H57" s="1198">
        <f>'Services for Clients LASER 2012'!D56</f>
        <v>101956.43</v>
      </c>
      <c r="I57" s="1199">
        <f>'Services for Clients LASER 2012'!E56</f>
        <v>21123.360000000001</v>
      </c>
      <c r="J57" s="1199">
        <f>'Services for Clients LASER 2012'!F56</f>
        <v>15290.900000000001</v>
      </c>
      <c r="K57" s="1200">
        <f t="shared" si="9"/>
        <v>138370.69</v>
      </c>
      <c r="L57" s="1198">
        <f>'Medicaid &amp; FAMIS - LASER 2012'!E55+'SNAP - LASER 2012'!E55+'SNAP - LASER 2012'!F55+'FC &amp; Adoptions LASER 2012'!D55+'LIHEAP LASER 2012'!E55+'TANF LASER 2012'!D55+'Other Benefits LASER 2012'!D56</f>
        <v>8890364.2202000022</v>
      </c>
      <c r="M57" s="1199">
        <f>'Medicaid &amp; FAMIS - LASER 2012'!F55+'SNAP - LASER 2012'!G55+'FC &amp; Adoptions LASER 2012'!E55+'TANF LASER 2012'!E55+'Other Benefits LASER 2012'!E56</f>
        <v>6399960.0698000006</v>
      </c>
      <c r="N57" s="1199">
        <f>'FC &amp; Adoptions LASER 2012'!F55+'TANF LASER 2012'!F55</f>
        <v>257532.94</v>
      </c>
      <c r="O57" s="1200">
        <f t="shared" si="10"/>
        <v>15547857.230000002</v>
      </c>
      <c r="Q57" s="951">
        <f t="shared" si="11"/>
        <v>0.51397456533352204</v>
      </c>
      <c r="R57" s="952">
        <f t="shared" si="12"/>
        <v>0.25720192811837828</v>
      </c>
      <c r="S57" s="952">
        <f t="shared" si="13"/>
        <v>0.22882350654809974</v>
      </c>
      <c r="T57" s="953">
        <f t="shared" si="5"/>
        <v>0.77117649345190031</v>
      </c>
      <c r="V57" s="951">
        <f t="shared" si="6"/>
        <v>0.4766681127370152</v>
      </c>
      <c r="W57" s="952">
        <f t="shared" si="7"/>
        <v>2.9331071489022271E-2</v>
      </c>
      <c r="X57" s="953">
        <f t="shared" si="8"/>
        <v>0.49400081577396249</v>
      </c>
    </row>
    <row r="58" spans="1:24">
      <c r="A58" s="1147" t="s">
        <v>131</v>
      </c>
      <c r="B58" s="858" t="s">
        <v>132</v>
      </c>
      <c r="C58" s="1148" t="s">
        <v>275</v>
      </c>
      <c r="D58" s="1198">
        <f>'Eligibililty Staff LASER-2012'!D56+'Services Staff LASER 2012'!D56+'Other Exp. LASER 2012'!D56</f>
        <v>1610348.9100000001</v>
      </c>
      <c r="E58" s="1199">
        <f>'Eligibililty Staff LASER-2012'!E56+'Services Staff LASER 2012'!E56+'Other Exp. LASER 2012'!E56</f>
        <v>769307.51</v>
      </c>
      <c r="F58" s="1199">
        <f>'Eligibililty Staff LASER-2012'!F56+'Services Staff LASER 2012'!F56+'Other Exp. LASER 2012'!F56</f>
        <v>536120.43999999994</v>
      </c>
      <c r="G58" s="1200">
        <f>SUM('Benefits Spending Summary'!D58:F58)</f>
        <v>2915776.86</v>
      </c>
      <c r="H58" s="1198">
        <f>'Services for Clients LASER 2012'!D57</f>
        <v>226851.82</v>
      </c>
      <c r="I58" s="1199">
        <f>'Services for Clients LASER 2012'!E57</f>
        <v>75118.36</v>
      </c>
      <c r="J58" s="1199">
        <f>'Services for Clients LASER 2012'!F57</f>
        <v>48466.73</v>
      </c>
      <c r="K58" s="1200">
        <f t="shared" si="9"/>
        <v>350436.91</v>
      </c>
      <c r="L58" s="1198">
        <f>'Medicaid &amp; FAMIS - LASER 2012'!E56+'SNAP - LASER 2012'!E56+'SNAP - LASER 2012'!F56+'FC &amp; Adoptions LASER 2012'!D56+'LIHEAP LASER 2012'!E56+'TANF LASER 2012'!D56+'Other Benefits LASER 2012'!D57</f>
        <v>29172207.690299999</v>
      </c>
      <c r="M58" s="1199">
        <f>'Medicaid &amp; FAMIS - LASER 2012'!F56+'SNAP - LASER 2012'!G56+'FC &amp; Adoptions LASER 2012'!E56+'TANF LASER 2012'!E56+'Other Benefits LASER 2012'!E57</f>
        <v>20229287.769699998</v>
      </c>
      <c r="N58" s="1199">
        <f>'FC &amp; Adoptions LASER 2012'!F56+'TANF LASER 2012'!F56</f>
        <v>162323.76999999999</v>
      </c>
      <c r="O58" s="1200">
        <f t="shared" si="10"/>
        <v>49563819.229999997</v>
      </c>
      <c r="Q58" s="951">
        <f t="shared" si="11"/>
        <v>0.55228811645072184</v>
      </c>
      <c r="R58" s="952">
        <f t="shared" si="12"/>
        <v>0.26384306719547806</v>
      </c>
      <c r="S58" s="952">
        <f t="shared" si="13"/>
        <v>0.18386881635380012</v>
      </c>
      <c r="T58" s="953">
        <f t="shared" si="5"/>
        <v>0.81613118364619985</v>
      </c>
      <c r="V58" s="951">
        <f t="shared" si="6"/>
        <v>0.71778362223480086</v>
      </c>
      <c r="W58" s="952">
        <f t="shared" si="7"/>
        <v>6.488957036832263E-2</v>
      </c>
      <c r="X58" s="953">
        <f t="shared" si="8"/>
        <v>0.21732680739687654</v>
      </c>
    </row>
    <row r="59" spans="1:24">
      <c r="A59" s="1147" t="s">
        <v>133</v>
      </c>
      <c r="B59" s="858" t="s">
        <v>134</v>
      </c>
      <c r="C59" s="1148" t="s">
        <v>274</v>
      </c>
      <c r="D59" s="1198">
        <f>'Eligibililty Staff LASER-2012'!D57+'Services Staff LASER 2012'!D57+'Other Exp. LASER 2012'!D57</f>
        <v>3435989.4000000004</v>
      </c>
      <c r="E59" s="1199">
        <f>'Eligibililty Staff LASER-2012'!E57+'Services Staff LASER 2012'!E57+'Other Exp. LASER 2012'!E57</f>
        <v>772852.53</v>
      </c>
      <c r="F59" s="1199">
        <f>'Eligibililty Staff LASER-2012'!F57+'Services Staff LASER 2012'!F57+'Other Exp. LASER 2012'!F57</f>
        <v>6442138.6899999995</v>
      </c>
      <c r="G59" s="1200">
        <f>SUM('Benefits Spending Summary'!D59:F59)</f>
        <v>10650980.620000001</v>
      </c>
      <c r="H59" s="1198">
        <f>'Services for Clients LASER 2012'!D58</f>
        <v>1821697.88</v>
      </c>
      <c r="I59" s="1199">
        <f>'Services for Clients LASER 2012'!E58</f>
        <v>657187.92999999993</v>
      </c>
      <c r="J59" s="1199">
        <f>'Services for Clients LASER 2012'!F58</f>
        <v>1036414.3599999999</v>
      </c>
      <c r="K59" s="1200">
        <f t="shared" si="9"/>
        <v>3515300.1699999995</v>
      </c>
      <c r="L59" s="1198">
        <f>'Medicaid &amp; FAMIS - LASER 2012'!E57+'SNAP - LASER 2012'!E57+'SNAP - LASER 2012'!F57+'FC &amp; Adoptions LASER 2012'!D57+'LIHEAP LASER 2012'!E57+'TANF LASER 2012'!D57+'Other Benefits LASER 2012'!D58</f>
        <v>55073740.981199995</v>
      </c>
      <c r="M59" s="1199">
        <f>'Medicaid &amp; FAMIS - LASER 2012'!F57+'SNAP - LASER 2012'!G57+'FC &amp; Adoptions LASER 2012'!E57+'TANF LASER 2012'!E57+'Other Benefits LASER 2012'!E58</f>
        <v>43133656.298799999</v>
      </c>
      <c r="N59" s="1199">
        <f>'FC &amp; Adoptions LASER 2012'!F57+'TANF LASER 2012'!F57</f>
        <v>2553722.1399999997</v>
      </c>
      <c r="O59" s="1200">
        <f t="shared" si="10"/>
        <v>100761119.42</v>
      </c>
      <c r="Q59" s="951">
        <f t="shared" si="11"/>
        <v>0.32259840878388529</v>
      </c>
      <c r="R59" s="952">
        <f t="shared" si="12"/>
        <v>7.2561631419060829E-2</v>
      </c>
      <c r="S59" s="952">
        <f t="shared" si="13"/>
        <v>0.60483995979705374</v>
      </c>
      <c r="T59" s="953">
        <f t="shared" si="5"/>
        <v>0.39516004020294615</v>
      </c>
      <c r="V59" s="951">
        <f t="shared" si="6"/>
        <v>0.64214134560636993</v>
      </c>
      <c r="W59" s="952">
        <f t="shared" si="7"/>
        <v>0.10330800744312518</v>
      </c>
      <c r="X59" s="953">
        <f t="shared" si="8"/>
        <v>0.254550646950505</v>
      </c>
    </row>
    <row r="60" spans="1:24">
      <c r="A60" s="1147" t="s">
        <v>135</v>
      </c>
      <c r="B60" s="858" t="s">
        <v>136</v>
      </c>
      <c r="C60" s="1148" t="s">
        <v>274</v>
      </c>
      <c r="D60" s="1198">
        <f>'Eligibililty Staff LASER-2012'!D58+'Services Staff LASER 2012'!D58+'Other Exp. LASER 2012'!D58</f>
        <v>1142071.45</v>
      </c>
      <c r="E60" s="1199">
        <f>'Eligibililty Staff LASER-2012'!E58+'Services Staff LASER 2012'!E58+'Other Exp. LASER 2012'!E58</f>
        <v>374384.95</v>
      </c>
      <c r="F60" s="1199">
        <f>'Eligibililty Staff LASER-2012'!F58+'Services Staff LASER 2012'!F58+'Other Exp. LASER 2012'!F58</f>
        <v>1161685.8699999999</v>
      </c>
      <c r="G60" s="1200">
        <f>SUM('Benefits Spending Summary'!D60:F60)</f>
        <v>2678142.2699999996</v>
      </c>
      <c r="H60" s="1198">
        <f>'Services for Clients LASER 2012'!D59</f>
        <v>174814.68000000002</v>
      </c>
      <c r="I60" s="1199">
        <f>'Services for Clients LASER 2012'!E59</f>
        <v>63945.319999999992</v>
      </c>
      <c r="J60" s="1199">
        <f>'Services for Clients LASER 2012'!F59</f>
        <v>24989.680000000004</v>
      </c>
      <c r="K60" s="1200">
        <f t="shared" si="9"/>
        <v>263749.68</v>
      </c>
      <c r="L60" s="1198">
        <f>'Medicaid &amp; FAMIS - LASER 2012'!E58+'SNAP - LASER 2012'!E58+'SNAP - LASER 2012'!F58+'FC &amp; Adoptions LASER 2012'!D58+'LIHEAP LASER 2012'!E58+'TANF LASER 2012'!D58+'Other Benefits LASER 2012'!D59</f>
        <v>21186017.316100001</v>
      </c>
      <c r="M60" s="1199">
        <f>'Medicaid &amp; FAMIS - LASER 2012'!F58+'SNAP - LASER 2012'!G58+'FC &amp; Adoptions LASER 2012'!E58+'TANF LASER 2012'!E58+'Other Benefits LASER 2012'!E59</f>
        <v>15193183.503899999</v>
      </c>
      <c r="N60" s="1199">
        <f>'FC &amp; Adoptions LASER 2012'!F58+'TANF LASER 2012'!F58</f>
        <v>778687.33</v>
      </c>
      <c r="O60" s="1200">
        <f t="shared" si="10"/>
        <v>37157888.149999999</v>
      </c>
      <c r="Q60" s="951">
        <f t="shared" si="11"/>
        <v>0.42644166547582257</v>
      </c>
      <c r="R60" s="952">
        <f t="shared" si="12"/>
        <v>0.13979277882052177</v>
      </c>
      <c r="S60" s="952">
        <f t="shared" si="13"/>
        <v>0.43376555570365577</v>
      </c>
      <c r="T60" s="953">
        <f t="shared" si="5"/>
        <v>0.56623444429634429</v>
      </c>
      <c r="V60" s="951">
        <f t="shared" si="6"/>
        <v>0.59107958220926604</v>
      </c>
      <c r="W60" s="952">
        <f t="shared" si="7"/>
        <v>1.2715046292112734E-2</v>
      </c>
      <c r="X60" s="953">
        <f t="shared" si="8"/>
        <v>0.39620537149862117</v>
      </c>
    </row>
    <row r="61" spans="1:24">
      <c r="A61" s="1147" t="s">
        <v>137</v>
      </c>
      <c r="B61" s="858" t="s">
        <v>138</v>
      </c>
      <c r="C61" s="1148" t="s">
        <v>273</v>
      </c>
      <c r="D61" s="1198">
        <f>'Eligibililty Staff LASER-2012'!D59+'Services Staff LASER 2012'!D59+'Other Exp. LASER 2012'!D59</f>
        <v>371468.47000000003</v>
      </c>
      <c r="E61" s="1199">
        <f>'Eligibililty Staff LASER-2012'!E59+'Services Staff LASER 2012'!E59+'Other Exp. LASER 2012'!E59</f>
        <v>189134.65000000002</v>
      </c>
      <c r="F61" s="1199">
        <f>'Eligibililty Staff LASER-2012'!F59+'Services Staff LASER 2012'!F59+'Other Exp. LASER 2012'!F59</f>
        <v>133905.82999999999</v>
      </c>
      <c r="G61" s="1200">
        <f>SUM('Benefits Spending Summary'!D61:F61)</f>
        <v>694508.95000000007</v>
      </c>
      <c r="H61" s="1198">
        <f>'Services for Clients LASER 2012'!D60</f>
        <v>32766.33</v>
      </c>
      <c r="I61" s="1199">
        <f>'Services for Clients LASER 2012'!E60</f>
        <v>7347.93</v>
      </c>
      <c r="J61" s="1199">
        <f>'Services for Clients LASER 2012'!F60</f>
        <v>6494.1</v>
      </c>
      <c r="K61" s="1200">
        <f t="shared" si="9"/>
        <v>46608.36</v>
      </c>
      <c r="L61" s="1198">
        <f>'Medicaid &amp; FAMIS - LASER 2012'!E59+'SNAP - LASER 2012'!E59+'SNAP - LASER 2012'!F59+'FC &amp; Adoptions LASER 2012'!D59+'LIHEAP LASER 2012'!E59+'TANF LASER 2012'!D59+'Other Benefits LASER 2012'!D60</f>
        <v>11086883.555799998</v>
      </c>
      <c r="M61" s="1199">
        <f>'Medicaid &amp; FAMIS - LASER 2012'!F59+'SNAP - LASER 2012'!G59+'FC &amp; Adoptions LASER 2012'!E59+'TANF LASER 2012'!E59+'Other Benefits LASER 2012'!E60</f>
        <v>8153055.7441999996</v>
      </c>
      <c r="N61" s="1199">
        <f>'FC &amp; Adoptions LASER 2012'!F59+'TANF LASER 2012'!F59</f>
        <v>185931.9</v>
      </c>
      <c r="O61" s="1200">
        <f t="shared" si="10"/>
        <v>19425871.199999996</v>
      </c>
      <c r="Q61" s="951">
        <f t="shared" si="11"/>
        <v>0.53486491426784344</v>
      </c>
      <c r="R61" s="952">
        <f t="shared" si="12"/>
        <v>0.27232859994100866</v>
      </c>
      <c r="S61" s="952">
        <f t="shared" si="13"/>
        <v>0.19280648579114779</v>
      </c>
      <c r="T61" s="953">
        <f t="shared" si="5"/>
        <v>0.80719351420885221</v>
      </c>
      <c r="V61" s="951">
        <f t="shared" si="6"/>
        <v>0.41033640512480812</v>
      </c>
      <c r="W61" s="952">
        <f t="shared" si="7"/>
        <v>1.9900295965612675E-2</v>
      </c>
      <c r="X61" s="953">
        <f t="shared" si="8"/>
        <v>0.56976329890957933</v>
      </c>
    </row>
    <row r="62" spans="1:24">
      <c r="A62" s="1147" t="s">
        <v>141</v>
      </c>
      <c r="B62" s="858" t="s">
        <v>142</v>
      </c>
      <c r="C62" s="1148" t="s">
        <v>274</v>
      </c>
      <c r="D62" s="1198">
        <f>'Eligibililty Staff LASER-2012'!D60+'Services Staff LASER 2012'!D60+'Other Exp. LASER 2012'!D60</f>
        <v>436921.91000000003</v>
      </c>
      <c r="E62" s="1199">
        <f>'Eligibililty Staff LASER-2012'!E60+'Services Staff LASER 2012'!E60+'Other Exp. LASER 2012'!E60</f>
        <v>167284.95000000001</v>
      </c>
      <c r="F62" s="1199">
        <f>'Eligibililty Staff LASER-2012'!F60+'Services Staff LASER 2012'!F60+'Other Exp. LASER 2012'!F60</f>
        <v>326533.48</v>
      </c>
      <c r="G62" s="1200">
        <f>SUM('Benefits Spending Summary'!D62:F62)</f>
        <v>930740.34000000008</v>
      </c>
      <c r="H62" s="1198">
        <f>'Services for Clients LASER 2012'!D61</f>
        <v>86442.669999999984</v>
      </c>
      <c r="I62" s="1199">
        <f>'Services for Clients LASER 2012'!E61</f>
        <v>17973.41</v>
      </c>
      <c r="J62" s="1199">
        <f>'Services for Clients LASER 2012'!F61</f>
        <v>8820.4499999999989</v>
      </c>
      <c r="K62" s="1200">
        <f t="shared" si="9"/>
        <v>113236.52999999998</v>
      </c>
      <c r="L62" s="1198">
        <f>'Medicaid &amp; FAMIS - LASER 2012'!E60+'SNAP - LASER 2012'!E60+'SNAP - LASER 2012'!F60+'FC &amp; Adoptions LASER 2012'!D60+'LIHEAP LASER 2012'!E60+'TANF LASER 2012'!D60+'Other Benefits LASER 2012'!D61</f>
        <v>8227874.6832999997</v>
      </c>
      <c r="M62" s="1199">
        <f>'Medicaid &amp; FAMIS - LASER 2012'!F60+'SNAP - LASER 2012'!G60+'FC &amp; Adoptions LASER 2012'!E60+'TANF LASER 2012'!E60+'Other Benefits LASER 2012'!E61</f>
        <v>7205655.2866999991</v>
      </c>
      <c r="N62" s="1199">
        <f>'FC &amp; Adoptions LASER 2012'!F60+'TANF LASER 2012'!F60</f>
        <v>627299.54</v>
      </c>
      <c r="O62" s="1200">
        <f t="shared" si="10"/>
        <v>16060829.509999998</v>
      </c>
      <c r="Q62" s="951">
        <f t="shared" si="11"/>
        <v>0.4694348049854592</v>
      </c>
      <c r="R62" s="952">
        <f t="shared" si="12"/>
        <v>0.17973321109086127</v>
      </c>
      <c r="S62" s="952">
        <f t="shared" si="13"/>
        <v>0.35083198392367948</v>
      </c>
      <c r="T62" s="953">
        <f t="shared" si="5"/>
        <v>0.64916801607632058</v>
      </c>
      <c r="V62" s="951">
        <f t="shared" si="6"/>
        <v>0.33920147818092838</v>
      </c>
      <c r="W62" s="952">
        <f t="shared" si="7"/>
        <v>9.1626429186402857E-3</v>
      </c>
      <c r="X62" s="953">
        <f t="shared" si="8"/>
        <v>0.6516358789004314</v>
      </c>
    </row>
    <row r="63" spans="1:24">
      <c r="A63" s="1147" t="s">
        <v>147</v>
      </c>
      <c r="B63" s="858" t="s">
        <v>148</v>
      </c>
      <c r="C63" s="1148" t="s">
        <v>271</v>
      </c>
      <c r="D63" s="1198">
        <f>'Eligibililty Staff LASER-2012'!D61+'Services Staff LASER 2012'!D61+'Other Exp. LASER 2012'!D61</f>
        <v>402191.23000000004</v>
      </c>
      <c r="E63" s="1199">
        <f>'Eligibililty Staff LASER-2012'!E61+'Services Staff LASER 2012'!E61+'Other Exp. LASER 2012'!E61</f>
        <v>137085.34</v>
      </c>
      <c r="F63" s="1199">
        <f>'Eligibililty Staff LASER-2012'!F61+'Services Staff LASER 2012'!F61+'Other Exp. LASER 2012'!F61</f>
        <v>295087.58</v>
      </c>
      <c r="G63" s="1200">
        <f>SUM('Benefits Spending Summary'!D63:F63)</f>
        <v>834364.15000000014</v>
      </c>
      <c r="H63" s="1198">
        <f>'Services for Clients LASER 2012'!D62</f>
        <v>71785.73</v>
      </c>
      <c r="I63" s="1199">
        <f>'Services for Clients LASER 2012'!E62</f>
        <v>7950.24</v>
      </c>
      <c r="J63" s="1199">
        <f>'Services for Clients LASER 2012'!F62</f>
        <v>9118.4600000000009</v>
      </c>
      <c r="K63" s="1200">
        <f t="shared" si="9"/>
        <v>88854.430000000008</v>
      </c>
      <c r="L63" s="1198">
        <f>'Medicaid &amp; FAMIS - LASER 2012'!E61+'SNAP - LASER 2012'!E61+'SNAP - LASER 2012'!F61+'FC &amp; Adoptions LASER 2012'!D61+'LIHEAP LASER 2012'!E61+'TANF LASER 2012'!D61+'Other Benefits LASER 2012'!D62</f>
        <v>5816890.3406000007</v>
      </c>
      <c r="M63" s="1199">
        <f>'Medicaid &amp; FAMIS - LASER 2012'!F61+'SNAP - LASER 2012'!G61+'FC &amp; Adoptions LASER 2012'!E61+'TANF LASER 2012'!E61+'Other Benefits LASER 2012'!E62</f>
        <v>4527315.1194000002</v>
      </c>
      <c r="N63" s="1199">
        <f>'FC &amp; Adoptions LASER 2012'!F61+'TANF LASER 2012'!F61</f>
        <v>185442.23</v>
      </c>
      <c r="O63" s="1200">
        <f t="shared" si="10"/>
        <v>10529647.690000001</v>
      </c>
      <c r="Q63" s="951">
        <f t="shared" si="11"/>
        <v>0.48203321055920245</v>
      </c>
      <c r="R63" s="952">
        <f t="shared" si="12"/>
        <v>0.16429917320872425</v>
      </c>
      <c r="S63" s="952">
        <f t="shared" si="13"/>
        <v>0.35366761623207321</v>
      </c>
      <c r="T63" s="953">
        <f t="shared" si="5"/>
        <v>0.64633238376792668</v>
      </c>
      <c r="V63" s="951">
        <f t="shared" si="6"/>
        <v>0.60265214456899852</v>
      </c>
      <c r="W63" s="952">
        <f t="shared" si="7"/>
        <v>1.8622469553502149E-2</v>
      </c>
      <c r="X63" s="953">
        <f t="shared" si="8"/>
        <v>0.37872538587749938</v>
      </c>
    </row>
    <row r="64" spans="1:24">
      <c r="A64" s="1147" t="s">
        <v>149</v>
      </c>
      <c r="B64" s="858" t="s">
        <v>150</v>
      </c>
      <c r="C64" s="1148" t="s">
        <v>272</v>
      </c>
      <c r="D64" s="1198">
        <f>'Eligibililty Staff LASER-2012'!D62+'Services Staff LASER 2012'!D62+'Other Exp. LASER 2012'!D62</f>
        <v>1087741.07</v>
      </c>
      <c r="E64" s="1199">
        <f>'Eligibililty Staff LASER-2012'!E62+'Services Staff LASER 2012'!E62+'Other Exp. LASER 2012'!E62</f>
        <v>434496.28</v>
      </c>
      <c r="F64" s="1199">
        <f>'Eligibililty Staff LASER-2012'!F62+'Services Staff LASER 2012'!F62+'Other Exp. LASER 2012'!F62</f>
        <v>683478.84000000008</v>
      </c>
      <c r="G64" s="1200">
        <f>SUM('Benefits Spending Summary'!D64:F64)</f>
        <v>2205716.1900000004</v>
      </c>
      <c r="H64" s="1198">
        <f>'Services for Clients LASER 2012'!D63</f>
        <v>150358.72</v>
      </c>
      <c r="I64" s="1199">
        <f>'Services for Clients LASER 2012'!E63</f>
        <v>52588.66</v>
      </c>
      <c r="J64" s="1199">
        <f>'Services for Clients LASER 2012'!F63</f>
        <v>30030.91</v>
      </c>
      <c r="K64" s="1200">
        <f t="shared" si="9"/>
        <v>232978.29</v>
      </c>
      <c r="L64" s="1198">
        <f>'Medicaid &amp; FAMIS - LASER 2012'!E62+'SNAP - LASER 2012'!E62+'SNAP - LASER 2012'!F62+'FC &amp; Adoptions LASER 2012'!D62+'LIHEAP LASER 2012'!E62+'TANF LASER 2012'!D62+'Other Benefits LASER 2012'!D63</f>
        <v>27372042.719799995</v>
      </c>
      <c r="M64" s="1199">
        <f>'Medicaid &amp; FAMIS - LASER 2012'!F62+'SNAP - LASER 2012'!G62+'FC &amp; Adoptions LASER 2012'!E62+'TANF LASER 2012'!E62+'Other Benefits LASER 2012'!E63</f>
        <v>19693053.0702</v>
      </c>
      <c r="N64" s="1199">
        <f>'FC &amp; Adoptions LASER 2012'!F62+'TANF LASER 2012'!F62</f>
        <v>209529.96000000002</v>
      </c>
      <c r="O64" s="1200">
        <f t="shared" si="10"/>
        <v>47274625.749999993</v>
      </c>
      <c r="Q64" s="951">
        <f t="shared" si="11"/>
        <v>0.49314643240660977</v>
      </c>
      <c r="R64" s="952">
        <f t="shared" si="12"/>
        <v>0.19698648537371435</v>
      </c>
      <c r="S64" s="952">
        <f t="shared" si="13"/>
        <v>0.30986708221967574</v>
      </c>
      <c r="T64" s="953">
        <f t="shared" si="5"/>
        <v>0.69013291778032415</v>
      </c>
      <c r="V64" s="951">
        <f t="shared" si="6"/>
        <v>0.74046526123995249</v>
      </c>
      <c r="W64" s="952">
        <f t="shared" si="7"/>
        <v>3.2534797446580055E-2</v>
      </c>
      <c r="X64" s="953">
        <f t="shared" si="8"/>
        <v>0.2269999413134674</v>
      </c>
    </row>
    <row r="65" spans="1:24">
      <c r="A65" s="1147" t="s">
        <v>151</v>
      </c>
      <c r="B65" s="858" t="s">
        <v>152</v>
      </c>
      <c r="C65" s="1148" t="s">
        <v>273</v>
      </c>
      <c r="D65" s="1198">
        <f>'Eligibililty Staff LASER-2012'!D63+'Services Staff LASER 2012'!D63+'Other Exp. LASER 2012'!D63</f>
        <v>334109.03000000003</v>
      </c>
      <c r="E65" s="1199">
        <f>'Eligibililty Staff LASER-2012'!E63+'Services Staff LASER 2012'!E63+'Other Exp. LASER 2012'!E63</f>
        <v>153740.93</v>
      </c>
      <c r="F65" s="1199">
        <f>'Eligibililty Staff LASER-2012'!F63+'Services Staff LASER 2012'!F63+'Other Exp. LASER 2012'!F63</f>
        <v>137914.23999999999</v>
      </c>
      <c r="G65" s="1200">
        <f>SUM('Benefits Spending Summary'!D65:F65)</f>
        <v>625764.19999999995</v>
      </c>
      <c r="H65" s="1198">
        <f>'Services for Clients LASER 2012'!D64</f>
        <v>94578.619999999981</v>
      </c>
      <c r="I65" s="1199">
        <f>'Services for Clients LASER 2012'!E64</f>
        <v>27899.39</v>
      </c>
      <c r="J65" s="1199">
        <f>'Services for Clients LASER 2012'!F64</f>
        <v>15852.689999999997</v>
      </c>
      <c r="K65" s="1200">
        <f t="shared" si="9"/>
        <v>138330.69999999998</v>
      </c>
      <c r="L65" s="1198">
        <f>'Medicaid &amp; FAMIS - LASER 2012'!E63+'SNAP - LASER 2012'!E63+'SNAP - LASER 2012'!F63+'FC &amp; Adoptions LASER 2012'!D63+'LIHEAP LASER 2012'!E63+'TANF LASER 2012'!D63+'Other Benefits LASER 2012'!D64</f>
        <v>8513977.3484000005</v>
      </c>
      <c r="M65" s="1199">
        <f>'Medicaid &amp; FAMIS - LASER 2012'!F63+'SNAP - LASER 2012'!G63+'FC &amp; Adoptions LASER 2012'!E63+'TANF LASER 2012'!E63+'Other Benefits LASER 2012'!E64</f>
        <v>6176273.6516000004</v>
      </c>
      <c r="N65" s="1199">
        <f>'FC &amp; Adoptions LASER 2012'!F63+'TANF LASER 2012'!F63</f>
        <v>143417.15000000002</v>
      </c>
      <c r="O65" s="1200">
        <f t="shared" si="10"/>
        <v>14833668.15</v>
      </c>
      <c r="Q65" s="951">
        <f t="shared" si="11"/>
        <v>0.53392161136734895</v>
      </c>
      <c r="R65" s="952">
        <f t="shared" si="12"/>
        <v>0.24568508393417202</v>
      </c>
      <c r="S65" s="952">
        <f t="shared" si="13"/>
        <v>0.22039330469847906</v>
      </c>
      <c r="T65" s="953">
        <f t="shared" si="5"/>
        <v>0.77960669530152105</v>
      </c>
      <c r="V65" s="951">
        <f t="shared" si="6"/>
        <v>0.46407008073918354</v>
      </c>
      <c r="W65" s="952">
        <f t="shared" si="7"/>
        <v>5.334299872321558E-2</v>
      </c>
      <c r="X65" s="953">
        <f t="shared" si="8"/>
        <v>0.48258692053760083</v>
      </c>
    </row>
    <row r="66" spans="1:24">
      <c r="A66" s="1147" t="s">
        <v>153</v>
      </c>
      <c r="B66" s="858" t="s">
        <v>154</v>
      </c>
      <c r="C66" s="1148" t="s">
        <v>275</v>
      </c>
      <c r="D66" s="1198">
        <f>'Eligibililty Staff LASER-2012'!D64+'Services Staff LASER 2012'!D64+'Other Exp. LASER 2012'!D64</f>
        <v>2061704.0599999998</v>
      </c>
      <c r="E66" s="1199">
        <f>'Eligibililty Staff LASER-2012'!E64+'Services Staff LASER 2012'!E64+'Other Exp. LASER 2012'!E64</f>
        <v>849870.08000000007</v>
      </c>
      <c r="F66" s="1199">
        <f>'Eligibililty Staff LASER-2012'!F64+'Services Staff LASER 2012'!F64+'Other Exp. LASER 2012'!F64</f>
        <v>908570.10000000009</v>
      </c>
      <c r="G66" s="1200">
        <f>SUM('Benefits Spending Summary'!D66:F66)</f>
        <v>3820144.2399999998</v>
      </c>
      <c r="H66" s="1198">
        <f>'Services for Clients LASER 2012'!D65</f>
        <v>392875.04</v>
      </c>
      <c r="I66" s="1199">
        <f>'Services for Clients LASER 2012'!E65</f>
        <v>118247.2</v>
      </c>
      <c r="J66" s="1199">
        <f>'Services for Clients LASER 2012'!F65</f>
        <v>56480.36</v>
      </c>
      <c r="K66" s="1200">
        <f t="shared" si="9"/>
        <v>567602.6</v>
      </c>
      <c r="L66" s="1198">
        <f>'Medicaid &amp; FAMIS - LASER 2012'!E64+'SNAP - LASER 2012'!E64+'SNAP - LASER 2012'!F64+'FC &amp; Adoptions LASER 2012'!D64+'LIHEAP LASER 2012'!E64+'TANF LASER 2012'!D64+'Other Benefits LASER 2012'!D65</f>
        <v>40083719.812400006</v>
      </c>
      <c r="M66" s="1199">
        <f>'Medicaid &amp; FAMIS - LASER 2012'!F64+'SNAP - LASER 2012'!G64+'FC &amp; Adoptions LASER 2012'!E64+'TANF LASER 2012'!E64+'Other Benefits LASER 2012'!E65</f>
        <v>28417934.947599996</v>
      </c>
      <c r="N66" s="1199">
        <f>'FC &amp; Adoptions LASER 2012'!F64+'TANF LASER 2012'!F64</f>
        <v>539666.73</v>
      </c>
      <c r="O66" s="1200">
        <f t="shared" si="10"/>
        <v>69041321.49000001</v>
      </c>
      <c r="Q66" s="951">
        <f t="shared" si="11"/>
        <v>0.53969272636679289</v>
      </c>
      <c r="R66" s="952">
        <f t="shared" si="12"/>
        <v>0.22247067822758446</v>
      </c>
      <c r="S66" s="952">
        <f t="shared" si="13"/>
        <v>0.23783659540562274</v>
      </c>
      <c r="T66" s="953">
        <f t="shared" si="5"/>
        <v>0.76216340459437726</v>
      </c>
      <c r="V66" s="951">
        <f t="shared" si="6"/>
        <v>0.60381452809746938</v>
      </c>
      <c r="W66" s="952">
        <f t="shared" si="7"/>
        <v>3.7535531843030254E-2</v>
      </c>
      <c r="X66" s="953">
        <f t="shared" si="8"/>
        <v>0.35864994005950046</v>
      </c>
    </row>
    <row r="67" spans="1:24">
      <c r="A67" s="1147" t="s">
        <v>155</v>
      </c>
      <c r="B67" s="858" t="s">
        <v>156</v>
      </c>
      <c r="C67" s="1148" t="s">
        <v>272</v>
      </c>
      <c r="D67" s="1198">
        <f>'Eligibililty Staff LASER-2012'!D65+'Services Staff LASER 2012'!D65+'Other Exp. LASER 2012'!D65</f>
        <v>442322.65</v>
      </c>
      <c r="E67" s="1199">
        <f>'Eligibililty Staff LASER-2012'!E65+'Services Staff LASER 2012'!E65+'Other Exp. LASER 2012'!E65</f>
        <v>197653.89</v>
      </c>
      <c r="F67" s="1199">
        <f>'Eligibililty Staff LASER-2012'!F65+'Services Staff LASER 2012'!F65+'Other Exp. LASER 2012'!F65</f>
        <v>230573.85</v>
      </c>
      <c r="G67" s="1200">
        <f>SUM('Benefits Spending Summary'!D67:F67)</f>
        <v>870550.39</v>
      </c>
      <c r="H67" s="1198">
        <f>'Services for Clients LASER 2012'!D66</f>
        <v>45801.8</v>
      </c>
      <c r="I67" s="1199">
        <f>'Services for Clients LASER 2012'!E66</f>
        <v>7290.3700000000008</v>
      </c>
      <c r="J67" s="1199">
        <f>'Services for Clients LASER 2012'!F66</f>
        <v>8251.75</v>
      </c>
      <c r="K67" s="1200">
        <f t="shared" si="9"/>
        <v>61343.920000000006</v>
      </c>
      <c r="L67" s="1198">
        <f>'Medicaid &amp; FAMIS - LASER 2012'!E65+'SNAP - LASER 2012'!E65+'SNAP - LASER 2012'!F65+'FC &amp; Adoptions LASER 2012'!D65+'LIHEAP LASER 2012'!E65+'TANF LASER 2012'!D65+'Other Benefits LASER 2012'!D66</f>
        <v>11046891.2564</v>
      </c>
      <c r="M67" s="1199">
        <f>'Medicaid &amp; FAMIS - LASER 2012'!F65+'SNAP - LASER 2012'!G65+'FC &amp; Adoptions LASER 2012'!E65+'TANF LASER 2012'!E65+'Other Benefits LASER 2012'!E66</f>
        <v>7713732.7935999995</v>
      </c>
      <c r="N67" s="1199">
        <f>'FC &amp; Adoptions LASER 2012'!F65+'TANF LASER 2012'!F65</f>
        <v>198322.81</v>
      </c>
      <c r="O67" s="1200">
        <f t="shared" si="10"/>
        <v>18958946.859999999</v>
      </c>
      <c r="Q67" s="951">
        <f t="shared" si="11"/>
        <v>0.50809540157692656</v>
      </c>
      <c r="R67" s="952">
        <f t="shared" si="12"/>
        <v>0.2270447434984206</v>
      </c>
      <c r="S67" s="952">
        <f t="shared" si="13"/>
        <v>0.26485985492465292</v>
      </c>
      <c r="T67" s="953">
        <f t="shared" si="5"/>
        <v>0.73514014507534708</v>
      </c>
      <c r="V67" s="951">
        <f t="shared" si="6"/>
        <v>0.5274498196161802</v>
      </c>
      <c r="W67" s="952">
        <f t="shared" si="7"/>
        <v>1.8876312509062996E-2</v>
      </c>
      <c r="X67" s="953">
        <f t="shared" si="8"/>
        <v>0.45367386787475672</v>
      </c>
    </row>
    <row r="68" spans="1:24">
      <c r="A68" s="1147" t="s">
        <v>157</v>
      </c>
      <c r="B68" s="858" t="s">
        <v>158</v>
      </c>
      <c r="C68" s="1148" t="s">
        <v>273</v>
      </c>
      <c r="D68" s="1198">
        <f>'Eligibililty Staff LASER-2012'!D66+'Services Staff LASER 2012'!D66+'Other Exp. LASER 2012'!D66</f>
        <v>505360.43000000005</v>
      </c>
      <c r="E68" s="1199">
        <f>'Eligibililty Staff LASER-2012'!E66+'Services Staff LASER 2012'!E66+'Other Exp. LASER 2012'!E66</f>
        <v>153726.35</v>
      </c>
      <c r="F68" s="1199">
        <f>'Eligibililty Staff LASER-2012'!F66+'Services Staff LASER 2012'!F66+'Other Exp. LASER 2012'!F66</f>
        <v>403888.97000000003</v>
      </c>
      <c r="G68" s="1200">
        <f>SUM('Benefits Spending Summary'!D68:F68)</f>
        <v>1062975.75</v>
      </c>
      <c r="H68" s="1198">
        <f>'Services for Clients LASER 2012'!D67</f>
        <v>72201.849999999991</v>
      </c>
      <c r="I68" s="1199">
        <f>'Services for Clients LASER 2012'!E67</f>
        <v>36049.550000000003</v>
      </c>
      <c r="J68" s="1199">
        <f>'Services for Clients LASER 2012'!F67</f>
        <v>9744.7899999999991</v>
      </c>
      <c r="K68" s="1200">
        <f t="shared" si="9"/>
        <v>117996.18999999999</v>
      </c>
      <c r="L68" s="1198">
        <f>'Medicaid &amp; FAMIS - LASER 2012'!E66+'SNAP - LASER 2012'!E66+'SNAP - LASER 2012'!F66+'FC &amp; Adoptions LASER 2012'!D66+'LIHEAP LASER 2012'!E66+'TANF LASER 2012'!D66+'Other Benefits LASER 2012'!D67</f>
        <v>5859832.1177000003</v>
      </c>
      <c r="M68" s="1199">
        <f>'Medicaid &amp; FAMIS - LASER 2012'!F66+'SNAP - LASER 2012'!G66+'FC &amp; Adoptions LASER 2012'!E66+'TANF LASER 2012'!E66+'Other Benefits LASER 2012'!E67</f>
        <v>4172696.7322999998</v>
      </c>
      <c r="N68" s="1199">
        <f>'FC &amp; Adoptions LASER 2012'!F66+'TANF LASER 2012'!F66</f>
        <v>283407.59999999998</v>
      </c>
      <c r="O68" s="1200">
        <f t="shared" si="10"/>
        <v>10315936.449999999</v>
      </c>
      <c r="Q68" s="951">
        <f t="shared" si="11"/>
        <v>0.47542046937571253</v>
      </c>
      <c r="R68" s="952">
        <f t="shared" si="12"/>
        <v>0.14461886830438042</v>
      </c>
      <c r="S68" s="952">
        <f t="shared" si="13"/>
        <v>0.37996066231990716</v>
      </c>
      <c r="T68" s="953">
        <f t="shared" si="5"/>
        <v>0.62003933768009289</v>
      </c>
      <c r="V68" s="951">
        <f t="shared" si="6"/>
        <v>0.57943329216504458</v>
      </c>
      <c r="W68" s="952">
        <f t="shared" si="7"/>
        <v>1.3980217759244587E-2</v>
      </c>
      <c r="X68" s="953">
        <f t="shared" si="8"/>
        <v>0.40658649007571085</v>
      </c>
    </row>
    <row r="69" spans="1:24">
      <c r="A69" s="1147" t="s">
        <v>163</v>
      </c>
      <c r="B69" s="858" t="s">
        <v>164</v>
      </c>
      <c r="C69" s="1148" t="s">
        <v>271</v>
      </c>
      <c r="D69" s="1198">
        <f>'Eligibililty Staff LASER-2012'!D67+'Services Staff LASER 2012'!D67+'Other Exp. LASER 2012'!D67</f>
        <v>1089715.57</v>
      </c>
      <c r="E69" s="1199">
        <f>'Eligibililty Staff LASER-2012'!E67+'Services Staff LASER 2012'!E67+'Other Exp. LASER 2012'!E67</f>
        <v>507823.70999999996</v>
      </c>
      <c r="F69" s="1199">
        <f>'Eligibililty Staff LASER-2012'!F67+'Services Staff LASER 2012'!F67+'Other Exp. LASER 2012'!F67</f>
        <v>480010.65</v>
      </c>
      <c r="G69" s="1200">
        <f>SUM('Benefits Spending Summary'!D69:F69)</f>
        <v>2077549.9300000002</v>
      </c>
      <c r="H69" s="1198">
        <f>'Services for Clients LASER 2012'!D68</f>
        <v>226401.52999999997</v>
      </c>
      <c r="I69" s="1199">
        <f>'Services for Clients LASER 2012'!E68</f>
        <v>40982.640000000007</v>
      </c>
      <c r="J69" s="1199">
        <f>'Services for Clients LASER 2012'!F68</f>
        <v>20725.070000000003</v>
      </c>
      <c r="K69" s="1200">
        <f t="shared" si="9"/>
        <v>288109.24</v>
      </c>
      <c r="L69" s="1198">
        <f>'Medicaid &amp; FAMIS - LASER 2012'!E67+'SNAP - LASER 2012'!E67+'SNAP - LASER 2012'!F67+'FC &amp; Adoptions LASER 2012'!D67+'LIHEAP LASER 2012'!E67+'TANF LASER 2012'!D67+'Other Benefits LASER 2012'!D68</f>
        <v>14995220.985799998</v>
      </c>
      <c r="M69" s="1199">
        <f>'Medicaid &amp; FAMIS - LASER 2012'!F67+'SNAP - LASER 2012'!G67+'FC &amp; Adoptions LASER 2012'!E67+'TANF LASER 2012'!E67+'Other Benefits LASER 2012'!E68</f>
        <v>10586875.4242</v>
      </c>
      <c r="N69" s="1199">
        <f>'FC &amp; Adoptions LASER 2012'!F67+'TANF LASER 2012'!F67</f>
        <v>106414.8</v>
      </c>
      <c r="O69" s="1200">
        <f t="shared" si="10"/>
        <v>25688511.209999997</v>
      </c>
      <c r="Q69" s="951">
        <f t="shared" si="11"/>
        <v>0.52451955751552015</v>
      </c>
      <c r="R69" s="952">
        <f t="shared" si="12"/>
        <v>0.24443393762382401</v>
      </c>
      <c r="S69" s="952">
        <f t="shared" si="13"/>
        <v>0.23104650486065573</v>
      </c>
      <c r="T69" s="953">
        <f t="shared" si="5"/>
        <v>0.76895349513934419</v>
      </c>
      <c r="V69" s="951">
        <f t="shared" si="6"/>
        <v>0.79059579822150194</v>
      </c>
      <c r="W69" s="952">
        <f t="shared" si="7"/>
        <v>3.4134978588176129E-2</v>
      </c>
      <c r="X69" s="953">
        <f t="shared" si="8"/>
        <v>0.1752692231903219</v>
      </c>
    </row>
    <row r="70" spans="1:24">
      <c r="A70" s="1147" t="s">
        <v>165</v>
      </c>
      <c r="B70" s="858" t="s">
        <v>166</v>
      </c>
      <c r="C70" s="1148" t="s">
        <v>273</v>
      </c>
      <c r="D70" s="1198">
        <f>'Eligibililty Staff LASER-2012'!D68+'Services Staff LASER 2012'!D68+'Other Exp. LASER 2012'!D68</f>
        <v>484094.99</v>
      </c>
      <c r="E70" s="1199">
        <f>'Eligibililty Staff LASER-2012'!E68+'Services Staff LASER 2012'!E68+'Other Exp. LASER 2012'!E68</f>
        <v>194152.21</v>
      </c>
      <c r="F70" s="1199">
        <f>'Eligibililty Staff LASER-2012'!F68+'Services Staff LASER 2012'!F68+'Other Exp. LASER 2012'!F68</f>
        <v>438715.77999999991</v>
      </c>
      <c r="G70" s="1200">
        <f>SUM('Benefits Spending Summary'!D70:F70)</f>
        <v>1116962.98</v>
      </c>
      <c r="H70" s="1198">
        <f>'Services for Clients LASER 2012'!D69</f>
        <v>79933.45</v>
      </c>
      <c r="I70" s="1199">
        <f>'Services for Clients LASER 2012'!E69</f>
        <v>9373.01</v>
      </c>
      <c r="J70" s="1199">
        <f>'Services for Clients LASER 2012'!F69</f>
        <v>7977.12</v>
      </c>
      <c r="K70" s="1200">
        <f t="shared" ref="K70:K101" si="14">SUM(H70:J70)</f>
        <v>97283.579999999987</v>
      </c>
      <c r="L70" s="1198">
        <f>'Medicaid &amp; FAMIS - LASER 2012'!E68+'SNAP - LASER 2012'!E68+'SNAP - LASER 2012'!F68+'FC &amp; Adoptions LASER 2012'!D68+'LIHEAP LASER 2012'!E68+'TANF LASER 2012'!D68+'Other Benefits LASER 2012'!D69</f>
        <v>7658675.9234999986</v>
      </c>
      <c r="M70" s="1199">
        <f>'Medicaid &amp; FAMIS - LASER 2012'!F68+'SNAP - LASER 2012'!G68+'FC &amp; Adoptions LASER 2012'!E68+'TANF LASER 2012'!E68+'Other Benefits LASER 2012'!E69</f>
        <v>5117174.2864999995</v>
      </c>
      <c r="N70" s="1199">
        <f>'FC &amp; Adoptions LASER 2012'!F68+'TANF LASER 2012'!F68</f>
        <v>50144.33</v>
      </c>
      <c r="O70" s="1200">
        <f t="shared" ref="O70:O101" si="15">SUM(L70:N70)</f>
        <v>12825994.539999997</v>
      </c>
      <c r="Q70" s="951">
        <f t="shared" ref="Q70:Q101" si="16">D70/G70</f>
        <v>0.43340289577009972</v>
      </c>
      <c r="R70" s="952">
        <f t="shared" ref="R70:R101" si="17">E70/G70</f>
        <v>0.17382152629624303</v>
      </c>
      <c r="S70" s="952">
        <f t="shared" ref="S70:S101" si="18">F70/G70</f>
        <v>0.39277557793365714</v>
      </c>
      <c r="T70" s="953">
        <f t="shared" si="5"/>
        <v>0.60722442206634275</v>
      </c>
      <c r="V70" s="951">
        <f t="shared" si="6"/>
        <v>0.8830171201139656</v>
      </c>
      <c r="W70" s="952">
        <f t="shared" si="7"/>
        <v>1.6055801615349963E-2</v>
      </c>
      <c r="X70" s="953">
        <f t="shared" si="8"/>
        <v>0.10092707827068437</v>
      </c>
    </row>
    <row r="71" spans="1:24">
      <c r="A71" s="1147" t="s">
        <v>169</v>
      </c>
      <c r="B71" s="858" t="s">
        <v>170</v>
      </c>
      <c r="C71" s="1148" t="s">
        <v>273</v>
      </c>
      <c r="D71" s="1198">
        <f>'Eligibililty Staff LASER-2012'!D69+'Services Staff LASER 2012'!D69+'Other Exp. LASER 2012'!D69</f>
        <v>581858.87</v>
      </c>
      <c r="E71" s="1199">
        <f>'Eligibililty Staff LASER-2012'!E69+'Services Staff LASER 2012'!E69+'Other Exp. LASER 2012'!E69</f>
        <v>248999.38</v>
      </c>
      <c r="F71" s="1199">
        <f>'Eligibililty Staff LASER-2012'!F69+'Services Staff LASER 2012'!F69+'Other Exp. LASER 2012'!F69</f>
        <v>330115.49000000005</v>
      </c>
      <c r="G71" s="1200">
        <f>SUM('Benefits Spending Summary'!D71:F71)</f>
        <v>1160973.74</v>
      </c>
      <c r="H71" s="1198">
        <f>'Services for Clients LASER 2012'!D70</f>
        <v>223891.9</v>
      </c>
      <c r="I71" s="1199">
        <f>'Services for Clients LASER 2012'!E70</f>
        <v>89185.069999999992</v>
      </c>
      <c r="J71" s="1199">
        <f>'Services for Clients LASER 2012'!F70</f>
        <v>42750.400000000001</v>
      </c>
      <c r="K71" s="1200">
        <f t="shared" si="14"/>
        <v>355827.37</v>
      </c>
      <c r="L71" s="1198">
        <f>'Medicaid &amp; FAMIS - LASER 2012'!E69+'SNAP - LASER 2012'!E69+'SNAP - LASER 2012'!F69+'FC &amp; Adoptions LASER 2012'!D69+'LIHEAP LASER 2012'!E69+'TANF LASER 2012'!D69+'Other Benefits LASER 2012'!D70</f>
        <v>15515819.798099998</v>
      </c>
      <c r="M71" s="1199">
        <f>'Medicaid &amp; FAMIS - LASER 2012'!F69+'SNAP - LASER 2012'!G69+'FC &amp; Adoptions LASER 2012'!E69+'TANF LASER 2012'!E69+'Other Benefits LASER 2012'!E70</f>
        <v>9937241.0819000006</v>
      </c>
      <c r="N71" s="1199">
        <f>'FC &amp; Adoptions LASER 2012'!F69+'TANF LASER 2012'!F69</f>
        <v>203526.30000000002</v>
      </c>
      <c r="O71" s="1200">
        <f t="shared" si="15"/>
        <v>25656587.18</v>
      </c>
      <c r="Q71" s="951">
        <f t="shared" si="16"/>
        <v>0.50118176660912239</v>
      </c>
      <c r="R71" s="952">
        <f t="shared" si="17"/>
        <v>0.2144746012945995</v>
      </c>
      <c r="S71" s="952">
        <f t="shared" si="18"/>
        <v>0.28434363209627811</v>
      </c>
      <c r="T71" s="953">
        <f t="shared" ref="T71:T126" si="19">(D71+E71)/G71</f>
        <v>0.71565636790372189</v>
      </c>
      <c r="V71" s="951">
        <f t="shared" ref="V71:V126" si="20">F71/(F71+J71+N71)</f>
        <v>0.57272720853486936</v>
      </c>
      <c r="W71" s="952">
        <f t="shared" ref="W71:W126" si="21">J71/(F71+J71+N71)</f>
        <v>7.4168943892178693E-2</v>
      </c>
      <c r="X71" s="953">
        <f t="shared" ref="X71:X126" si="22">N71/(F71+J71+N71)</f>
        <v>0.35310384757295199</v>
      </c>
    </row>
    <row r="72" spans="1:24">
      <c r="A72" s="1147" t="s">
        <v>171</v>
      </c>
      <c r="B72" s="858" t="s">
        <v>172</v>
      </c>
      <c r="C72" s="1148" t="s">
        <v>274</v>
      </c>
      <c r="D72" s="1198">
        <f>'Eligibililty Staff LASER-2012'!D70+'Services Staff LASER 2012'!D70+'Other Exp. LASER 2012'!D70</f>
        <v>672525.98</v>
      </c>
      <c r="E72" s="1199">
        <f>'Eligibililty Staff LASER-2012'!E70+'Services Staff LASER 2012'!E70+'Other Exp. LASER 2012'!E70</f>
        <v>281881.43</v>
      </c>
      <c r="F72" s="1199">
        <f>'Eligibililty Staff LASER-2012'!F70+'Services Staff LASER 2012'!F70+'Other Exp. LASER 2012'!F70</f>
        <v>690865.34</v>
      </c>
      <c r="G72" s="1200">
        <f>SUM('Benefits Spending Summary'!D72:F72)</f>
        <v>1645272.75</v>
      </c>
      <c r="H72" s="1198">
        <f>'Services for Clients LASER 2012'!D71</f>
        <v>215097.74999999997</v>
      </c>
      <c r="I72" s="1199">
        <f>'Services for Clients LASER 2012'!E71</f>
        <v>55159.4</v>
      </c>
      <c r="J72" s="1199">
        <f>'Services for Clients LASER 2012'!F71</f>
        <v>20814.219999999998</v>
      </c>
      <c r="K72" s="1200">
        <f t="shared" si="14"/>
        <v>291071.36999999994</v>
      </c>
      <c r="L72" s="1198">
        <f>'Medicaid &amp; FAMIS - LASER 2012'!E70+'SNAP - LASER 2012'!E70+'SNAP - LASER 2012'!F70+'FC &amp; Adoptions LASER 2012'!D70+'LIHEAP LASER 2012'!E70+'TANF LASER 2012'!D70+'Other Benefits LASER 2012'!D71</f>
        <v>18329160.107299998</v>
      </c>
      <c r="M72" s="1199">
        <f>'Medicaid &amp; FAMIS - LASER 2012'!F70+'SNAP - LASER 2012'!G70+'FC &amp; Adoptions LASER 2012'!E70+'TANF LASER 2012'!E70+'Other Benefits LASER 2012'!E71</f>
        <v>13980790.9027</v>
      </c>
      <c r="N72" s="1199">
        <f>'FC &amp; Adoptions LASER 2012'!F70+'TANF LASER 2012'!F70</f>
        <v>794356.02</v>
      </c>
      <c r="O72" s="1200">
        <f t="shared" si="15"/>
        <v>33104307.029999997</v>
      </c>
      <c r="Q72" s="951">
        <f t="shared" si="16"/>
        <v>0.40876260790194208</v>
      </c>
      <c r="R72" s="952">
        <f t="shared" si="17"/>
        <v>0.17132808526732118</v>
      </c>
      <c r="S72" s="952">
        <f t="shared" si="18"/>
        <v>0.41990930683073668</v>
      </c>
      <c r="T72" s="953">
        <f t="shared" si="19"/>
        <v>0.58009069316926321</v>
      </c>
      <c r="V72" s="951">
        <f t="shared" si="20"/>
        <v>0.45873108788040712</v>
      </c>
      <c r="W72" s="952">
        <f t="shared" si="21"/>
        <v>1.382053669674922E-2</v>
      </c>
      <c r="X72" s="953">
        <f t="shared" si="22"/>
        <v>0.52744837542284362</v>
      </c>
    </row>
    <row r="73" spans="1:24">
      <c r="A73" s="1147" t="s">
        <v>173</v>
      </c>
      <c r="B73" s="858" t="s">
        <v>174</v>
      </c>
      <c r="C73" s="1148" t="s">
        <v>274</v>
      </c>
      <c r="D73" s="1198">
        <f>'Eligibililty Staff LASER-2012'!D71+'Services Staff LASER 2012'!D71+'Other Exp. LASER 2012'!D71</f>
        <v>750567.21</v>
      </c>
      <c r="E73" s="1199">
        <f>'Eligibililty Staff LASER-2012'!E71+'Services Staff LASER 2012'!E71+'Other Exp. LASER 2012'!E71</f>
        <v>323852.64</v>
      </c>
      <c r="F73" s="1199">
        <f>'Eligibililty Staff LASER-2012'!F71+'Services Staff LASER 2012'!F71+'Other Exp. LASER 2012'!F71</f>
        <v>355202.83999999997</v>
      </c>
      <c r="G73" s="1200">
        <f>SUM('Benefits Spending Summary'!D73:F73)</f>
        <v>1429622.69</v>
      </c>
      <c r="H73" s="1198">
        <f>'Services for Clients LASER 2012'!D72</f>
        <v>142231.05000000002</v>
      </c>
      <c r="I73" s="1199">
        <f>'Services for Clients LASER 2012'!E72</f>
        <v>23875.11</v>
      </c>
      <c r="J73" s="1199">
        <f>'Services for Clients LASER 2012'!F72</f>
        <v>13846.61</v>
      </c>
      <c r="K73" s="1200">
        <f t="shared" si="14"/>
        <v>179952.77000000002</v>
      </c>
      <c r="L73" s="1198">
        <f>'Medicaid &amp; FAMIS - LASER 2012'!E71+'SNAP - LASER 2012'!E71+'SNAP - LASER 2012'!F71+'FC &amp; Adoptions LASER 2012'!D71+'LIHEAP LASER 2012'!E71+'TANF LASER 2012'!D71+'Other Benefits LASER 2012'!D72</f>
        <v>16294917.6844</v>
      </c>
      <c r="M73" s="1199">
        <f>'Medicaid &amp; FAMIS - LASER 2012'!F71+'SNAP - LASER 2012'!G71+'FC &amp; Adoptions LASER 2012'!E71+'TANF LASER 2012'!E71+'Other Benefits LASER 2012'!E72</f>
        <v>10714100.595600002</v>
      </c>
      <c r="N73" s="1199">
        <f>'FC &amp; Adoptions LASER 2012'!F71+'TANF LASER 2012'!F71</f>
        <v>254806.11</v>
      </c>
      <c r="O73" s="1200">
        <f t="shared" si="15"/>
        <v>27263824.390000001</v>
      </c>
      <c r="Q73" s="951">
        <f t="shared" si="16"/>
        <v>0.52501070055064669</v>
      </c>
      <c r="R73" s="952">
        <f t="shared" si="17"/>
        <v>0.22653014831486762</v>
      </c>
      <c r="S73" s="952">
        <f t="shared" si="18"/>
        <v>0.24845915113448569</v>
      </c>
      <c r="T73" s="953">
        <f t="shared" si="19"/>
        <v>0.75154084886551442</v>
      </c>
      <c r="V73" s="951">
        <f t="shared" si="20"/>
        <v>0.56936711440064747</v>
      </c>
      <c r="W73" s="952">
        <f t="shared" si="21"/>
        <v>2.2195217752006575E-2</v>
      </c>
      <c r="X73" s="953">
        <f t="shared" si="22"/>
        <v>0.40843766784734598</v>
      </c>
    </row>
    <row r="74" spans="1:24">
      <c r="A74" s="1147" t="s">
        <v>175</v>
      </c>
      <c r="B74" s="858" t="s">
        <v>176</v>
      </c>
      <c r="C74" s="1148" t="s">
        <v>275</v>
      </c>
      <c r="D74" s="1198">
        <f>'Eligibililty Staff LASER-2012'!D72+'Services Staff LASER 2012'!D72+'Other Exp. LASER 2012'!D72</f>
        <v>622070.11</v>
      </c>
      <c r="E74" s="1199">
        <f>'Eligibililty Staff LASER-2012'!E72+'Services Staff LASER 2012'!E72+'Other Exp. LASER 2012'!E72</f>
        <v>290076.09999999998</v>
      </c>
      <c r="F74" s="1199">
        <f>'Eligibililty Staff LASER-2012'!F72+'Services Staff LASER 2012'!F72+'Other Exp. LASER 2012'!F72</f>
        <v>217416.59</v>
      </c>
      <c r="G74" s="1200">
        <f>SUM('Benefits Spending Summary'!D74:F74)</f>
        <v>1129562.8</v>
      </c>
      <c r="H74" s="1198">
        <f>'Services for Clients LASER 2012'!D73</f>
        <v>136689.38</v>
      </c>
      <c r="I74" s="1199">
        <f>'Services for Clients LASER 2012'!E73</f>
        <v>30618.76</v>
      </c>
      <c r="J74" s="1199">
        <f>'Services for Clients LASER 2012'!F73</f>
        <v>20312.79</v>
      </c>
      <c r="K74" s="1200">
        <f t="shared" si="14"/>
        <v>187620.93000000002</v>
      </c>
      <c r="L74" s="1198">
        <f>'Medicaid &amp; FAMIS - LASER 2012'!E72+'SNAP - LASER 2012'!E72+'SNAP - LASER 2012'!F72+'FC &amp; Adoptions LASER 2012'!D72+'LIHEAP LASER 2012'!E72+'TANF LASER 2012'!D72+'Other Benefits LASER 2012'!D73</f>
        <v>16269273.235300001</v>
      </c>
      <c r="M74" s="1199">
        <f>'Medicaid &amp; FAMIS - LASER 2012'!F72+'SNAP - LASER 2012'!G72+'FC &amp; Adoptions LASER 2012'!E72+'TANF LASER 2012'!E72+'Other Benefits LASER 2012'!E73</f>
        <v>10596398.304700002</v>
      </c>
      <c r="N74" s="1199">
        <f>'FC &amp; Adoptions LASER 2012'!F72+'TANF LASER 2012'!F72</f>
        <v>12877.49</v>
      </c>
      <c r="O74" s="1200">
        <f t="shared" si="15"/>
        <v>26878549.030000001</v>
      </c>
      <c r="Q74" s="951">
        <f t="shared" si="16"/>
        <v>0.55071759622395489</v>
      </c>
      <c r="R74" s="952">
        <f t="shared" si="17"/>
        <v>0.256803871373951</v>
      </c>
      <c r="S74" s="952">
        <f t="shared" si="18"/>
        <v>0.19247853240209398</v>
      </c>
      <c r="T74" s="953">
        <f t="shared" si="19"/>
        <v>0.807521467597906</v>
      </c>
      <c r="V74" s="951">
        <f t="shared" si="20"/>
        <v>0.86756037454200674</v>
      </c>
      <c r="W74" s="952">
        <f t="shared" si="21"/>
        <v>8.1054402060087183E-2</v>
      </c>
      <c r="X74" s="953">
        <f t="shared" si="22"/>
        <v>5.1385223397906049E-2</v>
      </c>
    </row>
    <row r="75" spans="1:24">
      <c r="A75" s="1147" t="s">
        <v>179</v>
      </c>
      <c r="B75" s="858" t="s">
        <v>180</v>
      </c>
      <c r="C75" s="1148" t="s">
        <v>272</v>
      </c>
      <c r="D75" s="1198">
        <f>'Eligibililty Staff LASER-2012'!D73+'Services Staff LASER 2012'!D73+'Other Exp. LASER 2012'!D73</f>
        <v>1828306.3199999998</v>
      </c>
      <c r="E75" s="1199">
        <f>'Eligibililty Staff LASER-2012'!E73+'Services Staff LASER 2012'!E73+'Other Exp. LASER 2012'!E73</f>
        <v>854547.85</v>
      </c>
      <c r="F75" s="1199">
        <f>'Eligibililty Staff LASER-2012'!F73+'Services Staff LASER 2012'!F73+'Other Exp. LASER 2012'!F73</f>
        <v>871221.42</v>
      </c>
      <c r="G75" s="1200">
        <f>SUM('Benefits Spending Summary'!D75:F75)</f>
        <v>3554075.59</v>
      </c>
      <c r="H75" s="1198">
        <f>'Services for Clients LASER 2012'!D74</f>
        <v>352813.75</v>
      </c>
      <c r="I75" s="1199">
        <f>'Services for Clients LASER 2012'!E74</f>
        <v>51322.630000000005</v>
      </c>
      <c r="J75" s="1199">
        <f>'Services for Clients LASER 2012'!F74</f>
        <v>40026.910000000003</v>
      </c>
      <c r="K75" s="1200">
        <f t="shared" si="14"/>
        <v>444163.29000000004</v>
      </c>
      <c r="L75" s="1198">
        <f>'Medicaid &amp; FAMIS - LASER 2012'!E73+'SNAP - LASER 2012'!E73+'SNAP - LASER 2012'!F73+'FC &amp; Adoptions LASER 2012'!D73+'LIHEAP LASER 2012'!E73+'TANF LASER 2012'!D73+'Other Benefits LASER 2012'!D74</f>
        <v>47135837.058799997</v>
      </c>
      <c r="M75" s="1199">
        <f>'Medicaid &amp; FAMIS - LASER 2012'!F73+'SNAP - LASER 2012'!G73+'FC &amp; Adoptions LASER 2012'!E73+'TANF LASER 2012'!E73+'Other Benefits LASER 2012'!E74</f>
        <v>33531438.311199997</v>
      </c>
      <c r="N75" s="1199">
        <f>'FC &amp; Adoptions LASER 2012'!F73+'TANF LASER 2012'!F73</f>
        <v>853277.74</v>
      </c>
      <c r="O75" s="1200">
        <f t="shared" si="15"/>
        <v>81520553.109999985</v>
      </c>
      <c r="Q75" s="951">
        <f t="shared" si="16"/>
        <v>0.51442527703807217</v>
      </c>
      <c r="R75" s="952">
        <f t="shared" si="17"/>
        <v>0.24044166432599709</v>
      </c>
      <c r="S75" s="952">
        <f t="shared" si="18"/>
        <v>0.24513305863593071</v>
      </c>
      <c r="T75" s="953">
        <f t="shared" si="19"/>
        <v>0.75486694136406929</v>
      </c>
      <c r="V75" s="951">
        <f t="shared" si="20"/>
        <v>0.4937424472283371</v>
      </c>
      <c r="W75" s="952">
        <f t="shared" si="21"/>
        <v>2.2684227045735857E-2</v>
      </c>
      <c r="X75" s="953">
        <f t="shared" si="22"/>
        <v>0.48357332572592704</v>
      </c>
    </row>
    <row r="76" spans="1:24">
      <c r="A76" s="1147" t="s">
        <v>183</v>
      </c>
      <c r="B76" s="858" t="s">
        <v>184</v>
      </c>
      <c r="C76" s="1148" t="s">
        <v>273</v>
      </c>
      <c r="D76" s="1198">
        <f>'Eligibililty Staff LASER-2012'!D74+'Services Staff LASER 2012'!D74+'Other Exp. LASER 2012'!D74</f>
        <v>477450.04999999993</v>
      </c>
      <c r="E76" s="1199">
        <f>'Eligibililty Staff LASER-2012'!E74+'Services Staff LASER 2012'!E74+'Other Exp. LASER 2012'!E74</f>
        <v>138552.63</v>
      </c>
      <c r="F76" s="1199">
        <f>'Eligibililty Staff LASER-2012'!F74+'Services Staff LASER 2012'!F74+'Other Exp. LASER 2012'!F74</f>
        <v>502321.33999999997</v>
      </c>
      <c r="G76" s="1200">
        <f>SUM('Benefits Spending Summary'!D76:F76)</f>
        <v>1118324.02</v>
      </c>
      <c r="H76" s="1198">
        <f>'Services for Clients LASER 2012'!D75</f>
        <v>111952.01000000001</v>
      </c>
      <c r="I76" s="1199">
        <f>'Services for Clients LASER 2012'!E75</f>
        <v>24250.71</v>
      </c>
      <c r="J76" s="1199">
        <f>'Services for Clients LASER 2012'!F75</f>
        <v>9506.83</v>
      </c>
      <c r="K76" s="1200">
        <f t="shared" si="14"/>
        <v>145709.54999999999</v>
      </c>
      <c r="L76" s="1198">
        <f>'Medicaid &amp; FAMIS - LASER 2012'!E74+'SNAP - LASER 2012'!E74+'SNAP - LASER 2012'!F74+'FC &amp; Adoptions LASER 2012'!D74+'LIHEAP LASER 2012'!E74+'TANF LASER 2012'!D74+'Other Benefits LASER 2012'!D75</f>
        <v>7570752.7115000002</v>
      </c>
      <c r="M76" s="1199">
        <f>'Medicaid &amp; FAMIS - LASER 2012'!F74+'SNAP - LASER 2012'!G74+'FC &amp; Adoptions LASER 2012'!E74+'TANF LASER 2012'!E74+'Other Benefits LASER 2012'!E75</f>
        <v>5875475.0585000003</v>
      </c>
      <c r="N76" s="1199">
        <f>'FC &amp; Adoptions LASER 2012'!F74+'TANF LASER 2012'!F74</f>
        <v>636290.42999999993</v>
      </c>
      <c r="O76" s="1200">
        <f t="shared" si="15"/>
        <v>14082518.199999999</v>
      </c>
      <c r="Q76" s="951">
        <f t="shared" si="16"/>
        <v>0.4269335554466584</v>
      </c>
      <c r="R76" s="952">
        <f t="shared" si="17"/>
        <v>0.12389310031988761</v>
      </c>
      <c r="S76" s="952">
        <f t="shared" si="18"/>
        <v>0.4491733442334539</v>
      </c>
      <c r="T76" s="953">
        <f t="shared" si="19"/>
        <v>0.55082665576654599</v>
      </c>
      <c r="V76" s="951">
        <f t="shared" si="20"/>
        <v>0.43751694293603466</v>
      </c>
      <c r="W76" s="952">
        <f t="shared" si="21"/>
        <v>8.280355357016253E-3</v>
      </c>
      <c r="X76" s="953">
        <f t="shared" si="22"/>
        <v>0.55420270170694907</v>
      </c>
    </row>
    <row r="77" spans="1:24">
      <c r="A77" s="1147" t="s">
        <v>185</v>
      </c>
      <c r="B77" s="858" t="s">
        <v>186</v>
      </c>
      <c r="C77" s="1148" t="s">
        <v>273</v>
      </c>
      <c r="D77" s="1198">
        <f>'Eligibililty Staff LASER-2012'!D75+'Services Staff LASER 2012'!D75+'Other Exp. LASER 2012'!D75</f>
        <v>955942.17999999993</v>
      </c>
      <c r="E77" s="1199">
        <f>'Eligibililty Staff LASER-2012'!E75+'Services Staff LASER 2012'!E75+'Other Exp. LASER 2012'!E75</f>
        <v>399481.93999999994</v>
      </c>
      <c r="F77" s="1199">
        <f>'Eligibililty Staff LASER-2012'!F75+'Services Staff LASER 2012'!F75+'Other Exp. LASER 2012'!F75</f>
        <v>653555.39</v>
      </c>
      <c r="G77" s="1200">
        <f>SUM('Benefits Spending Summary'!D77:F77)</f>
        <v>2008979.5099999998</v>
      </c>
      <c r="H77" s="1198">
        <f>'Services for Clients LASER 2012'!D76</f>
        <v>202150.67</v>
      </c>
      <c r="I77" s="1199">
        <f>'Services for Clients LASER 2012'!E76</f>
        <v>74235.789999999994</v>
      </c>
      <c r="J77" s="1199">
        <f>'Services for Clients LASER 2012'!F76</f>
        <v>31751.46</v>
      </c>
      <c r="K77" s="1200">
        <f t="shared" si="14"/>
        <v>308137.92000000004</v>
      </c>
      <c r="L77" s="1198">
        <f>'Medicaid &amp; FAMIS - LASER 2012'!E75+'SNAP - LASER 2012'!E75+'SNAP - LASER 2012'!F75+'FC &amp; Adoptions LASER 2012'!D75+'LIHEAP LASER 2012'!E75+'TANF LASER 2012'!D75+'Other Benefits LASER 2012'!D76</f>
        <v>18082921.9822</v>
      </c>
      <c r="M77" s="1199">
        <f>'Medicaid &amp; FAMIS - LASER 2012'!F75+'SNAP - LASER 2012'!G75+'FC &amp; Adoptions LASER 2012'!E75+'TANF LASER 2012'!E75+'Other Benefits LASER 2012'!E76</f>
        <v>13012144.037799999</v>
      </c>
      <c r="N77" s="1199">
        <f>'FC &amp; Adoptions LASER 2012'!F75+'TANF LASER 2012'!F75</f>
        <v>149627.03999999998</v>
      </c>
      <c r="O77" s="1200">
        <f t="shared" si="15"/>
        <v>31244693.059999999</v>
      </c>
      <c r="Q77" s="951">
        <f t="shared" si="16"/>
        <v>0.47583470873727329</v>
      </c>
      <c r="R77" s="952">
        <f t="shared" si="17"/>
        <v>0.19884819034316581</v>
      </c>
      <c r="S77" s="952">
        <f t="shared" si="18"/>
        <v>0.32531710091956095</v>
      </c>
      <c r="T77" s="953">
        <f t="shared" si="19"/>
        <v>0.6746828990804391</v>
      </c>
      <c r="V77" s="951">
        <f t="shared" si="20"/>
        <v>0.78276304007734088</v>
      </c>
      <c r="W77" s="952">
        <f t="shared" si="21"/>
        <v>3.8028711470796811E-2</v>
      </c>
      <c r="X77" s="953">
        <f t="shared" si="22"/>
        <v>0.17920824845186245</v>
      </c>
    </row>
    <row r="78" spans="1:24">
      <c r="A78" s="1147" t="s">
        <v>187</v>
      </c>
      <c r="B78" s="858" t="s">
        <v>188</v>
      </c>
      <c r="C78" s="1148" t="s">
        <v>271</v>
      </c>
      <c r="D78" s="1198">
        <f>'Eligibililty Staff LASER-2012'!D76+'Services Staff LASER 2012'!D76+'Other Exp. LASER 2012'!D76</f>
        <v>668697.83000000007</v>
      </c>
      <c r="E78" s="1199">
        <f>'Eligibililty Staff LASER-2012'!E76+'Services Staff LASER 2012'!E76+'Other Exp. LASER 2012'!E76</f>
        <v>298360.15999999997</v>
      </c>
      <c r="F78" s="1199">
        <f>'Eligibililty Staff LASER-2012'!F76+'Services Staff LASER 2012'!F76+'Other Exp. LASER 2012'!F76</f>
        <v>627531.34000000008</v>
      </c>
      <c r="G78" s="1200">
        <f>SUM('Benefits Spending Summary'!D78:F78)</f>
        <v>1594589.33</v>
      </c>
      <c r="H78" s="1198">
        <f>'Services for Clients LASER 2012'!D77</f>
        <v>89369.43</v>
      </c>
      <c r="I78" s="1199">
        <f>'Services for Clients LASER 2012'!E77</f>
        <v>20448.32</v>
      </c>
      <c r="J78" s="1199">
        <f>'Services for Clients LASER 2012'!F77</f>
        <v>10903.43</v>
      </c>
      <c r="K78" s="1200">
        <f t="shared" si="14"/>
        <v>120721.18</v>
      </c>
      <c r="L78" s="1198">
        <f>'Medicaid &amp; FAMIS - LASER 2012'!E76+'SNAP - LASER 2012'!E76+'SNAP - LASER 2012'!F76+'FC &amp; Adoptions LASER 2012'!D76+'LIHEAP LASER 2012'!E76+'TANF LASER 2012'!D76+'Other Benefits LASER 2012'!D77</f>
        <v>11902139.3848</v>
      </c>
      <c r="M78" s="1199">
        <f>'Medicaid &amp; FAMIS - LASER 2012'!F76+'SNAP - LASER 2012'!G76+'FC &amp; Adoptions LASER 2012'!E76+'TANF LASER 2012'!E76+'Other Benefits LASER 2012'!E77</f>
        <v>8011687.5151999993</v>
      </c>
      <c r="N78" s="1199">
        <f>'FC &amp; Adoptions LASER 2012'!F76+'TANF LASER 2012'!F76</f>
        <v>408447.44</v>
      </c>
      <c r="O78" s="1200">
        <f t="shared" si="15"/>
        <v>20322274.34</v>
      </c>
      <c r="Q78" s="951">
        <f t="shared" si="16"/>
        <v>0.41935426094943207</v>
      </c>
      <c r="R78" s="952">
        <f t="shared" si="17"/>
        <v>0.18710783672433073</v>
      </c>
      <c r="S78" s="952">
        <f t="shared" si="18"/>
        <v>0.3935379023262372</v>
      </c>
      <c r="T78" s="953">
        <f t="shared" si="19"/>
        <v>0.6064620976737628</v>
      </c>
      <c r="V78" s="951">
        <f t="shared" si="20"/>
        <v>0.59942879342653077</v>
      </c>
      <c r="W78" s="952">
        <f t="shared" si="21"/>
        <v>1.0415144985604443E-2</v>
      </c>
      <c r="X78" s="953">
        <f t="shared" si="22"/>
        <v>0.3901560615878647</v>
      </c>
    </row>
    <row r="79" spans="1:24">
      <c r="A79" s="1147" t="s">
        <v>189</v>
      </c>
      <c r="B79" s="858" t="s">
        <v>190</v>
      </c>
      <c r="C79" s="1148" t="s">
        <v>274</v>
      </c>
      <c r="D79" s="1198">
        <f>'Eligibililty Staff LASER-2012'!D77+'Services Staff LASER 2012'!D77+'Other Exp. LASER 2012'!D77</f>
        <v>8509944.3499999996</v>
      </c>
      <c r="E79" s="1199">
        <f>'Eligibililty Staff LASER-2012'!E77+'Services Staff LASER 2012'!E77+'Other Exp. LASER 2012'!E77</f>
        <v>2205636.4</v>
      </c>
      <c r="F79" s="1199">
        <f>'Eligibililty Staff LASER-2012'!F77+'Services Staff LASER 2012'!F77+'Other Exp. LASER 2012'!F77</f>
        <v>9993320.8200000003</v>
      </c>
      <c r="G79" s="1200">
        <f>SUM('Benefits Spending Summary'!D79:F79)</f>
        <v>20708901.57</v>
      </c>
      <c r="H79" s="1198">
        <f>'Services for Clients LASER 2012'!D78</f>
        <v>1880440.5499999998</v>
      </c>
      <c r="I79" s="1199">
        <f>'Services for Clients LASER 2012'!E78</f>
        <v>821392.85</v>
      </c>
      <c r="J79" s="1199">
        <f>'Services for Clients LASER 2012'!F78</f>
        <v>270011.89999999997</v>
      </c>
      <c r="K79" s="1200">
        <f t="shared" si="14"/>
        <v>2971845.3</v>
      </c>
      <c r="L79" s="1198">
        <f>'Medicaid &amp; FAMIS - LASER 2012'!E77+'SNAP - LASER 2012'!E77+'SNAP - LASER 2012'!F77+'FC &amp; Adoptions LASER 2012'!D77+'LIHEAP LASER 2012'!E77+'TANF LASER 2012'!D77+'Other Benefits LASER 2012'!D78</f>
        <v>142994321.06659999</v>
      </c>
      <c r="M79" s="1199">
        <f>'Medicaid &amp; FAMIS - LASER 2012'!F77+'SNAP - LASER 2012'!G77+'FC &amp; Adoptions LASER 2012'!E77+'TANF LASER 2012'!E77+'Other Benefits LASER 2012'!E78</f>
        <v>99774106.18339999</v>
      </c>
      <c r="N79" s="1199">
        <f>'FC &amp; Adoptions LASER 2012'!F77+'TANF LASER 2012'!F77</f>
        <v>2813981.1599999997</v>
      </c>
      <c r="O79" s="1200">
        <f t="shared" si="15"/>
        <v>245582408.41</v>
      </c>
      <c r="Q79" s="951">
        <f t="shared" si="16"/>
        <v>0.41093171075417884</v>
      </c>
      <c r="R79" s="952">
        <f t="shared" si="17"/>
        <v>0.10650668228561191</v>
      </c>
      <c r="S79" s="952">
        <f t="shared" si="18"/>
        <v>0.48256160696020922</v>
      </c>
      <c r="T79" s="953">
        <f t="shared" si="19"/>
        <v>0.51743839303979078</v>
      </c>
      <c r="V79" s="951">
        <f t="shared" si="20"/>
        <v>0.76417228428564721</v>
      </c>
      <c r="W79" s="952">
        <f t="shared" si="21"/>
        <v>2.0647351778636053E-2</v>
      </c>
      <c r="X79" s="953">
        <f t="shared" si="22"/>
        <v>0.21518036393571671</v>
      </c>
    </row>
    <row r="80" spans="1:24">
      <c r="A80" s="1147" t="s">
        <v>191</v>
      </c>
      <c r="B80" s="858" t="s">
        <v>192</v>
      </c>
      <c r="C80" s="1148" t="s">
        <v>275</v>
      </c>
      <c r="D80" s="1198">
        <f>'Eligibililty Staff LASER-2012'!D78+'Services Staff LASER 2012'!D78+'Other Exp. LASER 2012'!D78</f>
        <v>1754376.3499999999</v>
      </c>
      <c r="E80" s="1199">
        <f>'Eligibililty Staff LASER-2012'!E78+'Services Staff LASER 2012'!E78+'Other Exp. LASER 2012'!E78</f>
        <v>857388.88</v>
      </c>
      <c r="F80" s="1199">
        <f>'Eligibililty Staff LASER-2012'!F78+'Services Staff LASER 2012'!F78+'Other Exp. LASER 2012'!F78</f>
        <v>651148.59</v>
      </c>
      <c r="G80" s="1200">
        <f>SUM('Benefits Spending Summary'!D80:F80)</f>
        <v>3262913.82</v>
      </c>
      <c r="H80" s="1198">
        <f>'Services for Clients LASER 2012'!D79</f>
        <v>221836.80000000002</v>
      </c>
      <c r="I80" s="1199">
        <f>'Services for Clients LASER 2012'!E79</f>
        <v>61275.920000000006</v>
      </c>
      <c r="J80" s="1199">
        <f>'Services for Clients LASER 2012'!F79</f>
        <v>32409.739999999998</v>
      </c>
      <c r="K80" s="1200">
        <f t="shared" si="14"/>
        <v>315522.46000000002</v>
      </c>
      <c r="L80" s="1198">
        <f>'Medicaid &amp; FAMIS - LASER 2012'!E78+'SNAP - LASER 2012'!E78+'SNAP - LASER 2012'!F78+'FC &amp; Adoptions LASER 2012'!D78+'LIHEAP LASER 2012'!E78+'TANF LASER 2012'!D78+'Other Benefits LASER 2012'!D79</f>
        <v>28516232.177099999</v>
      </c>
      <c r="M80" s="1199">
        <f>'Medicaid &amp; FAMIS - LASER 2012'!F78+'SNAP - LASER 2012'!G78+'FC &amp; Adoptions LASER 2012'!E78+'TANF LASER 2012'!E78+'Other Benefits LASER 2012'!E79</f>
        <v>21516750.512900002</v>
      </c>
      <c r="N80" s="1199">
        <f>'FC &amp; Adoptions LASER 2012'!F78+'TANF LASER 2012'!F78</f>
        <v>1169309.3299999998</v>
      </c>
      <c r="O80" s="1200">
        <f t="shared" si="15"/>
        <v>51202292.019999996</v>
      </c>
      <c r="Q80" s="951">
        <f t="shared" si="16"/>
        <v>0.53767167837733454</v>
      </c>
      <c r="R80" s="952">
        <f t="shared" si="17"/>
        <v>0.26276785943430159</v>
      </c>
      <c r="S80" s="952">
        <f t="shared" si="18"/>
        <v>0.1995604621883639</v>
      </c>
      <c r="T80" s="953">
        <f t="shared" si="19"/>
        <v>0.80043953781163613</v>
      </c>
      <c r="V80" s="951">
        <f t="shared" si="20"/>
        <v>0.35142746784192891</v>
      </c>
      <c r="W80" s="952">
        <f t="shared" si="21"/>
        <v>1.749166478516874E-2</v>
      </c>
      <c r="X80" s="953">
        <f t="shared" si="22"/>
        <v>0.63108086737290237</v>
      </c>
    </row>
    <row r="81" spans="1:24">
      <c r="A81" s="1147" t="s">
        <v>195</v>
      </c>
      <c r="B81" s="858" t="s">
        <v>196</v>
      </c>
      <c r="C81" s="1148" t="s">
        <v>274</v>
      </c>
      <c r="D81" s="1198">
        <f>'Eligibililty Staff LASER-2012'!D79+'Services Staff LASER 2012'!D79+'Other Exp. LASER 2012'!D79</f>
        <v>325538.33</v>
      </c>
      <c r="E81" s="1199">
        <f>'Eligibililty Staff LASER-2012'!E79+'Services Staff LASER 2012'!E79+'Other Exp. LASER 2012'!E79</f>
        <v>112911.1</v>
      </c>
      <c r="F81" s="1199">
        <f>'Eligibililty Staff LASER-2012'!F79+'Services Staff LASER 2012'!F79+'Other Exp. LASER 2012'!F79</f>
        <v>340866.60000000003</v>
      </c>
      <c r="G81" s="1200">
        <f>SUM('Benefits Spending Summary'!D81:F81)</f>
        <v>779316.03</v>
      </c>
      <c r="H81" s="1198">
        <f>'Services for Clients LASER 2012'!D80</f>
        <v>65937.960000000006</v>
      </c>
      <c r="I81" s="1199">
        <f>'Services for Clients LASER 2012'!E80</f>
        <v>4361.3100000000004</v>
      </c>
      <c r="J81" s="1199">
        <f>'Services for Clients LASER 2012'!F80</f>
        <v>5539.9400000000005</v>
      </c>
      <c r="K81" s="1200">
        <f t="shared" si="14"/>
        <v>75839.210000000006</v>
      </c>
      <c r="L81" s="1198">
        <f>'Medicaid &amp; FAMIS - LASER 2012'!E79+'SNAP - LASER 2012'!E79+'SNAP - LASER 2012'!F79+'FC &amp; Adoptions LASER 2012'!D79+'LIHEAP LASER 2012'!E79+'TANF LASER 2012'!D79+'Other Benefits LASER 2012'!D80</f>
        <v>2983077.2039999999</v>
      </c>
      <c r="M81" s="1199">
        <f>'Medicaid &amp; FAMIS - LASER 2012'!F79+'SNAP - LASER 2012'!G79+'FC &amp; Adoptions LASER 2012'!E79+'TANF LASER 2012'!E79+'Other Benefits LASER 2012'!E80</f>
        <v>2792881.1259999997</v>
      </c>
      <c r="N81" s="1199">
        <f>'FC &amp; Adoptions LASER 2012'!F79+'TANF LASER 2012'!F79</f>
        <v>450152.06</v>
      </c>
      <c r="O81" s="1200">
        <f t="shared" si="15"/>
        <v>6226110.3899999997</v>
      </c>
      <c r="Q81" s="951">
        <f t="shared" si="16"/>
        <v>0.41772312831804576</v>
      </c>
      <c r="R81" s="952">
        <f t="shared" si="17"/>
        <v>0.14488486782441778</v>
      </c>
      <c r="S81" s="952">
        <f t="shared" si="18"/>
        <v>0.43739200385753652</v>
      </c>
      <c r="T81" s="953">
        <f t="shared" si="19"/>
        <v>0.5626079961424636</v>
      </c>
      <c r="V81" s="951">
        <f t="shared" si="20"/>
        <v>0.42792407237835356</v>
      </c>
      <c r="W81" s="952">
        <f t="shared" si="21"/>
        <v>6.9548429958574296E-3</v>
      </c>
      <c r="X81" s="953">
        <f t="shared" si="22"/>
        <v>0.56512108462578892</v>
      </c>
    </row>
    <row r="82" spans="1:24">
      <c r="A82" s="1147" t="s">
        <v>199</v>
      </c>
      <c r="B82" s="858" t="s">
        <v>200</v>
      </c>
      <c r="C82" s="1148" t="s">
        <v>273</v>
      </c>
      <c r="D82" s="1198">
        <f>'Eligibililty Staff LASER-2012'!D80+'Services Staff LASER 2012'!D80+'Other Exp. LASER 2012'!D80</f>
        <v>333665.14</v>
      </c>
      <c r="E82" s="1199">
        <f>'Eligibililty Staff LASER-2012'!E80+'Services Staff LASER 2012'!E80+'Other Exp. LASER 2012'!E80</f>
        <v>142242.89000000001</v>
      </c>
      <c r="F82" s="1199">
        <f>'Eligibililty Staff LASER-2012'!F80+'Services Staff LASER 2012'!F80+'Other Exp. LASER 2012'!F80</f>
        <v>245150.28</v>
      </c>
      <c r="G82" s="1200">
        <f>SUM('Benefits Spending Summary'!D82:F82)</f>
        <v>721058.31</v>
      </c>
      <c r="H82" s="1198">
        <f>'Services for Clients LASER 2012'!D81</f>
        <v>29817.240000000005</v>
      </c>
      <c r="I82" s="1199">
        <f>'Services for Clients LASER 2012'!E81</f>
        <v>8063.08</v>
      </c>
      <c r="J82" s="1199">
        <f>'Services for Clients LASER 2012'!F81</f>
        <v>5796.17</v>
      </c>
      <c r="K82" s="1200">
        <f t="shared" si="14"/>
        <v>43676.490000000005</v>
      </c>
      <c r="L82" s="1198">
        <f>'Medicaid &amp; FAMIS - LASER 2012'!E80+'SNAP - LASER 2012'!E80+'SNAP - LASER 2012'!F80+'FC &amp; Adoptions LASER 2012'!D80+'LIHEAP LASER 2012'!E80+'TANF LASER 2012'!D80+'Other Benefits LASER 2012'!D81</f>
        <v>6888297.6539999992</v>
      </c>
      <c r="M82" s="1199">
        <f>'Medicaid &amp; FAMIS - LASER 2012'!F80+'SNAP - LASER 2012'!G80+'FC &amp; Adoptions LASER 2012'!E80+'TANF LASER 2012'!E80+'Other Benefits LASER 2012'!E81</f>
        <v>4534011.0359999994</v>
      </c>
      <c r="N82" s="1199">
        <f>'FC &amp; Adoptions LASER 2012'!F80+'TANF LASER 2012'!F80</f>
        <v>65917.75</v>
      </c>
      <c r="O82" s="1200">
        <f t="shared" si="15"/>
        <v>11488226.439999998</v>
      </c>
      <c r="Q82" s="951">
        <f t="shared" si="16"/>
        <v>0.46274363026202414</v>
      </c>
      <c r="R82" s="952">
        <f t="shared" si="17"/>
        <v>0.19726960777970926</v>
      </c>
      <c r="S82" s="952">
        <f t="shared" si="18"/>
        <v>0.33998676195826655</v>
      </c>
      <c r="T82" s="953">
        <f t="shared" si="19"/>
        <v>0.6600132380417334</v>
      </c>
      <c r="V82" s="951">
        <f t="shared" si="20"/>
        <v>0.77367616789779337</v>
      </c>
      <c r="W82" s="952">
        <f t="shared" si="21"/>
        <v>1.8292284202506941E-2</v>
      </c>
      <c r="X82" s="953">
        <f t="shared" si="22"/>
        <v>0.2080315478996996</v>
      </c>
    </row>
    <row r="83" spans="1:24">
      <c r="A83" s="1147" t="s">
        <v>203</v>
      </c>
      <c r="B83" s="858" t="s">
        <v>805</v>
      </c>
      <c r="C83" s="1148" t="s">
        <v>272</v>
      </c>
      <c r="D83" s="1198">
        <f>'Eligibililty Staff LASER-2012'!D81+'Services Staff LASER 2012'!D81+'Other Exp. LASER 2012'!D81</f>
        <v>2399235.92</v>
      </c>
      <c r="E83" s="1199">
        <f>'Eligibililty Staff LASER-2012'!E81+'Services Staff LASER 2012'!E81+'Other Exp. LASER 2012'!E81</f>
        <v>887129.3</v>
      </c>
      <c r="F83" s="1199">
        <f>'Eligibililty Staff LASER-2012'!F81+'Services Staff LASER 2012'!F81+'Other Exp. LASER 2012'!F81</f>
        <v>2152934.21</v>
      </c>
      <c r="G83" s="1200">
        <f>SUM('Benefits Spending Summary'!D83:F83)</f>
        <v>5439299.4299999997</v>
      </c>
      <c r="H83" s="1198">
        <f>'Services for Clients LASER 2012'!D82</f>
        <v>696407.3600000001</v>
      </c>
      <c r="I83" s="1199">
        <f>'Services for Clients LASER 2012'!E82</f>
        <v>235608.32000000001</v>
      </c>
      <c r="J83" s="1199">
        <f>'Services for Clients LASER 2012'!F82</f>
        <v>105868.76000000001</v>
      </c>
      <c r="K83" s="1200">
        <f t="shared" si="14"/>
        <v>1037884.4400000002</v>
      </c>
      <c r="L83" s="1198">
        <f>'Medicaid &amp; FAMIS - LASER 2012'!E81+'SNAP - LASER 2012'!E81+'SNAP - LASER 2012'!F81+'FC &amp; Adoptions LASER 2012'!D81+'LIHEAP LASER 2012'!E81+'TANF LASER 2012'!D81+'Other Benefits LASER 2012'!D82</f>
        <v>49641675.332599998</v>
      </c>
      <c r="M83" s="1199">
        <f>'Medicaid &amp; FAMIS - LASER 2012'!F81+'SNAP - LASER 2012'!G81+'FC &amp; Adoptions LASER 2012'!E81+'TANF LASER 2012'!E81+'Other Benefits LASER 2012'!E82</f>
        <v>41362311.417399995</v>
      </c>
      <c r="N83" s="1199">
        <f>'FC &amp; Adoptions LASER 2012'!F81+'TANF LASER 2012'!F81</f>
        <v>2381082.4700000002</v>
      </c>
      <c r="O83" s="1200">
        <f t="shared" si="15"/>
        <v>93385069.219999999</v>
      </c>
      <c r="Q83" s="951">
        <f t="shared" si="16"/>
        <v>0.44109281919050375</v>
      </c>
      <c r="R83" s="952">
        <f t="shared" si="17"/>
        <v>0.16309624270859457</v>
      </c>
      <c r="S83" s="952">
        <f t="shared" si="18"/>
        <v>0.39581093810090173</v>
      </c>
      <c r="T83" s="953">
        <f t="shared" si="19"/>
        <v>0.60418906189909827</v>
      </c>
      <c r="V83" s="951">
        <f t="shared" si="20"/>
        <v>0.46400589795596336</v>
      </c>
      <c r="W83" s="952">
        <f t="shared" si="21"/>
        <v>2.2817106449938562E-2</v>
      </c>
      <c r="X83" s="953">
        <f t="shared" si="22"/>
        <v>0.51317699559409824</v>
      </c>
    </row>
    <row r="84" spans="1:24">
      <c r="A84" s="1147" t="s">
        <v>205</v>
      </c>
      <c r="B84" s="858" t="s">
        <v>303</v>
      </c>
      <c r="C84" s="1148" t="s">
        <v>272</v>
      </c>
      <c r="D84" s="1198">
        <f>'Eligibililty Staff LASER-2012'!D82+'Services Staff LASER 2012'!D82+'Other Exp. LASER 2012'!D82</f>
        <v>809296.05999999994</v>
      </c>
      <c r="E84" s="1199">
        <f>'Eligibililty Staff LASER-2012'!E82+'Services Staff LASER 2012'!E82+'Other Exp. LASER 2012'!E82</f>
        <v>392432.43</v>
      </c>
      <c r="F84" s="1199">
        <f>'Eligibililty Staff LASER-2012'!F82+'Services Staff LASER 2012'!F82+'Other Exp. LASER 2012'!F82</f>
        <v>346022.13</v>
      </c>
      <c r="G84" s="1200">
        <f>SUM('Benefits Spending Summary'!D84:F84)</f>
        <v>1547750.62</v>
      </c>
      <c r="H84" s="1198">
        <f>'Services for Clients LASER 2012'!D83</f>
        <v>134613.04999999999</v>
      </c>
      <c r="I84" s="1199">
        <f>'Services for Clients LASER 2012'!E83</f>
        <v>25159.239999999998</v>
      </c>
      <c r="J84" s="1199">
        <f>'Services for Clients LASER 2012'!F83</f>
        <v>15972.680000000002</v>
      </c>
      <c r="K84" s="1200">
        <f t="shared" si="14"/>
        <v>175744.96999999997</v>
      </c>
      <c r="L84" s="1198">
        <f>'Medicaid &amp; FAMIS - LASER 2012'!E82+'SNAP - LASER 2012'!E82+'SNAP - LASER 2012'!F82+'FC &amp; Adoptions LASER 2012'!D82+'LIHEAP LASER 2012'!E82+'TANF LASER 2012'!D82+'Other Benefits LASER 2012'!D83</f>
        <v>21386062.368199997</v>
      </c>
      <c r="M84" s="1199">
        <f>'Medicaid &amp; FAMIS - LASER 2012'!F82+'SNAP - LASER 2012'!G82+'FC &amp; Adoptions LASER 2012'!E82+'TANF LASER 2012'!E82+'Other Benefits LASER 2012'!E83</f>
        <v>17242656.971799999</v>
      </c>
      <c r="N84" s="1199">
        <f>'FC &amp; Adoptions LASER 2012'!F82+'TANF LASER 2012'!F82</f>
        <v>706409</v>
      </c>
      <c r="O84" s="1200">
        <f t="shared" si="15"/>
        <v>39335128.339999996</v>
      </c>
      <c r="Q84" s="951">
        <f t="shared" si="16"/>
        <v>0.52288530822878942</v>
      </c>
      <c r="R84" s="952">
        <f t="shared" si="17"/>
        <v>0.25355016817890208</v>
      </c>
      <c r="S84" s="952">
        <f t="shared" si="18"/>
        <v>0.22356452359230841</v>
      </c>
      <c r="T84" s="953">
        <f t="shared" si="19"/>
        <v>0.7764354764076915</v>
      </c>
      <c r="V84" s="951">
        <f t="shared" si="20"/>
        <v>0.32386830406379774</v>
      </c>
      <c r="W84" s="952">
        <f t="shared" si="21"/>
        <v>1.4950040284861958E-2</v>
      </c>
      <c r="X84" s="953">
        <f t="shared" si="22"/>
        <v>0.66118165565134024</v>
      </c>
    </row>
    <row r="85" spans="1:24">
      <c r="A85" s="1147" t="s">
        <v>207</v>
      </c>
      <c r="B85" s="858" t="s">
        <v>304</v>
      </c>
      <c r="C85" s="1148" t="s">
        <v>274</v>
      </c>
      <c r="D85" s="1198">
        <f>'Eligibililty Staff LASER-2012'!D83+'Services Staff LASER 2012'!D83+'Other Exp. LASER 2012'!D83</f>
        <v>2738938.38</v>
      </c>
      <c r="E85" s="1199">
        <f>'Eligibililty Staff LASER-2012'!E83+'Services Staff LASER 2012'!E83+'Other Exp. LASER 2012'!E83</f>
        <v>1014095.57</v>
      </c>
      <c r="F85" s="1199">
        <f>'Eligibililty Staff LASER-2012'!F83+'Services Staff LASER 2012'!F83+'Other Exp. LASER 2012'!F83</f>
        <v>2065926.75</v>
      </c>
      <c r="G85" s="1200">
        <f>SUM('Benefits Spending Summary'!D85:F85)</f>
        <v>5818960.6999999993</v>
      </c>
      <c r="H85" s="1198">
        <f>'Services for Clients LASER 2012'!D84</f>
        <v>733542.63</v>
      </c>
      <c r="I85" s="1199">
        <f>'Services for Clients LASER 2012'!E84</f>
        <v>251749.09000000003</v>
      </c>
      <c r="J85" s="1199">
        <f>'Services for Clients LASER 2012'!F84</f>
        <v>81757.61</v>
      </c>
      <c r="K85" s="1200">
        <f t="shared" si="14"/>
        <v>1067049.33</v>
      </c>
      <c r="L85" s="1198">
        <f>'Medicaid &amp; FAMIS - LASER 2012'!E83+'SNAP - LASER 2012'!E83+'SNAP - LASER 2012'!F83+'FC &amp; Adoptions LASER 2012'!D83+'LIHEAP LASER 2012'!E83+'TANF LASER 2012'!D83+'Other Benefits LASER 2012'!D84</f>
        <v>57914644.789300002</v>
      </c>
      <c r="M85" s="1199">
        <f>'Medicaid &amp; FAMIS - LASER 2012'!F83+'SNAP - LASER 2012'!G83+'FC &amp; Adoptions LASER 2012'!E83+'TANF LASER 2012'!E83+'Other Benefits LASER 2012'!E84</f>
        <v>46809561.400700003</v>
      </c>
      <c r="N85" s="1199">
        <f>'FC &amp; Adoptions LASER 2012'!F83+'TANF LASER 2012'!F83</f>
        <v>3078950.22</v>
      </c>
      <c r="O85" s="1200">
        <f t="shared" si="15"/>
        <v>107803156.41</v>
      </c>
      <c r="Q85" s="951">
        <f t="shared" si="16"/>
        <v>0.47069202237437352</v>
      </c>
      <c r="R85" s="952">
        <f t="shared" si="17"/>
        <v>0.17427434593259927</v>
      </c>
      <c r="S85" s="952">
        <f t="shared" si="18"/>
        <v>0.35503363169302726</v>
      </c>
      <c r="T85" s="953">
        <f t="shared" si="19"/>
        <v>0.64496636830697274</v>
      </c>
      <c r="V85" s="951">
        <f t="shared" si="20"/>
        <v>0.3952690241451699</v>
      </c>
      <c r="W85" s="952">
        <f t="shared" si="21"/>
        <v>1.5642495902210174E-2</v>
      </c>
      <c r="X85" s="953">
        <f t="shared" si="22"/>
        <v>0.58908847995261993</v>
      </c>
    </row>
    <row r="86" spans="1:24">
      <c r="A86" s="1147" t="s">
        <v>209</v>
      </c>
      <c r="B86" s="858" t="s">
        <v>210</v>
      </c>
      <c r="C86" s="1148" t="s">
        <v>275</v>
      </c>
      <c r="D86" s="1198">
        <f>'Eligibililty Staff LASER-2012'!D84+'Services Staff LASER 2012'!D84+'Other Exp. LASER 2012'!D84</f>
        <v>1326291.28</v>
      </c>
      <c r="E86" s="1199">
        <f>'Eligibililty Staff LASER-2012'!E84+'Services Staff LASER 2012'!E84+'Other Exp. LASER 2012'!E84</f>
        <v>655953.10000000009</v>
      </c>
      <c r="F86" s="1199">
        <f>'Eligibililty Staff LASER-2012'!F84+'Services Staff LASER 2012'!F84+'Other Exp. LASER 2012'!F84</f>
        <v>436860.8</v>
      </c>
      <c r="G86" s="1200">
        <f>SUM('Benefits Spending Summary'!D86:F86)</f>
        <v>2419105.1800000002</v>
      </c>
      <c r="H86" s="1198">
        <f>'Services for Clients LASER 2012'!D85</f>
        <v>184259.34999999998</v>
      </c>
      <c r="I86" s="1199">
        <f>'Services for Clients LASER 2012'!E85</f>
        <v>57296.45</v>
      </c>
      <c r="J86" s="1199">
        <f>'Services for Clients LASER 2012'!F85</f>
        <v>39549.399999999994</v>
      </c>
      <c r="K86" s="1200">
        <f t="shared" si="14"/>
        <v>281105.19999999995</v>
      </c>
      <c r="L86" s="1198">
        <f>'Medicaid &amp; FAMIS - LASER 2012'!E84+'SNAP - LASER 2012'!E84+'SNAP - LASER 2012'!F84+'FC &amp; Adoptions LASER 2012'!D84+'LIHEAP LASER 2012'!E84+'TANF LASER 2012'!D84+'Other Benefits LASER 2012'!D85</f>
        <v>26356108.404799998</v>
      </c>
      <c r="M86" s="1199">
        <f>'Medicaid &amp; FAMIS - LASER 2012'!F84+'SNAP - LASER 2012'!G84+'FC &amp; Adoptions LASER 2012'!E84+'TANF LASER 2012'!E84+'Other Benefits LASER 2012'!E85</f>
        <v>18245731.455199998</v>
      </c>
      <c r="N86" s="1199">
        <f>'FC &amp; Adoptions LASER 2012'!F84+'TANF LASER 2012'!F84</f>
        <v>296511.40999999997</v>
      </c>
      <c r="O86" s="1200">
        <f t="shared" si="15"/>
        <v>44898351.269999996</v>
      </c>
      <c r="Q86" s="951">
        <f t="shared" si="16"/>
        <v>0.54825697161294984</v>
      </c>
      <c r="R86" s="952">
        <f t="shared" si="17"/>
        <v>0.27115526245948512</v>
      </c>
      <c r="S86" s="952">
        <f t="shared" si="18"/>
        <v>0.18058776592756498</v>
      </c>
      <c r="T86" s="953">
        <f t="shared" si="19"/>
        <v>0.81941223407243502</v>
      </c>
      <c r="V86" s="951">
        <f t="shared" si="20"/>
        <v>0.565207123656434</v>
      </c>
      <c r="W86" s="952">
        <f t="shared" si="21"/>
        <v>5.1168707781375139E-2</v>
      </c>
      <c r="X86" s="953">
        <f t="shared" si="22"/>
        <v>0.38362416856219095</v>
      </c>
    </row>
    <row r="87" spans="1:24">
      <c r="A87" s="1147" t="s">
        <v>211</v>
      </c>
      <c r="B87" s="858" t="s">
        <v>212</v>
      </c>
      <c r="C87" s="1148" t="s">
        <v>275</v>
      </c>
      <c r="D87" s="1198">
        <f>'Eligibililty Staff LASER-2012'!D85+'Services Staff LASER 2012'!D85+'Other Exp. LASER 2012'!D85</f>
        <v>1053684.46</v>
      </c>
      <c r="E87" s="1199">
        <f>'Eligibililty Staff LASER-2012'!E85+'Services Staff LASER 2012'!E85+'Other Exp. LASER 2012'!E85</f>
        <v>512476.37</v>
      </c>
      <c r="F87" s="1199">
        <f>'Eligibililty Staff LASER-2012'!F85+'Services Staff LASER 2012'!F85+'Other Exp. LASER 2012'!F85</f>
        <v>387031.99</v>
      </c>
      <c r="G87" s="1200">
        <f>SUM('Benefits Spending Summary'!D87:F87)</f>
        <v>1953192.82</v>
      </c>
      <c r="H87" s="1198">
        <f>'Services for Clients LASER 2012'!D86</f>
        <v>124498.21</v>
      </c>
      <c r="I87" s="1199">
        <f>'Services for Clients LASER 2012'!E86</f>
        <v>46176.929999999993</v>
      </c>
      <c r="J87" s="1199">
        <f>'Services for Clients LASER 2012'!F86</f>
        <v>28459.15</v>
      </c>
      <c r="K87" s="1200">
        <f t="shared" si="14"/>
        <v>199134.29</v>
      </c>
      <c r="L87" s="1198">
        <f>'Medicaid &amp; FAMIS - LASER 2012'!E85+'SNAP - LASER 2012'!E85+'SNAP - LASER 2012'!F85+'FC &amp; Adoptions LASER 2012'!D85+'LIHEAP LASER 2012'!E85+'TANF LASER 2012'!D85+'Other Benefits LASER 2012'!D86</f>
        <v>20731714.493800003</v>
      </c>
      <c r="M87" s="1199">
        <f>'Medicaid &amp; FAMIS - LASER 2012'!F85+'SNAP - LASER 2012'!G85+'FC &amp; Adoptions LASER 2012'!E85+'TANF LASER 2012'!E85+'Other Benefits LASER 2012'!E86</f>
        <v>15326257.476200001</v>
      </c>
      <c r="N87" s="1199">
        <f>'FC &amp; Adoptions LASER 2012'!F85+'TANF LASER 2012'!F85</f>
        <v>249727.83000000002</v>
      </c>
      <c r="O87" s="1200">
        <f t="shared" si="15"/>
        <v>36307699.800000004</v>
      </c>
      <c r="Q87" s="951">
        <f t="shared" si="16"/>
        <v>0.53946771112951353</v>
      </c>
      <c r="R87" s="952">
        <f t="shared" si="17"/>
        <v>0.2623787906408544</v>
      </c>
      <c r="S87" s="952">
        <f t="shared" si="18"/>
        <v>0.19815349822963202</v>
      </c>
      <c r="T87" s="953">
        <f t="shared" si="19"/>
        <v>0.80184650177036798</v>
      </c>
      <c r="V87" s="951">
        <f t="shared" si="20"/>
        <v>0.5818114146684662</v>
      </c>
      <c r="W87" s="952">
        <f t="shared" si="21"/>
        <v>4.2781627228700353E-2</v>
      </c>
      <c r="X87" s="953">
        <f t="shared" si="22"/>
        <v>0.37540695810283348</v>
      </c>
    </row>
    <row r="88" spans="1:24">
      <c r="A88" s="1147" t="s">
        <v>213</v>
      </c>
      <c r="B88" s="858" t="s">
        <v>214</v>
      </c>
      <c r="C88" s="1148" t="s">
        <v>274</v>
      </c>
      <c r="D88" s="1198">
        <f>'Eligibililty Staff LASER-2012'!D86+'Services Staff LASER 2012'!D86+'Other Exp. LASER 2012'!D86</f>
        <v>1026161.1499999999</v>
      </c>
      <c r="E88" s="1199">
        <f>'Eligibililty Staff LASER-2012'!E86+'Services Staff LASER 2012'!E86+'Other Exp. LASER 2012'!E86</f>
        <v>357442.23</v>
      </c>
      <c r="F88" s="1199">
        <f>'Eligibililty Staff LASER-2012'!F86+'Services Staff LASER 2012'!F86+'Other Exp. LASER 2012'!F86</f>
        <v>1420573.31</v>
      </c>
      <c r="G88" s="1200">
        <f>SUM('Benefits Spending Summary'!D88:F88)</f>
        <v>2804176.69</v>
      </c>
      <c r="H88" s="1198">
        <f>'Services for Clients LASER 2012'!D87</f>
        <v>175785.41</v>
      </c>
      <c r="I88" s="1199">
        <f>'Services for Clients LASER 2012'!E87</f>
        <v>19248.329999999998</v>
      </c>
      <c r="J88" s="1199">
        <f>'Services for Clients LASER 2012'!F87</f>
        <v>14218.5</v>
      </c>
      <c r="K88" s="1200">
        <f t="shared" si="14"/>
        <v>209252.24</v>
      </c>
      <c r="L88" s="1198">
        <f>'Medicaid &amp; FAMIS - LASER 2012'!E86+'SNAP - LASER 2012'!E86+'SNAP - LASER 2012'!F86+'FC &amp; Adoptions LASER 2012'!D86+'LIHEAP LASER 2012'!E86+'TANF LASER 2012'!D86+'Other Benefits LASER 2012'!D87</f>
        <v>24786140.415900003</v>
      </c>
      <c r="M88" s="1199">
        <f>'Medicaid &amp; FAMIS - LASER 2012'!F86+'SNAP - LASER 2012'!G86+'FC &amp; Adoptions LASER 2012'!E86+'TANF LASER 2012'!E86+'Other Benefits LASER 2012'!E87</f>
        <v>17878312.874100003</v>
      </c>
      <c r="N88" s="1199">
        <f>'FC &amp; Adoptions LASER 2012'!F86+'TANF LASER 2012'!F86</f>
        <v>760573.95000000007</v>
      </c>
      <c r="O88" s="1200">
        <f t="shared" si="15"/>
        <v>43425027.24000001</v>
      </c>
      <c r="Q88" s="951">
        <f t="shared" si="16"/>
        <v>0.36594026106108168</v>
      </c>
      <c r="R88" s="952">
        <f t="shared" si="17"/>
        <v>0.12746779875700343</v>
      </c>
      <c r="S88" s="952">
        <f t="shared" si="18"/>
        <v>0.50659194018191489</v>
      </c>
      <c r="T88" s="953">
        <f t="shared" si="19"/>
        <v>0.49340805981808511</v>
      </c>
      <c r="V88" s="951">
        <f t="shared" si="20"/>
        <v>0.6470781934760611</v>
      </c>
      <c r="W88" s="952">
        <f t="shared" si="21"/>
        <v>6.4765973210769209E-3</v>
      </c>
      <c r="X88" s="953">
        <f t="shared" si="22"/>
        <v>0.34644520920286193</v>
      </c>
    </row>
    <row r="89" spans="1:24">
      <c r="A89" s="1147" t="s">
        <v>215</v>
      </c>
      <c r="B89" s="858" t="s">
        <v>216</v>
      </c>
      <c r="C89" s="1148" t="s">
        <v>275</v>
      </c>
      <c r="D89" s="1198">
        <f>'Eligibililty Staff LASER-2012'!D87+'Services Staff LASER 2012'!D87+'Other Exp. LASER 2012'!D87</f>
        <v>1711982.4900000002</v>
      </c>
      <c r="E89" s="1199">
        <f>'Eligibililty Staff LASER-2012'!E87+'Services Staff LASER 2012'!E87+'Other Exp. LASER 2012'!E87</f>
        <v>817698.6</v>
      </c>
      <c r="F89" s="1199">
        <f>'Eligibililty Staff LASER-2012'!F87+'Services Staff LASER 2012'!F87+'Other Exp. LASER 2012'!F87</f>
        <v>578361.17999999993</v>
      </c>
      <c r="G89" s="1200">
        <f>SUM('Benefits Spending Summary'!D89:F89)</f>
        <v>3108042.2700000005</v>
      </c>
      <c r="H89" s="1198">
        <f>'Services for Clients LASER 2012'!D88</f>
        <v>190011.19</v>
      </c>
      <c r="I89" s="1199">
        <f>'Services for Clients LASER 2012'!E88</f>
        <v>34773.890000000007</v>
      </c>
      <c r="J89" s="1199">
        <f>'Services for Clients LASER 2012'!F88</f>
        <v>28341.429999999997</v>
      </c>
      <c r="K89" s="1200">
        <f t="shared" si="14"/>
        <v>253126.51</v>
      </c>
      <c r="L89" s="1198">
        <f>'Medicaid &amp; FAMIS - LASER 2012'!E87+'SNAP - LASER 2012'!E87+'SNAP - LASER 2012'!F87+'FC &amp; Adoptions LASER 2012'!D87+'LIHEAP LASER 2012'!E87+'TANF LASER 2012'!D87+'Other Benefits LASER 2012'!D88</f>
        <v>29173355.053800002</v>
      </c>
      <c r="M89" s="1199">
        <f>'Medicaid &amp; FAMIS - LASER 2012'!F87+'SNAP - LASER 2012'!G87+'FC &amp; Adoptions LASER 2012'!E87+'TANF LASER 2012'!E87+'Other Benefits LASER 2012'!E88</f>
        <v>18821756.066200003</v>
      </c>
      <c r="N89" s="1199">
        <f>'FC &amp; Adoptions LASER 2012'!F87+'TANF LASER 2012'!F87</f>
        <v>118896.26000000001</v>
      </c>
      <c r="O89" s="1200">
        <f t="shared" si="15"/>
        <v>48114007.380000003</v>
      </c>
      <c r="Q89" s="951">
        <f t="shared" si="16"/>
        <v>0.55082342557715602</v>
      </c>
      <c r="R89" s="952">
        <f t="shared" si="17"/>
        <v>0.26309120950275872</v>
      </c>
      <c r="S89" s="952">
        <f t="shared" si="18"/>
        <v>0.18608536492008515</v>
      </c>
      <c r="T89" s="953">
        <f t="shared" si="19"/>
        <v>0.81391463507991479</v>
      </c>
      <c r="V89" s="951">
        <f t="shared" si="20"/>
        <v>0.79708114760432291</v>
      </c>
      <c r="W89" s="952">
        <f t="shared" si="21"/>
        <v>3.9059363474477291E-2</v>
      </c>
      <c r="X89" s="953">
        <f t="shared" si="22"/>
        <v>0.1638594889211997</v>
      </c>
    </row>
    <row r="90" spans="1:24">
      <c r="A90" s="1147" t="s">
        <v>217</v>
      </c>
      <c r="B90" s="858" t="s">
        <v>218</v>
      </c>
      <c r="C90" s="1148" t="s">
        <v>271</v>
      </c>
      <c r="D90" s="1198">
        <f>'Eligibililty Staff LASER-2012'!D88+'Services Staff LASER 2012'!D88+'Other Exp. LASER 2012'!D88</f>
        <v>943601.77</v>
      </c>
      <c r="E90" s="1199">
        <f>'Eligibililty Staff LASER-2012'!E88+'Services Staff LASER 2012'!E88+'Other Exp. LASER 2012'!E88</f>
        <v>474470.93000000005</v>
      </c>
      <c r="F90" s="1199">
        <f>'Eligibililty Staff LASER-2012'!F88+'Services Staff LASER 2012'!F88+'Other Exp. LASER 2012'!F88</f>
        <v>311827.03000000003</v>
      </c>
      <c r="G90" s="1200">
        <f>SUM('Benefits Spending Summary'!D90:F90)</f>
        <v>1729899.7300000002</v>
      </c>
      <c r="H90" s="1198">
        <f>'Services for Clients LASER 2012'!D89</f>
        <v>190125.1</v>
      </c>
      <c r="I90" s="1199">
        <f>'Services for Clients LASER 2012'!E89</f>
        <v>45676.22</v>
      </c>
      <c r="J90" s="1199">
        <f>'Services for Clients LASER 2012'!F89</f>
        <v>30670.140000000003</v>
      </c>
      <c r="K90" s="1200">
        <f t="shared" si="14"/>
        <v>266471.46000000002</v>
      </c>
      <c r="L90" s="1198">
        <f>'Medicaid &amp; FAMIS - LASER 2012'!E88+'SNAP - LASER 2012'!E88+'SNAP - LASER 2012'!F88+'FC &amp; Adoptions LASER 2012'!D88+'LIHEAP LASER 2012'!E88+'TANF LASER 2012'!D88+'Other Benefits LASER 2012'!D89</f>
        <v>14708646.256200001</v>
      </c>
      <c r="M90" s="1199">
        <f>'Medicaid &amp; FAMIS - LASER 2012'!F88+'SNAP - LASER 2012'!G88+'FC &amp; Adoptions LASER 2012'!E88+'TANF LASER 2012'!E88+'Other Benefits LASER 2012'!E89</f>
        <v>9946316.0237999987</v>
      </c>
      <c r="N90" s="1199">
        <f>'FC &amp; Adoptions LASER 2012'!F88+'TANF LASER 2012'!F88</f>
        <v>165735.97</v>
      </c>
      <c r="O90" s="1200">
        <f t="shared" si="15"/>
        <v>24820698.25</v>
      </c>
      <c r="Q90" s="951">
        <f t="shared" si="16"/>
        <v>0.54546616409958049</v>
      </c>
      <c r="R90" s="952">
        <f t="shared" si="17"/>
        <v>0.27427655012120267</v>
      </c>
      <c r="S90" s="952">
        <f t="shared" si="18"/>
        <v>0.18025728577921679</v>
      </c>
      <c r="T90" s="953">
        <f t="shared" si="19"/>
        <v>0.81974271422078315</v>
      </c>
      <c r="V90" s="951">
        <f t="shared" si="20"/>
        <v>0.61355115488926992</v>
      </c>
      <c r="W90" s="952">
        <f t="shared" si="21"/>
        <v>6.0346596052355032E-2</v>
      </c>
      <c r="X90" s="953">
        <f t="shared" si="22"/>
        <v>0.32610224905837504</v>
      </c>
    </row>
    <row r="91" spans="1:24">
      <c r="A91" s="1147" t="s">
        <v>219</v>
      </c>
      <c r="B91" s="858" t="s">
        <v>220</v>
      </c>
      <c r="C91" s="1148" t="s">
        <v>274</v>
      </c>
      <c r="D91" s="1198">
        <f>'Eligibililty Staff LASER-2012'!D89+'Services Staff LASER 2012'!D89+'Other Exp. LASER 2012'!D89</f>
        <v>2270185.66</v>
      </c>
      <c r="E91" s="1199">
        <f>'Eligibililty Staff LASER-2012'!E89+'Services Staff LASER 2012'!E89+'Other Exp. LASER 2012'!E89</f>
        <v>625464.32999999996</v>
      </c>
      <c r="F91" s="1199">
        <f>'Eligibililty Staff LASER-2012'!F89+'Services Staff LASER 2012'!F89+'Other Exp. LASER 2012'!F89</f>
        <v>2747068.3699999996</v>
      </c>
      <c r="G91" s="1200">
        <f>SUM('Benefits Spending Summary'!D91:F91)</f>
        <v>5642718.3599999994</v>
      </c>
      <c r="H91" s="1198">
        <f>'Services for Clients LASER 2012'!D90</f>
        <v>678482.98</v>
      </c>
      <c r="I91" s="1199">
        <f>'Services for Clients LASER 2012'!E90</f>
        <v>307976.71000000002</v>
      </c>
      <c r="J91" s="1199">
        <f>'Services for Clients LASER 2012'!F90</f>
        <v>98412.439999999988</v>
      </c>
      <c r="K91" s="1200">
        <f t="shared" si="14"/>
        <v>1084872.1299999999</v>
      </c>
      <c r="L91" s="1198">
        <f>'Medicaid &amp; FAMIS - LASER 2012'!E89+'SNAP - LASER 2012'!E89+'SNAP - LASER 2012'!F89+'FC &amp; Adoptions LASER 2012'!D89+'LIHEAP LASER 2012'!E89+'TANF LASER 2012'!D89+'Other Benefits LASER 2012'!D90</f>
        <v>55192195.238699995</v>
      </c>
      <c r="M91" s="1199">
        <f>'Medicaid &amp; FAMIS - LASER 2012'!F89+'SNAP - LASER 2012'!G89+'FC &amp; Adoptions LASER 2012'!E89+'TANF LASER 2012'!E89+'Other Benefits LASER 2012'!E90</f>
        <v>39503501.1413</v>
      </c>
      <c r="N91" s="1199">
        <f>'FC &amp; Adoptions LASER 2012'!F89+'TANF LASER 2012'!F89</f>
        <v>3039371.6799999997</v>
      </c>
      <c r="O91" s="1200">
        <f t="shared" si="15"/>
        <v>97735068.060000002</v>
      </c>
      <c r="Q91" s="951">
        <f t="shared" si="16"/>
        <v>0.40232127764746356</v>
      </c>
      <c r="R91" s="952">
        <f t="shared" si="17"/>
        <v>0.11084450615748967</v>
      </c>
      <c r="S91" s="952">
        <f t="shared" si="18"/>
        <v>0.4868342161950468</v>
      </c>
      <c r="T91" s="953">
        <f t="shared" si="19"/>
        <v>0.51316578380495326</v>
      </c>
      <c r="V91" s="951">
        <f t="shared" si="20"/>
        <v>0.46680326731520166</v>
      </c>
      <c r="W91" s="952">
        <f t="shared" si="21"/>
        <v>1.6723008803913111E-2</v>
      </c>
      <c r="X91" s="953">
        <f t="shared" si="22"/>
        <v>0.5164737238808853</v>
      </c>
    </row>
    <row r="92" spans="1:24">
      <c r="A92" s="1147" t="s">
        <v>221</v>
      </c>
      <c r="B92" s="858" t="s">
        <v>222</v>
      </c>
      <c r="C92" s="1148" t="s">
        <v>274</v>
      </c>
      <c r="D92" s="1198">
        <f>'Eligibililty Staff LASER-2012'!D90+'Services Staff LASER 2012'!D90+'Other Exp. LASER 2012'!D90</f>
        <v>1943709.98</v>
      </c>
      <c r="E92" s="1199">
        <f>'Eligibililty Staff LASER-2012'!E90+'Services Staff LASER 2012'!E90+'Other Exp. LASER 2012'!E90</f>
        <v>607195.38</v>
      </c>
      <c r="F92" s="1199">
        <f>'Eligibililty Staff LASER-2012'!F90+'Services Staff LASER 2012'!F90+'Other Exp. LASER 2012'!F90</f>
        <v>1627878.15</v>
      </c>
      <c r="G92" s="1200">
        <f>SUM('Benefits Spending Summary'!D92:F92)</f>
        <v>4178783.51</v>
      </c>
      <c r="H92" s="1198">
        <f>'Services for Clients LASER 2012'!D91</f>
        <v>879408.08</v>
      </c>
      <c r="I92" s="1199">
        <f>'Services for Clients LASER 2012'!E91</f>
        <v>254410.28999999995</v>
      </c>
      <c r="J92" s="1199">
        <f>'Services for Clients LASER 2012'!F91</f>
        <v>83350.599999999977</v>
      </c>
      <c r="K92" s="1200">
        <f t="shared" si="14"/>
        <v>1217168.9699999997</v>
      </c>
      <c r="L92" s="1198">
        <f>'Medicaid &amp; FAMIS - LASER 2012'!E90+'SNAP - LASER 2012'!E90+'SNAP - LASER 2012'!F90+'FC &amp; Adoptions LASER 2012'!D90+'LIHEAP LASER 2012'!E90+'TANF LASER 2012'!D90+'Other Benefits LASER 2012'!D91</f>
        <v>42767274.625299998</v>
      </c>
      <c r="M92" s="1199">
        <f>'Medicaid &amp; FAMIS - LASER 2012'!F90+'SNAP - LASER 2012'!G90+'FC &amp; Adoptions LASER 2012'!E90+'TANF LASER 2012'!E90+'Other Benefits LASER 2012'!E91</f>
        <v>30151349.9747</v>
      </c>
      <c r="N92" s="1199">
        <f>'FC &amp; Adoptions LASER 2012'!F90+'TANF LASER 2012'!F90</f>
        <v>1919140.94</v>
      </c>
      <c r="O92" s="1200">
        <f t="shared" si="15"/>
        <v>74837765.539999992</v>
      </c>
      <c r="Q92" s="951">
        <f t="shared" si="16"/>
        <v>0.46513775488694797</v>
      </c>
      <c r="R92" s="952">
        <f t="shared" si="17"/>
        <v>0.14530434001832271</v>
      </c>
      <c r="S92" s="952">
        <f t="shared" si="18"/>
        <v>0.38955790509472937</v>
      </c>
      <c r="T92" s="953">
        <f t="shared" si="19"/>
        <v>0.61044209490527068</v>
      </c>
      <c r="V92" s="951">
        <f t="shared" si="20"/>
        <v>0.44840561402990337</v>
      </c>
      <c r="W92" s="952">
        <f t="shared" si="21"/>
        <v>2.2959259556841437E-2</v>
      </c>
      <c r="X92" s="953">
        <f t="shared" si="22"/>
        <v>0.52863512641325516</v>
      </c>
    </row>
    <row r="93" spans="1:24">
      <c r="A93" s="1147" t="s">
        <v>225</v>
      </c>
      <c r="B93" s="858" t="s">
        <v>226</v>
      </c>
      <c r="C93" s="1148" t="s">
        <v>271</v>
      </c>
      <c r="D93" s="1198">
        <f>'Eligibililty Staff LASER-2012'!D91+'Services Staff LASER 2012'!D91+'Other Exp. LASER 2012'!D91</f>
        <v>603623.37</v>
      </c>
      <c r="E93" s="1199">
        <f>'Eligibililty Staff LASER-2012'!E91+'Services Staff LASER 2012'!E91+'Other Exp. LASER 2012'!E91</f>
        <v>254424.34999999998</v>
      </c>
      <c r="F93" s="1199">
        <f>'Eligibililty Staff LASER-2012'!F91+'Services Staff LASER 2012'!F91+'Other Exp. LASER 2012'!F91</f>
        <v>621958.01</v>
      </c>
      <c r="G93" s="1200">
        <f>SUM('Benefits Spending Summary'!D93:F93)</f>
        <v>1480005.73</v>
      </c>
      <c r="H93" s="1198">
        <f>'Services for Clients LASER 2012'!D92</f>
        <v>147248.34</v>
      </c>
      <c r="I93" s="1199">
        <f>'Services for Clients LASER 2012'!E92</f>
        <v>26767.159999999996</v>
      </c>
      <c r="J93" s="1199">
        <f>'Services for Clients LASER 2012'!F92</f>
        <v>30612.289999999997</v>
      </c>
      <c r="K93" s="1200">
        <f t="shared" si="14"/>
        <v>204627.79</v>
      </c>
      <c r="L93" s="1198">
        <f>'Medicaid &amp; FAMIS - LASER 2012'!E91+'SNAP - LASER 2012'!E91+'SNAP - LASER 2012'!F91+'FC &amp; Adoptions LASER 2012'!D91+'LIHEAP LASER 2012'!E91+'TANF LASER 2012'!D91+'Other Benefits LASER 2012'!D92</f>
        <v>5023787.9153000005</v>
      </c>
      <c r="M93" s="1199">
        <f>'Medicaid &amp; FAMIS - LASER 2012'!F91+'SNAP - LASER 2012'!G91+'FC &amp; Adoptions LASER 2012'!E91+'TANF LASER 2012'!E91+'Other Benefits LASER 2012'!E92</f>
        <v>3450064.0746999993</v>
      </c>
      <c r="N93" s="1199">
        <f>'FC &amp; Adoptions LASER 2012'!F91+'TANF LASER 2012'!F91</f>
        <v>59352.67</v>
      </c>
      <c r="O93" s="1200">
        <f t="shared" si="15"/>
        <v>8533204.6600000001</v>
      </c>
      <c r="Q93" s="951">
        <f t="shared" si="16"/>
        <v>0.40785204932956576</v>
      </c>
      <c r="R93" s="952">
        <f t="shared" si="17"/>
        <v>0.17190767903310752</v>
      </c>
      <c r="S93" s="952">
        <f t="shared" si="18"/>
        <v>0.42024027163732669</v>
      </c>
      <c r="T93" s="953">
        <f t="shared" si="19"/>
        <v>0.57975972836267331</v>
      </c>
      <c r="V93" s="951">
        <f t="shared" si="20"/>
        <v>0.87363104747132958</v>
      </c>
      <c r="W93" s="952">
        <f t="shared" si="21"/>
        <v>4.2999441358100854E-2</v>
      </c>
      <c r="X93" s="953">
        <f t="shared" si="22"/>
        <v>8.3369511170569469E-2</v>
      </c>
    </row>
    <row r="94" spans="1:24">
      <c r="A94" s="1147" t="s">
        <v>227</v>
      </c>
      <c r="B94" s="858" t="s">
        <v>228</v>
      </c>
      <c r="C94" s="1148" t="s">
        <v>271</v>
      </c>
      <c r="D94" s="1198">
        <f>'Eligibililty Staff LASER-2012'!D92+'Services Staff LASER 2012'!D92+'Other Exp. LASER 2012'!D92</f>
        <v>918874.58</v>
      </c>
      <c r="E94" s="1199">
        <f>'Eligibililty Staff LASER-2012'!E92+'Services Staff LASER 2012'!E92+'Other Exp. LASER 2012'!E92</f>
        <v>351700.51</v>
      </c>
      <c r="F94" s="1199">
        <f>'Eligibililty Staff LASER-2012'!F92+'Services Staff LASER 2012'!F92+'Other Exp. LASER 2012'!F92</f>
        <v>518122.23999999999</v>
      </c>
      <c r="G94" s="1200">
        <f>SUM('Benefits Spending Summary'!D94:F94)</f>
        <v>1788697.3299999998</v>
      </c>
      <c r="H94" s="1198">
        <f>'Services for Clients LASER 2012'!D93</f>
        <v>94106.9</v>
      </c>
      <c r="I94" s="1199">
        <f>'Services for Clients LASER 2012'!E93</f>
        <v>22963.949999999997</v>
      </c>
      <c r="J94" s="1199">
        <f>'Services for Clients LASER 2012'!F93</f>
        <v>15453.159999999998</v>
      </c>
      <c r="K94" s="1200">
        <f t="shared" si="14"/>
        <v>132524.00999999998</v>
      </c>
      <c r="L94" s="1198">
        <f>'Medicaid &amp; FAMIS - LASER 2012'!E92+'SNAP - LASER 2012'!E92+'SNAP - LASER 2012'!F92+'FC &amp; Adoptions LASER 2012'!D92+'LIHEAP LASER 2012'!E92+'TANF LASER 2012'!D92+'Other Benefits LASER 2012'!D93</f>
        <v>11183155.658499999</v>
      </c>
      <c r="M94" s="1199">
        <f>'Medicaid &amp; FAMIS - LASER 2012'!F92+'SNAP - LASER 2012'!G92+'FC &amp; Adoptions LASER 2012'!E92+'TANF LASER 2012'!E92+'Other Benefits LASER 2012'!E93</f>
        <v>8407933.9315000009</v>
      </c>
      <c r="N94" s="1199">
        <f>'FC &amp; Adoptions LASER 2012'!F92+'TANF LASER 2012'!F92</f>
        <v>126143.16</v>
      </c>
      <c r="O94" s="1200">
        <f t="shared" si="15"/>
        <v>19717232.75</v>
      </c>
      <c r="Q94" s="951">
        <f t="shared" si="16"/>
        <v>0.5137116070945329</v>
      </c>
      <c r="R94" s="952">
        <f t="shared" si="17"/>
        <v>0.19662382455728272</v>
      </c>
      <c r="S94" s="952">
        <f t="shared" si="18"/>
        <v>0.28966456834818444</v>
      </c>
      <c r="T94" s="953">
        <f t="shared" si="19"/>
        <v>0.71033543165181556</v>
      </c>
      <c r="V94" s="951">
        <f t="shared" si="20"/>
        <v>0.78536859717877261</v>
      </c>
      <c r="W94" s="952">
        <f t="shared" si="21"/>
        <v>2.3423867292743736E-2</v>
      </c>
      <c r="X94" s="953">
        <f t="shared" si="22"/>
        <v>0.19120753552848352</v>
      </c>
    </row>
    <row r="95" spans="1:24">
      <c r="A95" s="1147" t="s">
        <v>229</v>
      </c>
      <c r="B95" s="858" t="s">
        <v>230</v>
      </c>
      <c r="C95" s="1148" t="s">
        <v>275</v>
      </c>
      <c r="D95" s="1198">
        <f>'Eligibililty Staff LASER-2012'!D93+'Services Staff LASER 2012'!D93+'Other Exp. LASER 2012'!D93</f>
        <v>2139086.48</v>
      </c>
      <c r="E95" s="1199">
        <f>'Eligibililty Staff LASER-2012'!E93+'Services Staff LASER 2012'!E93+'Other Exp. LASER 2012'!E93</f>
        <v>958437.82000000007</v>
      </c>
      <c r="F95" s="1199">
        <f>'Eligibililty Staff LASER-2012'!F93+'Services Staff LASER 2012'!F93+'Other Exp. LASER 2012'!F93</f>
        <v>889645.22</v>
      </c>
      <c r="G95" s="1200">
        <f>SUM('Benefits Spending Summary'!D95:F95)</f>
        <v>3987169.5199999996</v>
      </c>
      <c r="H95" s="1198">
        <f>'Services for Clients LASER 2012'!D94</f>
        <v>254792.29</v>
      </c>
      <c r="I95" s="1199">
        <f>'Services for Clients LASER 2012'!E94</f>
        <v>76730.080000000016</v>
      </c>
      <c r="J95" s="1199">
        <f>'Services for Clients LASER 2012'!F94</f>
        <v>41276.36</v>
      </c>
      <c r="K95" s="1200">
        <f t="shared" si="14"/>
        <v>372798.73</v>
      </c>
      <c r="L95" s="1198">
        <f>'Medicaid &amp; FAMIS - LASER 2012'!E93+'SNAP - LASER 2012'!E93+'SNAP - LASER 2012'!F93+'FC &amp; Adoptions LASER 2012'!D93+'LIHEAP LASER 2012'!E93+'TANF LASER 2012'!D93+'Other Benefits LASER 2012'!D94</f>
        <v>36290228.895300008</v>
      </c>
      <c r="M95" s="1199">
        <f>'Medicaid &amp; FAMIS - LASER 2012'!F93+'SNAP - LASER 2012'!G93+'FC &amp; Adoptions LASER 2012'!E93+'TANF LASER 2012'!E93+'Other Benefits LASER 2012'!E94</f>
        <v>26066788.934699997</v>
      </c>
      <c r="N95" s="1199">
        <f>'FC &amp; Adoptions LASER 2012'!F93+'TANF LASER 2012'!F93</f>
        <v>439581.13999999996</v>
      </c>
      <c r="O95" s="1200">
        <f t="shared" si="15"/>
        <v>62796598.970000006</v>
      </c>
      <c r="Q95" s="951">
        <f t="shared" si="16"/>
        <v>0.53649248402159744</v>
      </c>
      <c r="R95" s="952">
        <f t="shared" si="17"/>
        <v>0.24038050431324529</v>
      </c>
      <c r="S95" s="952">
        <f t="shared" si="18"/>
        <v>0.22312701166515742</v>
      </c>
      <c r="T95" s="953">
        <f t="shared" si="19"/>
        <v>0.77687298833484264</v>
      </c>
      <c r="V95" s="951">
        <f t="shared" si="20"/>
        <v>0.64913787256109934</v>
      </c>
      <c r="W95" s="952">
        <f t="shared" si="21"/>
        <v>3.0117678277938771E-2</v>
      </c>
      <c r="X95" s="953">
        <f t="shared" si="22"/>
        <v>0.3207444491609619</v>
      </c>
    </row>
    <row r="96" spans="1:24">
      <c r="A96" s="1147" t="s">
        <v>233</v>
      </c>
      <c r="B96" s="858" t="s">
        <v>234</v>
      </c>
      <c r="C96" s="1148" t="s">
        <v>274</v>
      </c>
      <c r="D96" s="1198">
        <f>'Eligibililty Staff LASER-2012'!D94+'Services Staff LASER 2012'!D94+'Other Exp. LASER 2012'!D94</f>
        <v>1057582.02</v>
      </c>
      <c r="E96" s="1199">
        <f>'Eligibililty Staff LASER-2012'!E94+'Services Staff LASER 2012'!E94+'Other Exp. LASER 2012'!E94</f>
        <v>407252.44</v>
      </c>
      <c r="F96" s="1199">
        <f>'Eligibililty Staff LASER-2012'!F94+'Services Staff LASER 2012'!F94+'Other Exp. LASER 2012'!F94</f>
        <v>731883.85999999987</v>
      </c>
      <c r="G96" s="1200">
        <f>SUM('Benefits Spending Summary'!D96:F96)</f>
        <v>2196718.3199999998</v>
      </c>
      <c r="H96" s="1198">
        <f>'Services for Clients LASER 2012'!D95</f>
        <v>308784.83000000007</v>
      </c>
      <c r="I96" s="1199">
        <f>'Services for Clients LASER 2012'!E95</f>
        <v>98397.48000000001</v>
      </c>
      <c r="J96" s="1199">
        <f>'Services for Clients LASER 2012'!F95</f>
        <v>40337.469999999994</v>
      </c>
      <c r="K96" s="1200">
        <f t="shared" si="14"/>
        <v>447519.78</v>
      </c>
      <c r="L96" s="1198">
        <f>'Medicaid &amp; FAMIS - LASER 2012'!E94+'SNAP - LASER 2012'!E94+'SNAP - LASER 2012'!F94+'FC &amp; Adoptions LASER 2012'!D94+'LIHEAP LASER 2012'!E94+'TANF LASER 2012'!D94+'Other Benefits LASER 2012'!D95</f>
        <v>22920773.197000001</v>
      </c>
      <c r="M96" s="1199">
        <f>'Medicaid &amp; FAMIS - LASER 2012'!F94+'SNAP - LASER 2012'!G94+'FC &amp; Adoptions LASER 2012'!E94+'TANF LASER 2012'!E94+'Other Benefits LASER 2012'!E95</f>
        <v>16117061.242999997</v>
      </c>
      <c r="N96" s="1199">
        <f>'FC &amp; Adoptions LASER 2012'!F94+'TANF LASER 2012'!F94</f>
        <v>750087.76</v>
      </c>
      <c r="O96" s="1200">
        <f t="shared" si="15"/>
        <v>39787922.199999996</v>
      </c>
      <c r="Q96" s="951">
        <f t="shared" si="16"/>
        <v>0.48143724681096123</v>
      </c>
      <c r="R96" s="952">
        <f t="shared" si="17"/>
        <v>0.18539128858359957</v>
      </c>
      <c r="S96" s="952">
        <f t="shared" si="18"/>
        <v>0.33317146460543923</v>
      </c>
      <c r="T96" s="953">
        <f t="shared" si="19"/>
        <v>0.66682853539456077</v>
      </c>
      <c r="V96" s="951">
        <f t="shared" si="20"/>
        <v>0.48077218010962541</v>
      </c>
      <c r="W96" s="952">
        <f t="shared" si="21"/>
        <v>2.6497555762476591E-2</v>
      </c>
      <c r="X96" s="953">
        <f t="shared" si="22"/>
        <v>0.492730264127898</v>
      </c>
    </row>
    <row r="97" spans="1:24">
      <c r="A97" s="1147" t="s">
        <v>235</v>
      </c>
      <c r="B97" s="858" t="s">
        <v>236</v>
      </c>
      <c r="C97" s="1148" t="s">
        <v>275</v>
      </c>
      <c r="D97" s="1198">
        <f>'Eligibililty Staff LASER-2012'!D95+'Services Staff LASER 2012'!D95+'Other Exp. LASER 2012'!D95</f>
        <v>1621914.98</v>
      </c>
      <c r="E97" s="1199">
        <f>'Eligibililty Staff LASER-2012'!E95+'Services Staff LASER 2012'!E95+'Other Exp. LASER 2012'!E95</f>
        <v>707620.87</v>
      </c>
      <c r="F97" s="1199">
        <f>'Eligibililty Staff LASER-2012'!F95+'Services Staff LASER 2012'!F95+'Other Exp. LASER 2012'!F95</f>
        <v>702209.17</v>
      </c>
      <c r="G97" s="1200">
        <f>SUM('Benefits Spending Summary'!D97:F97)</f>
        <v>3031745.02</v>
      </c>
      <c r="H97" s="1198">
        <f>'Services for Clients LASER 2012'!D96</f>
        <v>227920.85999999996</v>
      </c>
      <c r="I97" s="1199">
        <f>'Services for Clients LASER 2012'!E96</f>
        <v>49580.94999999999</v>
      </c>
      <c r="J97" s="1199">
        <f>'Services for Clients LASER 2012'!F96</f>
        <v>46939.689999999988</v>
      </c>
      <c r="K97" s="1200">
        <f t="shared" si="14"/>
        <v>324441.49999999994</v>
      </c>
      <c r="L97" s="1198">
        <f>'Medicaid &amp; FAMIS - LASER 2012'!E95+'SNAP - LASER 2012'!E95+'SNAP - LASER 2012'!F95+'FC &amp; Adoptions LASER 2012'!D95+'LIHEAP LASER 2012'!E95+'TANF LASER 2012'!D95+'Other Benefits LASER 2012'!D96</f>
        <v>34145442.666900001</v>
      </c>
      <c r="M97" s="1199">
        <f>'Medicaid &amp; FAMIS - LASER 2012'!F95+'SNAP - LASER 2012'!G95+'FC &amp; Adoptions LASER 2012'!E95+'TANF LASER 2012'!E95+'Other Benefits LASER 2012'!E96</f>
        <v>23346713.353099998</v>
      </c>
      <c r="N97" s="1199">
        <f>'FC &amp; Adoptions LASER 2012'!F95+'TANF LASER 2012'!F95</f>
        <v>276654.93</v>
      </c>
      <c r="O97" s="1200">
        <f t="shared" si="15"/>
        <v>57768810.949999996</v>
      </c>
      <c r="Q97" s="951">
        <f t="shared" si="16"/>
        <v>0.53497737088721264</v>
      </c>
      <c r="R97" s="952">
        <f t="shared" si="17"/>
        <v>0.23340382035162047</v>
      </c>
      <c r="S97" s="952">
        <f t="shared" si="18"/>
        <v>0.23161880876116686</v>
      </c>
      <c r="T97" s="953">
        <f t="shared" si="19"/>
        <v>0.76838119123883319</v>
      </c>
      <c r="V97" s="951">
        <f t="shared" si="20"/>
        <v>0.6845453066614231</v>
      </c>
      <c r="W97" s="952">
        <f t="shared" si="21"/>
        <v>4.5758936024207893E-2</v>
      </c>
      <c r="X97" s="953">
        <f t="shared" si="22"/>
        <v>0.26969575731436907</v>
      </c>
    </row>
    <row r="98" spans="1:24">
      <c r="A98" s="1147" t="s">
        <v>237</v>
      </c>
      <c r="B98" s="858" t="s">
        <v>238</v>
      </c>
      <c r="C98" s="1148" t="s">
        <v>273</v>
      </c>
      <c r="D98" s="1198">
        <f>'Eligibililty Staff LASER-2012'!D96+'Services Staff LASER 2012'!D96+'Other Exp. LASER 2012'!D96</f>
        <v>813590.59</v>
      </c>
      <c r="E98" s="1199">
        <f>'Eligibililty Staff LASER-2012'!E96+'Services Staff LASER 2012'!E96+'Other Exp. LASER 2012'!E96</f>
        <v>322531.19</v>
      </c>
      <c r="F98" s="1199">
        <f>'Eligibililty Staff LASER-2012'!F96+'Services Staff LASER 2012'!F96+'Other Exp. LASER 2012'!F96</f>
        <v>615600.11</v>
      </c>
      <c r="G98" s="1200">
        <f>SUM('Benefits Spending Summary'!D98:F98)</f>
        <v>1751721.8900000001</v>
      </c>
      <c r="H98" s="1198">
        <f>'Services for Clients LASER 2012'!D97</f>
        <v>173256.38</v>
      </c>
      <c r="I98" s="1199">
        <f>'Services for Clients LASER 2012'!E97</f>
        <v>32740.600000000002</v>
      </c>
      <c r="J98" s="1199">
        <f>'Services for Clients LASER 2012'!F97</f>
        <v>15349.129999999997</v>
      </c>
      <c r="K98" s="1200">
        <f t="shared" si="14"/>
        <v>221346.11000000002</v>
      </c>
      <c r="L98" s="1198">
        <f>'Medicaid &amp; FAMIS - LASER 2012'!E96+'SNAP - LASER 2012'!E96+'SNAP - LASER 2012'!F96+'FC &amp; Adoptions LASER 2012'!D96+'LIHEAP LASER 2012'!E96+'TANF LASER 2012'!D96+'Other Benefits LASER 2012'!D97</f>
        <v>13665801.288099999</v>
      </c>
      <c r="M98" s="1199">
        <f>'Medicaid &amp; FAMIS - LASER 2012'!F96+'SNAP - LASER 2012'!G96+'FC &amp; Adoptions LASER 2012'!E96+'TANF LASER 2012'!E96+'Other Benefits LASER 2012'!E97</f>
        <v>8835086.9619000014</v>
      </c>
      <c r="N98" s="1199">
        <f>'FC &amp; Adoptions LASER 2012'!F96+'TANF LASER 2012'!F96</f>
        <v>314570.51999999996</v>
      </c>
      <c r="O98" s="1200">
        <f t="shared" si="15"/>
        <v>22815458.77</v>
      </c>
      <c r="Q98" s="951">
        <f t="shared" si="16"/>
        <v>0.46445191707914313</v>
      </c>
      <c r="R98" s="952">
        <f t="shared" si="17"/>
        <v>0.1841223723019183</v>
      </c>
      <c r="S98" s="952">
        <f t="shared" si="18"/>
        <v>0.35142571061893846</v>
      </c>
      <c r="T98" s="953">
        <f t="shared" si="19"/>
        <v>0.64857428938106143</v>
      </c>
      <c r="V98" s="951">
        <f t="shared" si="20"/>
        <v>0.65107059211538842</v>
      </c>
      <c r="W98" s="952">
        <f t="shared" si="21"/>
        <v>1.6233536991336912E-2</v>
      </c>
      <c r="X98" s="953">
        <f t="shared" si="22"/>
        <v>0.33269587089327457</v>
      </c>
    </row>
    <row r="99" spans="1:24">
      <c r="A99" s="1147" t="s">
        <v>243</v>
      </c>
      <c r="B99" s="858" t="s">
        <v>244</v>
      </c>
      <c r="C99" s="1148" t="s">
        <v>275</v>
      </c>
      <c r="D99" s="1198">
        <f>'Eligibililty Staff LASER-2012'!D97+'Services Staff LASER 2012'!D97+'Other Exp. LASER 2012'!D97</f>
        <v>2455879.6799999997</v>
      </c>
      <c r="E99" s="1199">
        <f>'Eligibililty Staff LASER-2012'!E97+'Services Staff LASER 2012'!E97+'Other Exp. LASER 2012'!E97</f>
        <v>1162516.74</v>
      </c>
      <c r="F99" s="1199">
        <f>'Eligibililty Staff LASER-2012'!F97+'Services Staff LASER 2012'!F97+'Other Exp. LASER 2012'!F97</f>
        <v>908224.97000000009</v>
      </c>
      <c r="G99" s="1200">
        <f>SUM('Benefits Spending Summary'!D99:F99)</f>
        <v>4526621.3899999997</v>
      </c>
      <c r="H99" s="1198">
        <f>'Services for Clients LASER 2012'!D98</f>
        <v>443169.38999999996</v>
      </c>
      <c r="I99" s="1199">
        <f>'Services for Clients LASER 2012'!E98</f>
        <v>133198.51</v>
      </c>
      <c r="J99" s="1199">
        <f>'Services for Clients LASER 2012'!F98</f>
        <v>98068.02</v>
      </c>
      <c r="K99" s="1200">
        <f t="shared" si="14"/>
        <v>674435.91999999993</v>
      </c>
      <c r="L99" s="1198">
        <f>'Medicaid &amp; FAMIS - LASER 2012'!E97+'SNAP - LASER 2012'!E97+'SNAP - LASER 2012'!F97+'FC &amp; Adoptions LASER 2012'!D97+'LIHEAP LASER 2012'!E97+'TANF LASER 2012'!D97+'Other Benefits LASER 2012'!D98</f>
        <v>43345250.393100008</v>
      </c>
      <c r="M99" s="1199">
        <f>'Medicaid &amp; FAMIS - LASER 2012'!F97+'SNAP - LASER 2012'!G97+'FC &amp; Adoptions LASER 2012'!E97+'TANF LASER 2012'!E97+'Other Benefits LASER 2012'!E98</f>
        <v>31082041.136900004</v>
      </c>
      <c r="N99" s="1199">
        <f>'FC &amp; Adoptions LASER 2012'!F97+'TANF LASER 2012'!F97</f>
        <v>456135.78</v>
      </c>
      <c r="O99" s="1200">
        <f t="shared" si="15"/>
        <v>74883427.310000017</v>
      </c>
      <c r="Q99" s="951">
        <f t="shared" si="16"/>
        <v>0.54254143839496149</v>
      </c>
      <c r="R99" s="952">
        <f t="shared" si="17"/>
        <v>0.25681775431189752</v>
      </c>
      <c r="S99" s="952">
        <f t="shared" si="18"/>
        <v>0.20064080729314102</v>
      </c>
      <c r="T99" s="953">
        <f t="shared" si="19"/>
        <v>0.79935919270685907</v>
      </c>
      <c r="V99" s="951">
        <f t="shared" si="20"/>
        <v>0.62103877373801941</v>
      </c>
      <c r="W99" s="952">
        <f t="shared" si="21"/>
        <v>6.7058322437133125E-2</v>
      </c>
      <c r="X99" s="953">
        <f t="shared" si="22"/>
        <v>0.31190290382484748</v>
      </c>
    </row>
    <row r="100" spans="1:24">
      <c r="A100" s="1147" t="s">
        <v>245</v>
      </c>
      <c r="B100" s="858" t="s">
        <v>246</v>
      </c>
      <c r="C100" s="1148" t="s">
        <v>275</v>
      </c>
      <c r="D100" s="1198">
        <f>'Eligibililty Staff LASER-2012'!D98+'Services Staff LASER 2012'!D98+'Other Exp. LASER 2012'!D98</f>
        <v>1291857.96</v>
      </c>
      <c r="E100" s="1199">
        <f>'Eligibililty Staff LASER-2012'!E98+'Services Staff LASER 2012'!E98+'Other Exp. LASER 2012'!E98</f>
        <v>531084.37</v>
      </c>
      <c r="F100" s="1199">
        <f>'Eligibililty Staff LASER-2012'!F98+'Services Staff LASER 2012'!F98+'Other Exp. LASER 2012'!F98</f>
        <v>621740.09999999986</v>
      </c>
      <c r="G100" s="1200">
        <f>SUM('Benefits Spending Summary'!D100:F100)</f>
        <v>2444682.4299999997</v>
      </c>
      <c r="H100" s="1198">
        <f>'Services for Clients LASER 2012'!D99</f>
        <v>232886.03999999998</v>
      </c>
      <c r="I100" s="1199">
        <f>'Services for Clients LASER 2012'!E99</f>
        <v>54121.66</v>
      </c>
      <c r="J100" s="1199">
        <f>'Services for Clients LASER 2012'!F99</f>
        <v>30208.639999999999</v>
      </c>
      <c r="K100" s="1200">
        <f t="shared" si="14"/>
        <v>317216.33999999997</v>
      </c>
      <c r="L100" s="1198">
        <f>'Medicaid &amp; FAMIS - LASER 2012'!E98+'SNAP - LASER 2012'!E98+'SNAP - LASER 2012'!F98+'FC &amp; Adoptions LASER 2012'!D98+'LIHEAP LASER 2012'!E98+'TANF LASER 2012'!D98+'Other Benefits LASER 2012'!D99</f>
        <v>22600301.026099995</v>
      </c>
      <c r="M100" s="1199">
        <f>'Medicaid &amp; FAMIS - LASER 2012'!F98+'SNAP - LASER 2012'!G98+'FC &amp; Adoptions LASER 2012'!E98+'TANF LASER 2012'!E98+'Other Benefits LASER 2012'!E99</f>
        <v>17391815.403899997</v>
      </c>
      <c r="N100" s="1199">
        <f>'FC &amp; Adoptions LASER 2012'!F98+'TANF LASER 2012'!F98</f>
        <v>678044.45</v>
      </c>
      <c r="O100" s="1200">
        <f t="shared" si="15"/>
        <v>40670160.879999995</v>
      </c>
      <c r="Q100" s="951">
        <f t="shared" si="16"/>
        <v>0.52843589995449847</v>
      </c>
      <c r="R100" s="952">
        <f t="shared" si="17"/>
        <v>0.21724063767251767</v>
      </c>
      <c r="S100" s="952">
        <f t="shared" si="18"/>
        <v>0.25432346237298392</v>
      </c>
      <c r="T100" s="953">
        <f t="shared" si="19"/>
        <v>0.74567653762701613</v>
      </c>
      <c r="V100" s="951">
        <f t="shared" si="20"/>
        <v>0.46747615301699391</v>
      </c>
      <c r="W100" s="952">
        <f t="shared" si="21"/>
        <v>2.271337945722865E-2</v>
      </c>
      <c r="X100" s="953">
        <f t="shared" si="22"/>
        <v>0.5098104675257773</v>
      </c>
    </row>
    <row r="101" spans="1:24">
      <c r="A101" s="1147" t="s">
        <v>247</v>
      </c>
      <c r="B101" s="858" t="s">
        <v>248</v>
      </c>
      <c r="C101" s="1148" t="s">
        <v>271</v>
      </c>
      <c r="D101" s="1198">
        <f>'Eligibililty Staff LASER-2012'!D99+'Services Staff LASER 2012'!D99+'Other Exp. LASER 2012'!D99</f>
        <v>1684988.14</v>
      </c>
      <c r="E101" s="1199">
        <f>'Eligibililty Staff LASER-2012'!E99+'Services Staff LASER 2012'!E99+'Other Exp. LASER 2012'!E99</f>
        <v>625631.06000000006</v>
      </c>
      <c r="F101" s="1199">
        <f>'Eligibililty Staff LASER-2012'!F99+'Services Staff LASER 2012'!F99+'Other Exp. LASER 2012'!F99</f>
        <v>1746758.2899999998</v>
      </c>
      <c r="G101" s="1200">
        <f>SUM('Benefits Spending Summary'!D101:F101)</f>
        <v>4057377.49</v>
      </c>
      <c r="H101" s="1198">
        <f>'Services for Clients LASER 2012'!D100</f>
        <v>370173.04</v>
      </c>
      <c r="I101" s="1199">
        <f>'Services for Clients LASER 2012'!E100</f>
        <v>67520.47</v>
      </c>
      <c r="J101" s="1199">
        <f>'Services for Clients LASER 2012'!F100</f>
        <v>38862.61</v>
      </c>
      <c r="K101" s="1200">
        <f t="shared" si="14"/>
        <v>476556.12</v>
      </c>
      <c r="L101" s="1198">
        <f>'Medicaid &amp; FAMIS - LASER 2012'!E99+'SNAP - LASER 2012'!E99+'SNAP - LASER 2012'!F99+'FC &amp; Adoptions LASER 2012'!D99+'LIHEAP LASER 2012'!E99+'TANF LASER 2012'!D99+'Other Benefits LASER 2012'!D100</f>
        <v>17309250.623800002</v>
      </c>
      <c r="M101" s="1199">
        <f>'Medicaid &amp; FAMIS - LASER 2012'!F99+'SNAP - LASER 2012'!G99+'FC &amp; Adoptions LASER 2012'!E99+'TANF LASER 2012'!E99+'Other Benefits LASER 2012'!E100</f>
        <v>12682943.436199998</v>
      </c>
      <c r="N101" s="1199">
        <f>'FC &amp; Adoptions LASER 2012'!F99+'TANF LASER 2012'!F99</f>
        <v>317625.39999999997</v>
      </c>
      <c r="O101" s="1200">
        <f t="shared" si="15"/>
        <v>30309819.460000001</v>
      </c>
      <c r="Q101" s="951">
        <f t="shared" si="16"/>
        <v>0.4152899611024361</v>
      </c>
      <c r="R101" s="952">
        <f t="shared" si="17"/>
        <v>0.15419592126736031</v>
      </c>
      <c r="S101" s="952">
        <f t="shared" si="18"/>
        <v>0.43051411763020347</v>
      </c>
      <c r="T101" s="953">
        <f t="shared" si="19"/>
        <v>0.56948588236979647</v>
      </c>
      <c r="V101" s="951">
        <f t="shared" si="20"/>
        <v>0.83050581855296735</v>
      </c>
      <c r="W101" s="952">
        <f t="shared" si="21"/>
        <v>1.8477441277324487E-2</v>
      </c>
      <c r="X101" s="953">
        <f t="shared" si="22"/>
        <v>0.15101674016970812</v>
      </c>
    </row>
    <row r="102" spans="1:24">
      <c r="A102" s="1147" t="s">
        <v>14</v>
      </c>
      <c r="B102" s="858" t="s">
        <v>15</v>
      </c>
      <c r="C102" s="1148" t="s">
        <v>274</v>
      </c>
      <c r="D102" s="1198">
        <f>'Eligibililty Staff LASER-2012'!D100+'Services Staff LASER 2012'!D100+'Other Exp. LASER 2012'!D100</f>
        <v>7023788.0199999996</v>
      </c>
      <c r="E102" s="1199">
        <f>'Eligibililty Staff LASER-2012'!E100+'Services Staff LASER 2012'!E100+'Other Exp. LASER 2012'!E100</f>
        <v>1992764.92</v>
      </c>
      <c r="F102" s="1199">
        <f>'Eligibililty Staff LASER-2012'!F100+'Services Staff LASER 2012'!F100+'Other Exp. LASER 2012'!F100</f>
        <v>9688216.120000001</v>
      </c>
      <c r="G102" s="1200">
        <f>SUM('Benefits Spending Summary'!D102:F102)</f>
        <v>18704769.060000002</v>
      </c>
      <c r="H102" s="1198">
        <f>'Services for Clients LASER 2012'!D101</f>
        <v>2357692.6300000004</v>
      </c>
      <c r="I102" s="1199">
        <f>'Services for Clients LASER 2012'!E101</f>
        <v>654960.92000000004</v>
      </c>
      <c r="J102" s="1199">
        <f>'Services for Clients LASER 2012'!F101</f>
        <v>597698.85</v>
      </c>
      <c r="K102" s="1200">
        <f t="shared" ref="K102:K126" si="23">SUM(H102:J102)</f>
        <v>3610352.4000000004</v>
      </c>
      <c r="L102" s="1198">
        <f>'Medicaid &amp; FAMIS - LASER 2012'!E100+'SNAP - LASER 2012'!E100+'SNAP - LASER 2012'!F100+'FC &amp; Adoptions LASER 2012'!D100+'LIHEAP LASER 2012'!E100+'TANF LASER 2012'!D100+'Other Benefits LASER 2012'!D101</f>
        <v>53290128.251500003</v>
      </c>
      <c r="M102" s="1199">
        <f>'Medicaid &amp; FAMIS - LASER 2012'!F100+'SNAP - LASER 2012'!G100+'FC &amp; Adoptions LASER 2012'!E100+'TANF LASER 2012'!E100+'Other Benefits LASER 2012'!E101</f>
        <v>44271995.048500001</v>
      </c>
      <c r="N102" s="1199">
        <f>'FC &amp; Adoptions LASER 2012'!F100+'TANF LASER 2012'!F100</f>
        <v>4750711.7700000005</v>
      </c>
      <c r="O102" s="1200">
        <f t="shared" ref="O102:O126" si="24">SUM(L102:N102)</f>
        <v>102312835.07000001</v>
      </c>
      <c r="Q102" s="951">
        <f t="shared" ref="Q102:Q126" si="25">D102/G102</f>
        <v>0.37550787168072092</v>
      </c>
      <c r="R102" s="952">
        <f t="shared" ref="R102:R126" si="26">E102/G102</f>
        <v>0.10653779865486346</v>
      </c>
      <c r="S102" s="952">
        <f t="shared" ref="S102:S126" si="27">F102/G102</f>
        <v>0.51795432966441557</v>
      </c>
      <c r="T102" s="953">
        <f t="shared" si="19"/>
        <v>0.48204567033558438</v>
      </c>
      <c r="V102" s="951">
        <f t="shared" si="20"/>
        <v>0.64430781501197254</v>
      </c>
      <c r="W102" s="952">
        <f t="shared" si="21"/>
        <v>3.9749530285939645E-2</v>
      </c>
      <c r="X102" s="953">
        <f t="shared" si="22"/>
        <v>0.31594265470208777</v>
      </c>
    </row>
    <row r="103" spans="1:24">
      <c r="A103" s="1147" t="s">
        <v>35</v>
      </c>
      <c r="B103" s="858" t="s">
        <v>36</v>
      </c>
      <c r="C103" s="1148" t="s">
        <v>275</v>
      </c>
      <c r="D103" s="1198">
        <f>'Eligibililty Staff LASER-2012'!D101+'Services Staff LASER 2012'!D101+'Other Exp. LASER 2012'!D101</f>
        <v>1236507.25</v>
      </c>
      <c r="E103" s="1199">
        <f>'Eligibililty Staff LASER-2012'!E101+'Services Staff LASER 2012'!E101+'Other Exp. LASER 2012'!E101</f>
        <v>605116.80000000005</v>
      </c>
      <c r="F103" s="1199">
        <f>'Eligibililty Staff LASER-2012'!F101+'Services Staff LASER 2012'!F101+'Other Exp. LASER 2012'!F101</f>
        <v>428014.01</v>
      </c>
      <c r="G103" s="1200">
        <f>SUM('Benefits Spending Summary'!D103:F103)</f>
        <v>2269638.06</v>
      </c>
      <c r="H103" s="1198">
        <f>'Services for Clients LASER 2012'!D102</f>
        <v>329845.15999999997</v>
      </c>
      <c r="I103" s="1199">
        <f>'Services for Clients LASER 2012'!E102</f>
        <v>103589.21</v>
      </c>
      <c r="J103" s="1199">
        <f>'Services for Clients LASER 2012'!F102</f>
        <v>47010.079999999994</v>
      </c>
      <c r="K103" s="1200">
        <f t="shared" si="23"/>
        <v>480444.45</v>
      </c>
      <c r="L103" s="1198">
        <f>'Medicaid &amp; FAMIS - LASER 2012'!E101+'SNAP - LASER 2012'!E101+'SNAP - LASER 2012'!F101+'FC &amp; Adoptions LASER 2012'!D101+'LIHEAP LASER 2012'!E101+'TANF LASER 2012'!D101+'Other Benefits LASER 2012'!D102</f>
        <v>19569974.2652</v>
      </c>
      <c r="M103" s="1199">
        <f>'Medicaid &amp; FAMIS - LASER 2012'!F101+'SNAP - LASER 2012'!G101+'FC &amp; Adoptions LASER 2012'!E101+'TANF LASER 2012'!E101+'Other Benefits LASER 2012'!E102</f>
        <v>13349062.874799998</v>
      </c>
      <c r="N103" s="1199">
        <f>'FC &amp; Adoptions LASER 2012'!F101+'TANF LASER 2012'!F101</f>
        <v>344641.25</v>
      </c>
      <c r="O103" s="1200">
        <f t="shared" si="24"/>
        <v>33263678.390000001</v>
      </c>
      <c r="Q103" s="951">
        <f t="shared" si="25"/>
        <v>0.54480371641282754</v>
      </c>
      <c r="R103" s="952">
        <f t="shared" si="26"/>
        <v>0.26661378775080996</v>
      </c>
      <c r="S103" s="952">
        <f t="shared" si="27"/>
        <v>0.18858249583636255</v>
      </c>
      <c r="T103" s="953">
        <f t="shared" si="19"/>
        <v>0.81141750416363745</v>
      </c>
      <c r="V103" s="951">
        <f t="shared" si="20"/>
        <v>0.52218141857748912</v>
      </c>
      <c r="W103" s="952">
        <f t="shared" si="21"/>
        <v>5.7352772779193019E-2</v>
      </c>
      <c r="X103" s="953">
        <f t="shared" si="22"/>
        <v>0.42046580864331773</v>
      </c>
    </row>
    <row r="104" spans="1:24">
      <c r="A104" s="1147" t="s">
        <v>53</v>
      </c>
      <c r="B104" s="858" t="s">
        <v>54</v>
      </c>
      <c r="C104" s="1148" t="s">
        <v>272</v>
      </c>
      <c r="D104" s="1198">
        <f>'Eligibililty Staff LASER-2012'!D102+'Services Staff LASER 2012'!D102+'Other Exp. LASER 2012'!D102</f>
        <v>3279131.24</v>
      </c>
      <c r="E104" s="1199">
        <f>'Eligibililty Staff LASER-2012'!E102+'Services Staff LASER 2012'!E102+'Other Exp. LASER 2012'!E102</f>
        <v>1077713.6099999999</v>
      </c>
      <c r="F104" s="1199">
        <f>'Eligibililty Staff LASER-2012'!F102+'Services Staff LASER 2012'!F102+'Other Exp. LASER 2012'!F102</f>
        <v>2826866.87</v>
      </c>
      <c r="G104" s="1200">
        <f>SUM('Benefits Spending Summary'!D104:F104)</f>
        <v>7183711.7199999997</v>
      </c>
      <c r="H104" s="1198">
        <f>'Services for Clients LASER 2012'!D103</f>
        <v>552205.79</v>
      </c>
      <c r="I104" s="1199">
        <f>'Services for Clients LASER 2012'!E103</f>
        <v>187046.13999999998</v>
      </c>
      <c r="J104" s="1199">
        <f>'Services for Clients LASER 2012'!F103</f>
        <v>88799.330000000016</v>
      </c>
      <c r="K104" s="1200">
        <f t="shared" si="23"/>
        <v>828051.26</v>
      </c>
      <c r="L104" s="1198">
        <f>'Medicaid &amp; FAMIS - LASER 2012'!E102+'SNAP - LASER 2012'!E102+'SNAP - LASER 2012'!F102+'FC &amp; Adoptions LASER 2012'!D102+'LIHEAP LASER 2012'!E102+'TANF LASER 2012'!D102+'Other Benefits LASER 2012'!D103</f>
        <v>33763916.214099996</v>
      </c>
      <c r="M104" s="1199">
        <f>'Medicaid &amp; FAMIS - LASER 2012'!F102+'SNAP - LASER 2012'!G102+'FC &amp; Adoptions LASER 2012'!E102+'TANF LASER 2012'!E102+'Other Benefits LASER 2012'!E103</f>
        <v>30915622.245899998</v>
      </c>
      <c r="N104" s="1199">
        <f>'FC &amp; Adoptions LASER 2012'!F102+'TANF LASER 2012'!F102</f>
        <v>2507499.46</v>
      </c>
      <c r="O104" s="1200">
        <f t="shared" si="24"/>
        <v>67187037.919999987</v>
      </c>
      <c r="Q104" s="951">
        <f t="shared" si="25"/>
        <v>0.45646754321594635</v>
      </c>
      <c r="R104" s="952">
        <f t="shared" si="26"/>
        <v>0.15002183439510292</v>
      </c>
      <c r="S104" s="952">
        <f t="shared" si="27"/>
        <v>0.39351062238895079</v>
      </c>
      <c r="T104" s="953">
        <f t="shared" si="19"/>
        <v>0.60648937761104915</v>
      </c>
      <c r="V104" s="951">
        <f t="shared" si="20"/>
        <v>0.52125770209276623</v>
      </c>
      <c r="W104" s="952">
        <f t="shared" si="21"/>
        <v>1.6374076612662429E-2</v>
      </c>
      <c r="X104" s="953">
        <f t="shared" si="22"/>
        <v>0.46236822129457134</v>
      </c>
    </row>
    <row r="105" spans="1:24">
      <c r="A105" s="1147" t="s">
        <v>55</v>
      </c>
      <c r="B105" s="858" t="s">
        <v>56</v>
      </c>
      <c r="C105" s="1148" t="s">
        <v>271</v>
      </c>
      <c r="D105" s="1198">
        <f>'Eligibililty Staff LASER-2012'!D103+'Services Staff LASER 2012'!D103+'Other Exp. LASER 2012'!D103</f>
        <v>6737618.370000001</v>
      </c>
      <c r="E105" s="1199">
        <f>'Eligibililty Staff LASER-2012'!E103+'Services Staff LASER 2012'!E103+'Other Exp. LASER 2012'!E103</f>
        <v>2394290.94</v>
      </c>
      <c r="F105" s="1199">
        <f>'Eligibililty Staff LASER-2012'!F103+'Services Staff LASER 2012'!F103+'Other Exp. LASER 2012'!F103</f>
        <v>5788015.6099999994</v>
      </c>
      <c r="G105" s="1200">
        <f>SUM('Benefits Spending Summary'!D105:F105)</f>
        <v>14919924.92</v>
      </c>
      <c r="H105" s="1198">
        <f>'Services for Clients LASER 2012'!D104</f>
        <v>2286042.5599999996</v>
      </c>
      <c r="I105" s="1199">
        <f>'Services for Clients LASER 2012'!E104</f>
        <v>841959.30000000016</v>
      </c>
      <c r="J105" s="1199">
        <f>'Services for Clients LASER 2012'!F104</f>
        <v>247386.31000000003</v>
      </c>
      <c r="K105" s="1200">
        <f t="shared" si="23"/>
        <v>3375388.17</v>
      </c>
      <c r="L105" s="1198">
        <f>'Medicaid &amp; FAMIS - LASER 2012'!E103+'SNAP - LASER 2012'!E103+'SNAP - LASER 2012'!F103+'FC &amp; Adoptions LASER 2012'!D103+'LIHEAP LASER 2012'!E103+'TANF LASER 2012'!D103+'Other Benefits LASER 2012'!D104</f>
        <v>109040321.5924</v>
      </c>
      <c r="M105" s="1199">
        <f>'Medicaid &amp; FAMIS - LASER 2012'!F103+'SNAP - LASER 2012'!G103+'FC &amp; Adoptions LASER 2012'!E103+'TANF LASER 2012'!E103+'Other Benefits LASER 2012'!E104</f>
        <v>72128834.557600006</v>
      </c>
      <c r="N105" s="1199">
        <f>'FC &amp; Adoptions LASER 2012'!F103+'TANF LASER 2012'!F103</f>
        <v>1207620.68</v>
      </c>
      <c r="O105" s="1200">
        <f t="shared" si="24"/>
        <v>182376776.83000001</v>
      </c>
      <c r="Q105" s="951">
        <f t="shared" si="25"/>
        <v>0.4515852731248195</v>
      </c>
      <c r="R105" s="952">
        <f t="shared" si="26"/>
        <v>0.16047607161819416</v>
      </c>
      <c r="S105" s="952">
        <f t="shared" si="27"/>
        <v>0.38793865525698634</v>
      </c>
      <c r="T105" s="953">
        <f t="shared" si="19"/>
        <v>0.61206134474301366</v>
      </c>
      <c r="V105" s="951">
        <f t="shared" si="20"/>
        <v>0.79911604997615227</v>
      </c>
      <c r="W105" s="952">
        <f t="shared" si="21"/>
        <v>3.4155120543183183E-2</v>
      </c>
      <c r="X105" s="953">
        <f t="shared" si="22"/>
        <v>0.16672882948066461</v>
      </c>
    </row>
    <row r="106" spans="1:24">
      <c r="A106" s="1147" t="s">
        <v>67</v>
      </c>
      <c r="B106" s="858" t="s">
        <v>68</v>
      </c>
      <c r="C106" s="1148" t="s">
        <v>272</v>
      </c>
      <c r="D106" s="1198">
        <f>'Eligibililty Staff LASER-2012'!D104+'Services Staff LASER 2012'!D104+'Other Exp. LASER 2012'!D104</f>
        <v>2586631.6700000004</v>
      </c>
      <c r="E106" s="1199">
        <f>'Eligibililty Staff LASER-2012'!E104+'Services Staff LASER 2012'!E104+'Other Exp. LASER 2012'!E104</f>
        <v>1219157.3199999998</v>
      </c>
      <c r="F106" s="1199">
        <f>'Eligibililty Staff LASER-2012'!F104+'Services Staff LASER 2012'!F104+'Other Exp. LASER 2012'!F104</f>
        <v>878426.13</v>
      </c>
      <c r="G106" s="1200">
        <f>SUM('Benefits Spending Summary'!D106:F106)</f>
        <v>4684215.12</v>
      </c>
      <c r="H106" s="1198">
        <f>'Services for Clients LASER 2012'!D105</f>
        <v>519174.29</v>
      </c>
      <c r="I106" s="1199">
        <f>'Services for Clients LASER 2012'!E105</f>
        <v>150074.31999999998</v>
      </c>
      <c r="J106" s="1199">
        <f>'Services for Clients LASER 2012'!F105</f>
        <v>68712.280000000013</v>
      </c>
      <c r="K106" s="1200">
        <f t="shared" si="23"/>
        <v>737960.89</v>
      </c>
      <c r="L106" s="1198">
        <f>'Medicaid &amp; FAMIS - LASER 2012'!E104+'SNAP - LASER 2012'!E104+'SNAP - LASER 2012'!F104+'FC &amp; Adoptions LASER 2012'!D104+'LIHEAP LASER 2012'!E104+'TANF LASER 2012'!D104+'Other Benefits LASER 2012'!D105</f>
        <v>63915637.064099997</v>
      </c>
      <c r="M106" s="1199">
        <f>'Medicaid &amp; FAMIS - LASER 2012'!F104+'SNAP - LASER 2012'!G104+'FC &amp; Adoptions LASER 2012'!E104+'TANF LASER 2012'!E104+'Other Benefits LASER 2012'!E105</f>
        <v>43832435.055900007</v>
      </c>
      <c r="N106" s="1199">
        <f>'FC &amp; Adoptions LASER 2012'!F104+'TANF LASER 2012'!F104</f>
        <v>733864.5</v>
      </c>
      <c r="O106" s="1200">
        <f t="shared" si="24"/>
        <v>108481936.62</v>
      </c>
      <c r="Q106" s="951">
        <f t="shared" si="25"/>
        <v>0.55220172509925214</v>
      </c>
      <c r="R106" s="952">
        <f t="shared" si="26"/>
        <v>0.26026928498535734</v>
      </c>
      <c r="S106" s="952">
        <f t="shared" si="27"/>
        <v>0.18752898991539055</v>
      </c>
      <c r="T106" s="953">
        <f t="shared" si="19"/>
        <v>0.81247101008460942</v>
      </c>
      <c r="V106" s="951">
        <f t="shared" si="20"/>
        <v>0.52256074321727375</v>
      </c>
      <c r="W106" s="952">
        <f t="shared" si="21"/>
        <v>4.0875765051471571E-2</v>
      </c>
      <c r="X106" s="953">
        <f t="shared" si="22"/>
        <v>0.43656349173125458</v>
      </c>
    </row>
    <row r="107" spans="1:24">
      <c r="A107" s="1147" t="s">
        <v>83</v>
      </c>
      <c r="B107" s="858" t="s">
        <v>333</v>
      </c>
      <c r="C107" s="1148" t="s">
        <v>271</v>
      </c>
      <c r="D107" s="1198">
        <f>'Eligibililty Staff LASER-2012'!D105+'Services Staff LASER 2012'!D105+'Other Exp. LASER 2012'!D105</f>
        <v>645573.07000000007</v>
      </c>
      <c r="E107" s="1199">
        <f>'Eligibililty Staff LASER-2012'!E105+'Services Staff LASER 2012'!E105+'Other Exp. LASER 2012'!E105</f>
        <v>271373.15999999997</v>
      </c>
      <c r="F107" s="1199">
        <f>'Eligibililty Staff LASER-2012'!F105+'Services Staff LASER 2012'!F105+'Other Exp. LASER 2012'!F105</f>
        <v>390993.08999999997</v>
      </c>
      <c r="G107" s="1200">
        <f>SUM('Benefits Spending Summary'!D107:F107)</f>
        <v>1307939.3199999998</v>
      </c>
      <c r="H107" s="1198">
        <f>'Services for Clients LASER 2012'!D106</f>
        <v>116876.95000000001</v>
      </c>
      <c r="I107" s="1199">
        <f>'Services for Clients LASER 2012'!E106</f>
        <v>18364.810000000001</v>
      </c>
      <c r="J107" s="1199">
        <f>'Services for Clients LASER 2012'!F106</f>
        <v>12738.149999999998</v>
      </c>
      <c r="K107" s="1200">
        <f t="shared" si="23"/>
        <v>147979.91</v>
      </c>
      <c r="L107" s="1198">
        <f>'Medicaid &amp; FAMIS - LASER 2012'!E105+'SNAP - LASER 2012'!E105+'SNAP - LASER 2012'!F105+'FC &amp; Adoptions LASER 2012'!D105+'LIHEAP LASER 2012'!E105+'TANF LASER 2012'!D105+'Other Benefits LASER 2012'!D106</f>
        <v>13920111.6391</v>
      </c>
      <c r="M107" s="1199">
        <f>'Medicaid &amp; FAMIS - LASER 2012'!F105+'SNAP - LASER 2012'!G105+'FC &amp; Adoptions LASER 2012'!E105+'TANF LASER 2012'!E105+'Other Benefits LASER 2012'!E106</f>
        <v>9320735.3109000027</v>
      </c>
      <c r="N107" s="1199">
        <f>'FC &amp; Adoptions LASER 2012'!F105+'TANF LASER 2012'!F105</f>
        <v>65118.799999999996</v>
      </c>
      <c r="O107" s="1200">
        <f t="shared" si="24"/>
        <v>23305965.750000004</v>
      </c>
      <c r="Q107" s="951">
        <f t="shared" si="25"/>
        <v>0.49358029086548155</v>
      </c>
      <c r="R107" s="952">
        <f t="shared" si="26"/>
        <v>0.20748146022554012</v>
      </c>
      <c r="S107" s="952">
        <f t="shared" si="27"/>
        <v>0.29893824890897847</v>
      </c>
      <c r="T107" s="953">
        <f t="shared" si="19"/>
        <v>0.70106175109102165</v>
      </c>
      <c r="V107" s="951">
        <f t="shared" si="20"/>
        <v>0.83394061350618631</v>
      </c>
      <c r="W107" s="952">
        <f t="shared" si="21"/>
        <v>2.7168921644967755E-2</v>
      </c>
      <c r="X107" s="953">
        <f t="shared" si="22"/>
        <v>0.1388904648488459</v>
      </c>
    </row>
    <row r="108" spans="1:24">
      <c r="A108" s="1147" t="s">
        <v>89</v>
      </c>
      <c r="B108" s="858" t="s">
        <v>90</v>
      </c>
      <c r="C108" s="1148" t="s">
        <v>274</v>
      </c>
      <c r="D108" s="1198">
        <f>'Eligibililty Staff LASER-2012'!D106+'Services Staff LASER 2012'!D106+'Other Exp. LASER 2012'!D106</f>
        <v>1207520.3999999999</v>
      </c>
      <c r="E108" s="1199">
        <f>'Eligibililty Staff LASER-2012'!E106+'Services Staff LASER 2012'!E106+'Other Exp. LASER 2012'!E106</f>
        <v>458735.51</v>
      </c>
      <c r="F108" s="1199">
        <f>'Eligibililty Staff LASER-2012'!F106+'Services Staff LASER 2012'!F106+'Other Exp. LASER 2012'!F106</f>
        <v>935863.9</v>
      </c>
      <c r="G108" s="1200">
        <f>SUM('Benefits Spending Summary'!D108:F108)</f>
        <v>2602119.81</v>
      </c>
      <c r="H108" s="1198">
        <f>'Services for Clients LASER 2012'!D107</f>
        <v>651458.78999999992</v>
      </c>
      <c r="I108" s="1199">
        <f>'Services for Clients LASER 2012'!E107</f>
        <v>236473.69999999998</v>
      </c>
      <c r="J108" s="1199">
        <f>'Services for Clients LASER 2012'!F107</f>
        <v>59832.960000000006</v>
      </c>
      <c r="K108" s="1200">
        <f t="shared" si="23"/>
        <v>947765.44999999984</v>
      </c>
      <c r="L108" s="1198">
        <f>'Medicaid &amp; FAMIS - LASER 2012'!E106+'SNAP - LASER 2012'!E106+'SNAP - LASER 2012'!F106+'FC &amp; Adoptions LASER 2012'!D106+'LIHEAP LASER 2012'!E106+'TANF LASER 2012'!D106+'Other Benefits LASER 2012'!D107</f>
        <v>21166588.687100001</v>
      </c>
      <c r="M108" s="1199">
        <f>'Medicaid &amp; FAMIS - LASER 2012'!F106+'SNAP - LASER 2012'!G106+'FC &amp; Adoptions LASER 2012'!E106+'TANF LASER 2012'!E106+'Other Benefits LASER 2012'!E107</f>
        <v>15170443.802900001</v>
      </c>
      <c r="N108" s="1199">
        <f>'FC &amp; Adoptions LASER 2012'!F106+'TANF LASER 2012'!F106</f>
        <v>525543.2699999999</v>
      </c>
      <c r="O108" s="1200">
        <f t="shared" si="24"/>
        <v>36862575.760000005</v>
      </c>
      <c r="Q108" s="951">
        <f t="shared" si="25"/>
        <v>0.46405257565753666</v>
      </c>
      <c r="R108" s="952">
        <f t="shared" si="26"/>
        <v>0.1762930008976028</v>
      </c>
      <c r="S108" s="952">
        <f t="shared" si="27"/>
        <v>0.35965442344486054</v>
      </c>
      <c r="T108" s="953">
        <f t="shared" si="19"/>
        <v>0.64034557655513946</v>
      </c>
      <c r="V108" s="951">
        <f t="shared" si="20"/>
        <v>0.61519800953449744</v>
      </c>
      <c r="W108" s="952">
        <f t="shared" si="21"/>
        <v>3.9331699723172575E-2</v>
      </c>
      <c r="X108" s="953">
        <f t="shared" si="22"/>
        <v>0.34547029074233004</v>
      </c>
    </row>
    <row r="109" spans="1:24">
      <c r="A109" s="1147" t="s">
        <v>91</v>
      </c>
      <c r="B109" s="858" t="s">
        <v>92</v>
      </c>
      <c r="C109" s="1148" t="s">
        <v>275</v>
      </c>
      <c r="D109" s="1198">
        <f>'Eligibililty Staff LASER-2012'!D107+'Services Staff LASER 2012'!D107+'Other Exp. LASER 2012'!D107</f>
        <v>452668.63999999996</v>
      </c>
      <c r="E109" s="1199">
        <f>'Eligibililty Staff LASER-2012'!E107+'Services Staff LASER 2012'!E107+'Other Exp. LASER 2012'!E107</f>
        <v>210264.1</v>
      </c>
      <c r="F109" s="1199">
        <f>'Eligibililty Staff LASER-2012'!F107+'Services Staff LASER 2012'!F107+'Other Exp. LASER 2012'!F107</f>
        <v>189002.90000000002</v>
      </c>
      <c r="G109" s="1200">
        <f>SUM('Benefits Spending Summary'!D109:F109)</f>
        <v>851935.64</v>
      </c>
      <c r="H109" s="1198">
        <f>'Services for Clients LASER 2012'!D108</f>
        <v>88551.349999999991</v>
      </c>
      <c r="I109" s="1199">
        <f>'Services for Clients LASER 2012'!E108</f>
        <v>33581.54</v>
      </c>
      <c r="J109" s="1199">
        <f>'Services for Clients LASER 2012'!F108</f>
        <v>14743.430000000002</v>
      </c>
      <c r="K109" s="1200">
        <f t="shared" si="23"/>
        <v>136876.31999999998</v>
      </c>
      <c r="L109" s="1198">
        <f>'Medicaid &amp; FAMIS - LASER 2012'!E107+'SNAP - LASER 2012'!E107+'SNAP - LASER 2012'!F107+'FC &amp; Adoptions LASER 2012'!D107+'LIHEAP LASER 2012'!E107+'TANF LASER 2012'!D107+'Other Benefits LASER 2012'!D108</f>
        <v>9304831.9158999976</v>
      </c>
      <c r="M109" s="1199">
        <f>'Medicaid &amp; FAMIS - LASER 2012'!F107+'SNAP - LASER 2012'!G107+'FC &amp; Adoptions LASER 2012'!E107+'TANF LASER 2012'!E107+'Other Benefits LASER 2012'!E108</f>
        <v>6464601.2040999997</v>
      </c>
      <c r="N109" s="1199">
        <f>'FC &amp; Adoptions LASER 2012'!F107+'TANF LASER 2012'!F107</f>
        <v>93972.3</v>
      </c>
      <c r="O109" s="1200">
        <f t="shared" si="24"/>
        <v>15863405.419999998</v>
      </c>
      <c r="Q109" s="951">
        <f t="shared" si="25"/>
        <v>0.53134135813357919</v>
      </c>
      <c r="R109" s="952">
        <f t="shared" si="26"/>
        <v>0.24680749358014886</v>
      </c>
      <c r="S109" s="952">
        <f t="shared" si="27"/>
        <v>0.22185114828627198</v>
      </c>
      <c r="T109" s="953">
        <f t="shared" si="19"/>
        <v>0.77814885171372805</v>
      </c>
      <c r="V109" s="951">
        <f t="shared" si="20"/>
        <v>0.63483732946104188</v>
      </c>
      <c r="W109" s="952">
        <f t="shared" si="21"/>
        <v>4.9521355113047519E-2</v>
      </c>
      <c r="X109" s="953">
        <f t="shared" si="22"/>
        <v>0.31564131542591073</v>
      </c>
    </row>
    <row r="110" spans="1:24">
      <c r="A110" s="1147" t="s">
        <v>107</v>
      </c>
      <c r="B110" s="858" t="s">
        <v>108</v>
      </c>
      <c r="C110" s="1148" t="s">
        <v>271</v>
      </c>
      <c r="D110" s="1198">
        <f>'Eligibililty Staff LASER-2012'!D108+'Services Staff LASER 2012'!D108+'Other Exp. LASER 2012'!D108</f>
        <v>5862096.1900000004</v>
      </c>
      <c r="E110" s="1199">
        <f>'Eligibililty Staff LASER-2012'!E108+'Services Staff LASER 2012'!E108+'Other Exp. LASER 2012'!E108</f>
        <v>2663525.59</v>
      </c>
      <c r="F110" s="1199">
        <f>'Eligibililty Staff LASER-2012'!F108+'Services Staff LASER 2012'!F108+'Other Exp. LASER 2012'!F108</f>
        <v>2351574.9699999997</v>
      </c>
      <c r="G110" s="1200">
        <f>SUM('Benefits Spending Summary'!D110:F110)</f>
        <v>10877196.75</v>
      </c>
      <c r="H110" s="1198">
        <f>'Services for Clients LASER 2012'!D109</f>
        <v>1779666.43</v>
      </c>
      <c r="I110" s="1199">
        <f>'Services for Clients LASER 2012'!E109</f>
        <v>712523.05</v>
      </c>
      <c r="J110" s="1199">
        <f>'Services for Clients LASER 2012'!F109</f>
        <v>259299.19999999998</v>
      </c>
      <c r="K110" s="1200">
        <f t="shared" si="23"/>
        <v>2751488.68</v>
      </c>
      <c r="L110" s="1198">
        <f>'Medicaid &amp; FAMIS - LASER 2012'!E108+'SNAP - LASER 2012'!E108+'SNAP - LASER 2012'!F108+'FC &amp; Adoptions LASER 2012'!D108+'LIHEAP LASER 2012'!E108+'TANF LASER 2012'!D108+'Other Benefits LASER 2012'!D109</f>
        <v>107996871.0766</v>
      </c>
      <c r="M110" s="1199">
        <f>'Medicaid &amp; FAMIS - LASER 2012'!F108+'SNAP - LASER 2012'!G108+'FC &amp; Adoptions LASER 2012'!E108+'TANF LASER 2012'!E108+'Other Benefits LASER 2012'!E109</f>
        <v>77127049.013399988</v>
      </c>
      <c r="N110" s="1199">
        <f>'FC &amp; Adoptions LASER 2012'!F108+'TANF LASER 2012'!F108</f>
        <v>1691959.91</v>
      </c>
      <c r="O110" s="1200">
        <f t="shared" si="24"/>
        <v>186815879.99999997</v>
      </c>
      <c r="Q110" s="951">
        <f t="shared" si="25"/>
        <v>0.53893446305455495</v>
      </c>
      <c r="R110" s="952">
        <f t="shared" si="26"/>
        <v>0.24487242910265458</v>
      </c>
      <c r="S110" s="952">
        <f t="shared" si="27"/>
        <v>0.21619310784279044</v>
      </c>
      <c r="T110" s="953">
        <f t="shared" si="19"/>
        <v>0.78380689215720967</v>
      </c>
      <c r="V110" s="951">
        <f t="shared" si="20"/>
        <v>0.54651769654106663</v>
      </c>
      <c r="W110" s="952">
        <f t="shared" si="21"/>
        <v>6.0262421273748014E-2</v>
      </c>
      <c r="X110" s="953">
        <f t="shared" si="22"/>
        <v>0.39321988218518522</v>
      </c>
    </row>
    <row r="111" spans="1:24">
      <c r="A111" s="1147" t="s">
        <v>117</v>
      </c>
      <c r="B111" s="858" t="s">
        <v>118</v>
      </c>
      <c r="C111" s="1148" t="s">
        <v>273</v>
      </c>
      <c r="D111" s="1198">
        <f>'Eligibililty Staff LASER-2012'!D109+'Services Staff LASER 2012'!D109+'Other Exp. LASER 2012'!D109</f>
        <v>1495884.61</v>
      </c>
      <c r="E111" s="1199">
        <f>'Eligibililty Staff LASER-2012'!E109+'Services Staff LASER 2012'!E109+'Other Exp. LASER 2012'!E109</f>
        <v>687370.08000000007</v>
      </c>
      <c r="F111" s="1199">
        <f>'Eligibililty Staff LASER-2012'!F109+'Services Staff LASER 2012'!F109+'Other Exp. LASER 2012'!F109</f>
        <v>577536.79</v>
      </c>
      <c r="G111" s="1200">
        <f>SUM('Benefits Spending Summary'!D111:F111)</f>
        <v>2760791.4800000004</v>
      </c>
      <c r="H111" s="1198">
        <f>'Services for Clients LASER 2012'!D110</f>
        <v>414448.03</v>
      </c>
      <c r="I111" s="1199">
        <f>'Services for Clients LASER 2012'!E110</f>
        <v>133390.26000000004</v>
      </c>
      <c r="J111" s="1199">
        <f>'Services for Clients LASER 2012'!F110</f>
        <v>41799.82</v>
      </c>
      <c r="K111" s="1200">
        <f t="shared" si="23"/>
        <v>589638.11</v>
      </c>
      <c r="L111" s="1198">
        <f>'Medicaid &amp; FAMIS - LASER 2012'!E109+'SNAP - LASER 2012'!E109+'SNAP - LASER 2012'!F109+'FC &amp; Adoptions LASER 2012'!D109+'LIHEAP LASER 2012'!E109+'TANF LASER 2012'!D109+'Other Benefits LASER 2012'!D110</f>
        <v>29131274.511200003</v>
      </c>
      <c r="M111" s="1199">
        <f>'Medicaid &amp; FAMIS - LASER 2012'!F109+'SNAP - LASER 2012'!G109+'FC &amp; Adoptions LASER 2012'!E109+'TANF LASER 2012'!E109+'Other Benefits LASER 2012'!E110</f>
        <v>19915653.768800002</v>
      </c>
      <c r="N111" s="1199">
        <f>'FC &amp; Adoptions LASER 2012'!F109+'TANF LASER 2012'!F109</f>
        <v>817583.58</v>
      </c>
      <c r="O111" s="1200">
        <f t="shared" si="24"/>
        <v>49864511.859999999</v>
      </c>
      <c r="Q111" s="951">
        <f t="shared" si="25"/>
        <v>0.54183179745251886</v>
      </c>
      <c r="R111" s="952">
        <f t="shared" si="26"/>
        <v>0.24897573213316349</v>
      </c>
      <c r="S111" s="952">
        <f t="shared" si="27"/>
        <v>0.20919247041431754</v>
      </c>
      <c r="T111" s="953">
        <f t="shared" si="19"/>
        <v>0.79080752958568246</v>
      </c>
      <c r="V111" s="951">
        <f t="shared" si="20"/>
        <v>0.40192683909605309</v>
      </c>
      <c r="W111" s="952">
        <f t="shared" si="21"/>
        <v>2.9089868936979724E-2</v>
      </c>
      <c r="X111" s="953">
        <f t="shared" si="22"/>
        <v>0.56898329196696718</v>
      </c>
    </row>
    <row r="112" spans="1:24">
      <c r="A112" s="1147" t="s">
        <v>139</v>
      </c>
      <c r="B112" s="858" t="s">
        <v>140</v>
      </c>
      <c r="C112" s="1148" t="s">
        <v>272</v>
      </c>
      <c r="D112" s="1198">
        <f>'Eligibililty Staff LASER-2012'!D110+'Services Staff LASER 2012'!D110+'Other Exp. LASER 2012'!D110</f>
        <v>4020412.49</v>
      </c>
      <c r="E112" s="1199">
        <f>'Eligibililty Staff LASER-2012'!E110+'Services Staff LASER 2012'!E110+'Other Exp. LASER 2012'!E110</f>
        <v>1604940.44</v>
      </c>
      <c r="F112" s="1199">
        <f>'Eligibililty Staff LASER-2012'!F110+'Services Staff LASER 2012'!F110+'Other Exp. LASER 2012'!F110</f>
        <v>1930846.9500000002</v>
      </c>
      <c r="G112" s="1200">
        <f>SUM('Benefits Spending Summary'!D112:F112)</f>
        <v>7556199.8799999999</v>
      </c>
      <c r="H112" s="1198">
        <f>'Services for Clients LASER 2012'!D111</f>
        <v>671315.86</v>
      </c>
      <c r="I112" s="1199">
        <f>'Services for Clients LASER 2012'!E111</f>
        <v>267927.75</v>
      </c>
      <c r="J112" s="1199">
        <f>'Services for Clients LASER 2012'!F111</f>
        <v>94480.930000000008</v>
      </c>
      <c r="K112" s="1200">
        <f t="shared" si="23"/>
        <v>1033724.54</v>
      </c>
      <c r="L112" s="1198">
        <f>'Medicaid &amp; FAMIS - LASER 2012'!E110+'SNAP - LASER 2012'!E110+'SNAP - LASER 2012'!F110+'FC &amp; Adoptions LASER 2012'!D110+'LIHEAP LASER 2012'!E110+'TANF LASER 2012'!D110+'Other Benefits LASER 2012'!D111</f>
        <v>73831147.386500016</v>
      </c>
      <c r="M112" s="1199">
        <f>'Medicaid &amp; FAMIS - LASER 2012'!F110+'SNAP - LASER 2012'!G110+'FC &amp; Adoptions LASER 2012'!E110+'TANF LASER 2012'!E110+'Other Benefits LASER 2012'!E111</f>
        <v>55245877.7535</v>
      </c>
      <c r="N112" s="1199">
        <f>'FC &amp; Adoptions LASER 2012'!F110+'TANF LASER 2012'!F110</f>
        <v>1136501.4099999999</v>
      </c>
      <c r="O112" s="1200">
        <f t="shared" si="24"/>
        <v>130213526.55000001</v>
      </c>
      <c r="Q112" s="951">
        <f t="shared" si="25"/>
        <v>0.53206804397027152</v>
      </c>
      <c r="R112" s="952">
        <f t="shared" si="26"/>
        <v>0.21240047450941701</v>
      </c>
      <c r="S112" s="952">
        <f t="shared" si="27"/>
        <v>0.25553148152031152</v>
      </c>
      <c r="T112" s="953">
        <f t="shared" si="19"/>
        <v>0.74446851847968842</v>
      </c>
      <c r="V112" s="951">
        <f t="shared" si="20"/>
        <v>0.61067400321286802</v>
      </c>
      <c r="W112" s="952">
        <f t="shared" si="21"/>
        <v>2.9881730268872298E-2</v>
      </c>
      <c r="X112" s="953">
        <f t="shared" si="22"/>
        <v>0.35944426651825973</v>
      </c>
    </row>
    <row r="113" spans="1:24">
      <c r="A113" s="1147" t="s">
        <v>143</v>
      </c>
      <c r="B113" s="858" t="s">
        <v>144</v>
      </c>
      <c r="C113" s="1148" t="s">
        <v>274</v>
      </c>
      <c r="D113" s="1198">
        <f>'Eligibililty Staff LASER-2012'!D111+'Services Staff LASER 2012'!D111+'Other Exp. LASER 2012'!D111</f>
        <v>1039429.54</v>
      </c>
      <c r="E113" s="1199">
        <f>'Eligibililty Staff LASER-2012'!E111+'Services Staff LASER 2012'!E111+'Other Exp. LASER 2012'!E111</f>
        <v>345384.67</v>
      </c>
      <c r="F113" s="1199">
        <f>'Eligibililty Staff LASER-2012'!F111+'Services Staff LASER 2012'!F111+'Other Exp. LASER 2012'!F111</f>
        <v>1020179.2699999999</v>
      </c>
      <c r="G113" s="1200">
        <f>SUM('Benefits Spending Summary'!D113:F113)</f>
        <v>2404993.48</v>
      </c>
      <c r="H113" s="1198">
        <f>'Services for Clients LASER 2012'!D112</f>
        <v>522286.41000000003</v>
      </c>
      <c r="I113" s="1199">
        <f>'Services for Clients LASER 2012'!E112</f>
        <v>201876.58</v>
      </c>
      <c r="J113" s="1199">
        <f>'Services for Clients LASER 2012'!F112</f>
        <v>48611.209999999992</v>
      </c>
      <c r="K113" s="1200">
        <f t="shared" si="23"/>
        <v>772774.2</v>
      </c>
      <c r="L113" s="1198">
        <f>'Medicaid &amp; FAMIS - LASER 2012'!E111+'SNAP - LASER 2012'!E111+'SNAP - LASER 2012'!F111+'FC &amp; Adoptions LASER 2012'!D111+'LIHEAP LASER 2012'!E111+'TANF LASER 2012'!D111+'Other Benefits LASER 2012'!D112</f>
        <v>19047635.762299996</v>
      </c>
      <c r="M113" s="1199">
        <f>'Medicaid &amp; FAMIS - LASER 2012'!F111+'SNAP - LASER 2012'!G111+'FC &amp; Adoptions LASER 2012'!E111+'TANF LASER 2012'!E111+'Other Benefits LASER 2012'!E112</f>
        <v>12268501.147699999</v>
      </c>
      <c r="N113" s="1199">
        <f>'FC &amp; Adoptions LASER 2012'!F111+'TANF LASER 2012'!F111</f>
        <v>400937.64</v>
      </c>
      <c r="O113" s="1200">
        <f t="shared" si="24"/>
        <v>31717074.549999997</v>
      </c>
      <c r="Q113" s="951">
        <f t="shared" si="25"/>
        <v>0.43219640661978015</v>
      </c>
      <c r="R113" s="952">
        <f t="shared" si="26"/>
        <v>0.14361147873049535</v>
      </c>
      <c r="S113" s="952">
        <f t="shared" si="27"/>
        <v>0.42419211464972451</v>
      </c>
      <c r="T113" s="953">
        <f t="shared" si="19"/>
        <v>0.57580788535027549</v>
      </c>
      <c r="V113" s="951">
        <f t="shared" si="20"/>
        <v>0.69412788400619285</v>
      </c>
      <c r="W113" s="952">
        <f t="shared" si="21"/>
        <v>3.3074967634149903E-2</v>
      </c>
      <c r="X113" s="953">
        <f t="shared" si="22"/>
        <v>0.27279714835965713</v>
      </c>
    </row>
    <row r="114" spans="1:24">
      <c r="A114" s="1147" t="s">
        <v>145</v>
      </c>
      <c r="B114" s="858" t="s">
        <v>146</v>
      </c>
      <c r="C114" s="1148" t="s">
        <v>274</v>
      </c>
      <c r="D114" s="1198">
        <f>'Eligibililty Staff LASER-2012'!D112+'Services Staff LASER 2012'!D112+'Other Exp. LASER 2012'!D112</f>
        <v>417947.21</v>
      </c>
      <c r="E114" s="1199">
        <f>'Eligibililty Staff LASER-2012'!E112+'Services Staff LASER 2012'!E112+'Other Exp. LASER 2012'!E112</f>
        <v>160805.45000000001</v>
      </c>
      <c r="F114" s="1199">
        <f>'Eligibililty Staff LASER-2012'!F112+'Services Staff LASER 2012'!F112+'Other Exp. LASER 2012'!F112</f>
        <v>397243.48000000004</v>
      </c>
      <c r="G114" s="1200">
        <f>SUM('Benefits Spending Summary'!D114:F114)</f>
        <v>975996.14000000013</v>
      </c>
      <c r="H114" s="1198">
        <f>'Services for Clients LASER 2012'!D113</f>
        <v>133710.24</v>
      </c>
      <c r="I114" s="1199">
        <f>'Services for Clients LASER 2012'!E113</f>
        <v>32290.980000000003</v>
      </c>
      <c r="J114" s="1199">
        <f>'Services for Clients LASER 2012'!F113</f>
        <v>13240.76</v>
      </c>
      <c r="K114" s="1200">
        <f t="shared" si="23"/>
        <v>179241.98</v>
      </c>
      <c r="L114" s="1198">
        <f>'Medicaid &amp; FAMIS - LASER 2012'!E112+'SNAP - LASER 2012'!E112+'SNAP - LASER 2012'!F112+'FC &amp; Adoptions LASER 2012'!D112+'LIHEAP LASER 2012'!E112+'TANF LASER 2012'!D112+'Other Benefits LASER 2012'!D113</f>
        <v>6260471.3575999998</v>
      </c>
      <c r="M114" s="1199">
        <f>'Medicaid &amp; FAMIS - LASER 2012'!F112+'SNAP - LASER 2012'!G112+'FC &amp; Adoptions LASER 2012'!E112+'TANF LASER 2012'!E112+'Other Benefits LASER 2012'!E113</f>
        <v>4738255.3623999991</v>
      </c>
      <c r="N114" s="1199">
        <f>'FC &amp; Adoptions LASER 2012'!F112+'TANF LASER 2012'!F112</f>
        <v>353807.85</v>
      </c>
      <c r="O114" s="1200">
        <f t="shared" si="24"/>
        <v>11352534.569999998</v>
      </c>
      <c r="Q114" s="951">
        <f t="shared" si="25"/>
        <v>0.42822629400972834</v>
      </c>
      <c r="R114" s="952">
        <f t="shared" si="26"/>
        <v>0.16476033399066517</v>
      </c>
      <c r="S114" s="952">
        <f t="shared" si="27"/>
        <v>0.40701337199960647</v>
      </c>
      <c r="T114" s="953">
        <f t="shared" si="19"/>
        <v>0.59298662800039348</v>
      </c>
      <c r="V114" s="951">
        <f t="shared" si="20"/>
        <v>0.51975348848631941</v>
      </c>
      <c r="W114" s="952">
        <f t="shared" si="21"/>
        <v>1.7324214358937037E-2</v>
      </c>
      <c r="X114" s="953">
        <f t="shared" si="22"/>
        <v>0.46292229715474348</v>
      </c>
    </row>
    <row r="115" spans="1:24">
      <c r="A115" s="1147" t="s">
        <v>159</v>
      </c>
      <c r="B115" s="858" t="s">
        <v>160</v>
      </c>
      <c r="C115" s="1148" t="s">
        <v>271</v>
      </c>
      <c r="D115" s="1198">
        <f>'Eligibililty Staff LASER-2012'!D113+'Services Staff LASER 2012'!D113+'Other Exp. LASER 2012'!D113</f>
        <v>10324082.380000001</v>
      </c>
      <c r="E115" s="1199">
        <f>'Eligibililty Staff LASER-2012'!E113+'Services Staff LASER 2012'!E113+'Other Exp. LASER 2012'!E113</f>
        <v>4342079.9499999993</v>
      </c>
      <c r="F115" s="1199">
        <f>'Eligibililty Staff LASER-2012'!F113+'Services Staff LASER 2012'!F113+'Other Exp. LASER 2012'!F113</f>
        <v>7934728.21</v>
      </c>
      <c r="G115" s="1200">
        <f>SUM('Benefits Spending Summary'!D115:F115)</f>
        <v>22600890.539999999</v>
      </c>
      <c r="H115" s="1198">
        <f>'Services for Clients LASER 2012'!D114</f>
        <v>3324837.3600000003</v>
      </c>
      <c r="I115" s="1199">
        <f>'Services for Clients LASER 2012'!E114</f>
        <v>1390476.66</v>
      </c>
      <c r="J115" s="1199">
        <f>'Services for Clients LASER 2012'!F114</f>
        <v>388359.90000000008</v>
      </c>
      <c r="K115" s="1200">
        <f t="shared" si="23"/>
        <v>5103673.9200000009</v>
      </c>
      <c r="L115" s="1198">
        <f>'Medicaid &amp; FAMIS - LASER 2012'!E113+'SNAP - LASER 2012'!E113+'SNAP - LASER 2012'!F113+'FC &amp; Adoptions LASER 2012'!D113+'LIHEAP LASER 2012'!E113+'TANF LASER 2012'!D113+'Other Benefits LASER 2012'!D114</f>
        <v>156558954.94370002</v>
      </c>
      <c r="M115" s="1199">
        <f>'Medicaid &amp; FAMIS - LASER 2012'!F113+'SNAP - LASER 2012'!G113+'FC &amp; Adoptions LASER 2012'!E113+'TANF LASER 2012'!E113+'Other Benefits LASER 2012'!E114</f>
        <v>100445156.76630001</v>
      </c>
      <c r="N115" s="1199">
        <f>'FC &amp; Adoptions LASER 2012'!F113+'TANF LASER 2012'!F113</f>
        <v>1643400.01</v>
      </c>
      <c r="O115" s="1200">
        <f t="shared" si="24"/>
        <v>258647511.72000003</v>
      </c>
      <c r="Q115" s="951">
        <f t="shared" si="25"/>
        <v>0.4567998044912438</v>
      </c>
      <c r="R115" s="952">
        <f t="shared" si="26"/>
        <v>0.19211986104331619</v>
      </c>
      <c r="S115" s="952">
        <f t="shared" si="27"/>
        <v>0.35108033446544007</v>
      </c>
      <c r="T115" s="953">
        <f t="shared" si="19"/>
        <v>0.64891966553455993</v>
      </c>
      <c r="V115" s="951">
        <f t="shared" si="20"/>
        <v>0.79614083862470897</v>
      </c>
      <c r="W115" s="952">
        <f t="shared" si="21"/>
        <v>3.8966574316249732E-2</v>
      </c>
      <c r="X115" s="953">
        <f t="shared" si="22"/>
        <v>0.1648925870590412</v>
      </c>
    </row>
    <row r="116" spans="1:24">
      <c r="A116" s="1147" t="s">
        <v>161</v>
      </c>
      <c r="B116" s="858" t="s">
        <v>162</v>
      </c>
      <c r="C116" s="1148" t="s">
        <v>271</v>
      </c>
      <c r="D116" s="1198">
        <f>'Eligibililty Staff LASER-2012'!D114+'Services Staff LASER 2012'!D114+'Other Exp. LASER 2012'!D114</f>
        <v>15252347.309999999</v>
      </c>
      <c r="E116" s="1199">
        <f>'Eligibililty Staff LASER-2012'!E114+'Services Staff LASER 2012'!E114+'Other Exp. LASER 2012'!E114</f>
        <v>6766126.8300000001</v>
      </c>
      <c r="F116" s="1199">
        <f>'Eligibililty Staff LASER-2012'!F114+'Services Staff LASER 2012'!F114+'Other Exp. LASER 2012'!F114</f>
        <v>7060875.3099999996</v>
      </c>
      <c r="G116" s="1200">
        <f>SUM('Benefits Spending Summary'!D116:F116)</f>
        <v>29079349.449999999</v>
      </c>
      <c r="H116" s="1198">
        <f>'Services for Clients LASER 2012'!D115</f>
        <v>4213296.41</v>
      </c>
      <c r="I116" s="1199">
        <f>'Services for Clients LASER 2012'!E115</f>
        <v>1320018.83</v>
      </c>
      <c r="J116" s="1199">
        <f>'Services for Clients LASER 2012'!F115</f>
        <v>364292.77000000008</v>
      </c>
      <c r="K116" s="1200">
        <f t="shared" si="23"/>
        <v>5897608.0100000007</v>
      </c>
      <c r="L116" s="1198">
        <f>'Medicaid &amp; FAMIS - LASER 2012'!E114+'SNAP - LASER 2012'!E114+'SNAP - LASER 2012'!F114+'FC &amp; Adoptions LASER 2012'!D114+'LIHEAP LASER 2012'!E114+'TANF LASER 2012'!D114+'Other Benefits LASER 2012'!D115</f>
        <v>222623213.16070002</v>
      </c>
      <c r="M116" s="1199">
        <f>'Medicaid &amp; FAMIS - LASER 2012'!F114+'SNAP - LASER 2012'!G114+'FC &amp; Adoptions LASER 2012'!E114+'TANF LASER 2012'!E114+'Other Benefits LASER 2012'!E115</f>
        <v>145375230.70930001</v>
      </c>
      <c r="N116" s="1199">
        <f>'FC &amp; Adoptions LASER 2012'!F114+'TANF LASER 2012'!F114</f>
        <v>2223010.4500000002</v>
      </c>
      <c r="O116" s="1200">
        <f t="shared" si="24"/>
        <v>370221454.31999999</v>
      </c>
      <c r="Q116" s="951">
        <f t="shared" si="25"/>
        <v>0.52450785861717408</v>
      </c>
      <c r="R116" s="952">
        <f t="shared" si="26"/>
        <v>0.23267806735614577</v>
      </c>
      <c r="S116" s="952">
        <f t="shared" si="27"/>
        <v>0.24281407402668012</v>
      </c>
      <c r="T116" s="953">
        <f t="shared" si="19"/>
        <v>0.75718592597331991</v>
      </c>
      <c r="V116" s="951">
        <f t="shared" si="20"/>
        <v>0.73183505964830009</v>
      </c>
      <c r="W116" s="952">
        <f t="shared" si="21"/>
        <v>3.7757673001931905E-2</v>
      </c>
      <c r="X116" s="953">
        <f t="shared" si="22"/>
        <v>0.23040726734976782</v>
      </c>
    </row>
    <row r="117" spans="1:24">
      <c r="A117" s="1147" t="s">
        <v>167</v>
      </c>
      <c r="B117" s="858" t="s">
        <v>168</v>
      </c>
      <c r="C117" s="1148" t="s">
        <v>275</v>
      </c>
      <c r="D117" s="1198">
        <f>'Eligibililty Staff LASER-2012'!D115+'Services Staff LASER 2012'!D115+'Other Exp. LASER 2012'!D115</f>
        <v>385454.43999999994</v>
      </c>
      <c r="E117" s="1199">
        <f>'Eligibililty Staff LASER-2012'!E115+'Services Staff LASER 2012'!E115+'Other Exp. LASER 2012'!E115</f>
        <v>169768.80000000002</v>
      </c>
      <c r="F117" s="1199">
        <f>'Eligibililty Staff LASER-2012'!F115+'Services Staff LASER 2012'!F115+'Other Exp. LASER 2012'!F115</f>
        <v>275518.39</v>
      </c>
      <c r="G117" s="1200">
        <f>SUM('Benefits Spending Summary'!D117:F117)</f>
        <v>830741.63</v>
      </c>
      <c r="H117" s="1198">
        <f>'Services for Clients LASER 2012'!D116</f>
        <v>40892.630000000005</v>
      </c>
      <c r="I117" s="1199">
        <f>'Services for Clients LASER 2012'!E116</f>
        <v>12736.1</v>
      </c>
      <c r="J117" s="1199">
        <f>'Services for Clients LASER 2012'!F116</f>
        <v>7520.0300000000016</v>
      </c>
      <c r="K117" s="1200">
        <f t="shared" si="23"/>
        <v>61148.76</v>
      </c>
      <c r="L117" s="1198">
        <f>'Medicaid &amp; FAMIS - LASER 2012'!E115+'SNAP - LASER 2012'!E115+'SNAP - LASER 2012'!F115+'FC &amp; Adoptions LASER 2012'!D115+'LIHEAP LASER 2012'!E115+'TANF LASER 2012'!D115+'Other Benefits LASER 2012'!D116</f>
        <v>4515321.9417000003</v>
      </c>
      <c r="M117" s="1199">
        <f>'Medicaid &amp; FAMIS - LASER 2012'!F115+'SNAP - LASER 2012'!G115+'FC &amp; Adoptions LASER 2012'!E115+'TANF LASER 2012'!E115+'Other Benefits LASER 2012'!E116</f>
        <v>3082518.7883000006</v>
      </c>
      <c r="N117" s="1199">
        <f>'FC &amp; Adoptions LASER 2012'!F115+'TANF LASER 2012'!F115</f>
        <v>106277.15000000001</v>
      </c>
      <c r="O117" s="1200">
        <f t="shared" si="24"/>
        <v>7704117.8800000008</v>
      </c>
      <c r="Q117" s="951">
        <f t="shared" si="25"/>
        <v>0.46398835219080081</v>
      </c>
      <c r="R117" s="952">
        <f t="shared" si="26"/>
        <v>0.20435812275352086</v>
      </c>
      <c r="S117" s="952">
        <f t="shared" si="27"/>
        <v>0.3316535250556783</v>
      </c>
      <c r="T117" s="953">
        <f t="shared" si="19"/>
        <v>0.66834647494432176</v>
      </c>
      <c r="V117" s="951">
        <f t="shared" si="20"/>
        <v>0.70769938638724361</v>
      </c>
      <c r="W117" s="952">
        <f t="shared" si="21"/>
        <v>1.9316026841669859E-2</v>
      </c>
      <c r="X117" s="953">
        <f t="shared" si="22"/>
        <v>0.2729845867710865</v>
      </c>
    </row>
    <row r="118" spans="1:24">
      <c r="A118" s="1147" t="s">
        <v>177</v>
      </c>
      <c r="B118" s="858" t="s">
        <v>178</v>
      </c>
      <c r="C118" s="1148" t="s">
        <v>273</v>
      </c>
      <c r="D118" s="1198">
        <f>'Eligibililty Staff LASER-2012'!D116+'Services Staff LASER 2012'!D116+'Other Exp. LASER 2012'!D116</f>
        <v>2945663.64</v>
      </c>
      <c r="E118" s="1199">
        <f>'Eligibililty Staff LASER-2012'!E116+'Services Staff LASER 2012'!E116+'Other Exp. LASER 2012'!E116</f>
        <v>1407133.8599999999</v>
      </c>
      <c r="F118" s="1199">
        <f>'Eligibililty Staff LASER-2012'!F116+'Services Staff LASER 2012'!F116+'Other Exp. LASER 2012'!F116</f>
        <v>978218.77</v>
      </c>
      <c r="G118" s="1200">
        <f>SUM('Benefits Spending Summary'!D118:F118)</f>
        <v>5331016.2699999996</v>
      </c>
      <c r="H118" s="1198">
        <f>'Services for Clients LASER 2012'!D117</f>
        <v>810108.66999999981</v>
      </c>
      <c r="I118" s="1199">
        <f>'Services for Clients LASER 2012'!E117</f>
        <v>358379.45</v>
      </c>
      <c r="J118" s="1199">
        <f>'Services for Clients LASER 2012'!F117</f>
        <v>131459.38999999998</v>
      </c>
      <c r="K118" s="1200">
        <f t="shared" si="23"/>
        <v>1299947.5099999998</v>
      </c>
      <c r="L118" s="1198">
        <f>'Medicaid &amp; FAMIS - LASER 2012'!E116+'SNAP - LASER 2012'!E116+'SNAP - LASER 2012'!F116+'FC &amp; Adoptions LASER 2012'!D116+'LIHEAP LASER 2012'!E116+'TANF LASER 2012'!D116+'Other Benefits LASER 2012'!D117</f>
        <v>56582178.072199993</v>
      </c>
      <c r="M118" s="1199">
        <f>'Medicaid &amp; FAMIS - LASER 2012'!F116+'SNAP - LASER 2012'!G116+'FC &amp; Adoptions LASER 2012'!E116+'TANF LASER 2012'!E116+'Other Benefits LASER 2012'!E117</f>
        <v>40058917.277800001</v>
      </c>
      <c r="N118" s="1199">
        <f>'FC &amp; Adoptions LASER 2012'!F116+'TANF LASER 2012'!F116</f>
        <v>1174142.6499999999</v>
      </c>
      <c r="O118" s="1200">
        <f t="shared" si="24"/>
        <v>97815238</v>
      </c>
      <c r="Q118" s="951">
        <f t="shared" si="25"/>
        <v>0.55255198836600072</v>
      </c>
      <c r="R118" s="952">
        <f t="shared" si="26"/>
        <v>0.26395227264988258</v>
      </c>
      <c r="S118" s="952">
        <f t="shared" si="27"/>
        <v>0.18349573898411684</v>
      </c>
      <c r="T118" s="953">
        <f t="shared" si="19"/>
        <v>0.81650426101588325</v>
      </c>
      <c r="V118" s="951">
        <f t="shared" si="20"/>
        <v>0.42832553487416564</v>
      </c>
      <c r="W118" s="952">
        <f t="shared" si="21"/>
        <v>5.7561166543534562E-2</v>
      </c>
      <c r="X118" s="953">
        <f t="shared" si="22"/>
        <v>0.51411329858229993</v>
      </c>
    </row>
    <row r="119" spans="1:24">
      <c r="A119" s="1147" t="s">
        <v>181</v>
      </c>
      <c r="B119" s="858" t="s">
        <v>182</v>
      </c>
      <c r="C119" s="1148" t="s">
        <v>271</v>
      </c>
      <c r="D119" s="1198">
        <f>'Eligibililty Staff LASER-2012'!D117+'Services Staff LASER 2012'!D117+'Other Exp. LASER 2012'!D117</f>
        <v>7083070.4500000002</v>
      </c>
      <c r="E119" s="1199">
        <f>'Eligibililty Staff LASER-2012'!E117+'Services Staff LASER 2012'!E117+'Other Exp. LASER 2012'!E117</f>
        <v>3135065.1799999997</v>
      </c>
      <c r="F119" s="1199">
        <f>'Eligibililty Staff LASER-2012'!F117+'Services Staff LASER 2012'!F117+'Other Exp. LASER 2012'!F117</f>
        <v>4176527.2699999996</v>
      </c>
      <c r="G119" s="1200">
        <f>SUM('Benefits Spending Summary'!D119:F119)</f>
        <v>14394662.899999999</v>
      </c>
      <c r="H119" s="1198">
        <f>'Services for Clients LASER 2012'!D118</f>
        <v>1581408.34</v>
      </c>
      <c r="I119" s="1199">
        <f>'Services for Clients LASER 2012'!E118</f>
        <v>529975.13</v>
      </c>
      <c r="J119" s="1199">
        <f>'Services for Clients LASER 2012'!F118</f>
        <v>165494.18</v>
      </c>
      <c r="K119" s="1200">
        <f t="shared" si="23"/>
        <v>2276877.6500000004</v>
      </c>
      <c r="L119" s="1198">
        <f>'Medicaid &amp; FAMIS - LASER 2012'!E117+'SNAP - LASER 2012'!E117+'SNAP - LASER 2012'!F117+'FC &amp; Adoptions LASER 2012'!D117+'LIHEAP LASER 2012'!E117+'TANF LASER 2012'!D117+'Other Benefits LASER 2012'!D118</f>
        <v>112087427.7383</v>
      </c>
      <c r="M119" s="1199">
        <f>'Medicaid &amp; FAMIS - LASER 2012'!F117+'SNAP - LASER 2012'!G117+'FC &amp; Adoptions LASER 2012'!E117+'TANF LASER 2012'!E117+'Other Benefits LASER 2012'!E118</f>
        <v>74758458.321700007</v>
      </c>
      <c r="N119" s="1199">
        <f>'FC &amp; Adoptions LASER 2012'!F117+'TANF LASER 2012'!F117</f>
        <v>1609634.78</v>
      </c>
      <c r="O119" s="1200">
        <f t="shared" si="24"/>
        <v>188455520.84</v>
      </c>
      <c r="Q119" s="951">
        <f t="shared" si="25"/>
        <v>0.49206226635567835</v>
      </c>
      <c r="R119" s="952">
        <f t="shared" si="26"/>
        <v>0.21779358098062859</v>
      </c>
      <c r="S119" s="952">
        <f t="shared" si="27"/>
        <v>0.29014415266369314</v>
      </c>
      <c r="T119" s="953">
        <f t="shared" si="19"/>
        <v>0.7098558473363068</v>
      </c>
      <c r="V119" s="951">
        <f t="shared" si="20"/>
        <v>0.7017420208088867</v>
      </c>
      <c r="W119" s="952">
        <f t="shared" si="21"/>
        <v>2.7806407763574747E-2</v>
      </c>
      <c r="X119" s="953">
        <f t="shared" si="22"/>
        <v>0.27045157142753862</v>
      </c>
    </row>
    <row r="120" spans="1:24">
      <c r="A120" s="1147" t="s">
        <v>193</v>
      </c>
      <c r="B120" s="858" t="s">
        <v>194</v>
      </c>
      <c r="C120" s="1148" t="s">
        <v>275</v>
      </c>
      <c r="D120" s="1198">
        <f>'Eligibililty Staff LASER-2012'!D118+'Services Staff LASER 2012'!D118+'Other Exp. LASER 2012'!D118</f>
        <v>446741.18999999994</v>
      </c>
      <c r="E120" s="1199">
        <f>'Eligibililty Staff LASER-2012'!E118+'Services Staff LASER 2012'!E118+'Other Exp. LASER 2012'!E118</f>
        <v>185548.51</v>
      </c>
      <c r="F120" s="1199">
        <f>'Eligibililty Staff LASER-2012'!F118+'Services Staff LASER 2012'!F118+'Other Exp. LASER 2012'!F118</f>
        <v>210253.63</v>
      </c>
      <c r="G120" s="1200">
        <f>SUM('Benefits Spending Summary'!D120:F120)</f>
        <v>842543.33</v>
      </c>
      <c r="H120" s="1198">
        <f>'Services for Clients LASER 2012'!D119</f>
        <v>97418.63</v>
      </c>
      <c r="I120" s="1199">
        <f>'Services for Clients LASER 2012'!E119</f>
        <v>35940.639999999999</v>
      </c>
      <c r="J120" s="1199">
        <f>'Services for Clients LASER 2012'!F119</f>
        <v>21828.38</v>
      </c>
      <c r="K120" s="1200">
        <f t="shared" si="23"/>
        <v>155187.65000000002</v>
      </c>
      <c r="L120" s="1198">
        <f>'Medicaid &amp; FAMIS - LASER 2012'!E118+'SNAP - LASER 2012'!E118+'SNAP - LASER 2012'!F118+'FC &amp; Adoptions LASER 2012'!D118+'LIHEAP LASER 2012'!E118+'TANF LASER 2012'!D118+'Other Benefits LASER 2012'!D119</f>
        <v>8617077.855800001</v>
      </c>
      <c r="M120" s="1199">
        <f>'Medicaid &amp; FAMIS - LASER 2012'!F118+'SNAP - LASER 2012'!G118+'FC &amp; Adoptions LASER 2012'!E118+'TANF LASER 2012'!E118+'Other Benefits LASER 2012'!E119</f>
        <v>6419659.0142000001</v>
      </c>
      <c r="N120" s="1199">
        <f>'FC &amp; Adoptions LASER 2012'!F118+'TANF LASER 2012'!F118</f>
        <v>144831.61000000002</v>
      </c>
      <c r="O120" s="1200">
        <f t="shared" si="24"/>
        <v>15181568.48</v>
      </c>
      <c r="Q120" s="951">
        <f t="shared" si="25"/>
        <v>0.53022933550491691</v>
      </c>
      <c r="R120" s="952">
        <f t="shared" si="26"/>
        <v>0.22022429398378837</v>
      </c>
      <c r="S120" s="952">
        <f t="shared" si="27"/>
        <v>0.24954637051129466</v>
      </c>
      <c r="T120" s="953">
        <f t="shared" si="19"/>
        <v>0.75045362948870531</v>
      </c>
      <c r="V120" s="951">
        <f t="shared" si="20"/>
        <v>0.55782974889578152</v>
      </c>
      <c r="W120" s="952">
        <f t="shared" si="21"/>
        <v>5.791348160886306E-2</v>
      </c>
      <c r="X120" s="953">
        <f t="shared" si="22"/>
        <v>0.38425676949535553</v>
      </c>
    </row>
    <row r="121" spans="1:24">
      <c r="A121" s="1147" t="s">
        <v>197</v>
      </c>
      <c r="B121" s="858" t="s">
        <v>334</v>
      </c>
      <c r="C121" s="1148" t="s">
        <v>273</v>
      </c>
      <c r="D121" s="1198">
        <f>'Eligibililty Staff LASER-2012'!D119+'Services Staff LASER 2012'!D119+'Other Exp. LASER 2012'!D119</f>
        <v>16661125.959999999</v>
      </c>
      <c r="E121" s="1199">
        <f>'Eligibililty Staff LASER-2012'!E119+'Services Staff LASER 2012'!E119+'Other Exp. LASER 2012'!E119</f>
        <v>7664656.9699999997</v>
      </c>
      <c r="F121" s="1199">
        <f>'Eligibililty Staff LASER-2012'!F119+'Services Staff LASER 2012'!F119+'Other Exp. LASER 2012'!F119</f>
        <v>7091126.0800000001</v>
      </c>
      <c r="G121" s="1200">
        <f>SUM('Benefits Spending Summary'!D121:F121)</f>
        <v>31416909.009999998</v>
      </c>
      <c r="H121" s="1198">
        <f>'Services for Clients LASER 2012'!D120</f>
        <v>5450595.1899999995</v>
      </c>
      <c r="I121" s="1199">
        <f>'Services for Clients LASER 2012'!E120</f>
        <v>1828355.39</v>
      </c>
      <c r="J121" s="1199">
        <f>'Services for Clients LASER 2012'!F120</f>
        <v>315218.58000000007</v>
      </c>
      <c r="K121" s="1200">
        <f t="shared" si="23"/>
        <v>7594169.1599999992</v>
      </c>
      <c r="L121" s="1198">
        <f>'Medicaid &amp; FAMIS - LASER 2012'!E119+'SNAP - LASER 2012'!E119+'SNAP - LASER 2012'!F119+'FC &amp; Adoptions LASER 2012'!D119+'LIHEAP LASER 2012'!E119+'TANF LASER 2012'!D119+'Other Benefits LASER 2012'!D120</f>
        <v>280771125.71749997</v>
      </c>
      <c r="M121" s="1199">
        <f>'Medicaid &amp; FAMIS - LASER 2012'!F119+'SNAP - LASER 2012'!G119+'FC &amp; Adoptions LASER 2012'!E119+'TANF LASER 2012'!E119+'Other Benefits LASER 2012'!E120</f>
        <v>196841191.58250001</v>
      </c>
      <c r="N121" s="1199">
        <f>'FC &amp; Adoptions LASER 2012'!F119+'TANF LASER 2012'!F119</f>
        <v>4288999.3999999994</v>
      </c>
      <c r="O121" s="1200">
        <f t="shared" si="24"/>
        <v>481901316.69999993</v>
      </c>
      <c r="Q121" s="951">
        <f t="shared" si="25"/>
        <v>0.53032352592983489</v>
      </c>
      <c r="R121" s="952">
        <f t="shared" si="26"/>
        <v>0.24396597919802807</v>
      </c>
      <c r="S121" s="952">
        <f t="shared" si="27"/>
        <v>0.22571049487213701</v>
      </c>
      <c r="T121" s="953">
        <f t="shared" si="19"/>
        <v>0.77428950512786299</v>
      </c>
      <c r="V121" s="951">
        <f t="shared" si="20"/>
        <v>0.60632043346658082</v>
      </c>
      <c r="W121" s="952">
        <f t="shared" si="21"/>
        <v>2.6952484542810459E-2</v>
      </c>
      <c r="X121" s="953">
        <f t="shared" si="22"/>
        <v>0.36672708199060883</v>
      </c>
    </row>
    <row r="122" spans="1:24">
      <c r="A122" s="1147" t="s">
        <v>201</v>
      </c>
      <c r="B122" s="858" t="s">
        <v>335</v>
      </c>
      <c r="C122" s="1148" t="s">
        <v>272</v>
      </c>
      <c r="D122" s="1198">
        <f>'Eligibililty Staff LASER-2012'!D120+'Services Staff LASER 2012'!D120+'Other Exp. LASER 2012'!D120</f>
        <v>6654567.2199999997</v>
      </c>
      <c r="E122" s="1199">
        <f>'Eligibililty Staff LASER-2012'!E120+'Services Staff LASER 2012'!E120+'Other Exp. LASER 2012'!E120</f>
        <v>2737422.78</v>
      </c>
      <c r="F122" s="1199">
        <f>'Eligibililty Staff LASER-2012'!F120+'Services Staff LASER 2012'!F120+'Other Exp. LASER 2012'!F120</f>
        <v>3636116.15</v>
      </c>
      <c r="G122" s="1200">
        <f>SUM('Benefits Spending Summary'!D122:F122)</f>
        <v>13028106.15</v>
      </c>
      <c r="H122" s="1198">
        <f>'Services for Clients LASER 2012'!D121</f>
        <v>1986655.67</v>
      </c>
      <c r="I122" s="1199">
        <f>'Services for Clients LASER 2012'!E121</f>
        <v>682364.16999999981</v>
      </c>
      <c r="J122" s="1199">
        <f>'Services for Clients LASER 2012'!F121</f>
        <v>223426.33999999997</v>
      </c>
      <c r="K122" s="1200">
        <f t="shared" si="23"/>
        <v>2892446.1799999997</v>
      </c>
      <c r="L122" s="1198">
        <f>'Medicaid &amp; FAMIS - LASER 2012'!E120+'SNAP - LASER 2012'!E120+'SNAP - LASER 2012'!F120+'FC &amp; Adoptions LASER 2012'!D120+'LIHEAP LASER 2012'!E120+'TANF LASER 2012'!D120+'Other Benefits LASER 2012'!D121</f>
        <v>122173474.59489998</v>
      </c>
      <c r="M122" s="1199">
        <f>'Medicaid &amp; FAMIS - LASER 2012'!F120+'SNAP - LASER 2012'!G120+'FC &amp; Adoptions LASER 2012'!E120+'TANF LASER 2012'!E120+'Other Benefits LASER 2012'!E121</f>
        <v>91517978.665100008</v>
      </c>
      <c r="N122" s="1199">
        <f>'FC &amp; Adoptions LASER 2012'!F120+'TANF LASER 2012'!F120</f>
        <v>3068432.6999999997</v>
      </c>
      <c r="O122" s="1200">
        <f t="shared" si="24"/>
        <v>216759885.95999998</v>
      </c>
      <c r="Q122" s="951">
        <f t="shared" si="25"/>
        <v>0.51078546209112674</v>
      </c>
      <c r="R122" s="952">
        <f t="shared" si="26"/>
        <v>0.21011670832909199</v>
      </c>
      <c r="S122" s="952">
        <f t="shared" si="27"/>
        <v>0.27909782957978124</v>
      </c>
      <c r="T122" s="953">
        <f t="shared" si="19"/>
        <v>0.72090217042021876</v>
      </c>
      <c r="V122" s="951">
        <f t="shared" si="20"/>
        <v>0.52484543467309963</v>
      </c>
      <c r="W122" s="952">
        <f t="shared" si="21"/>
        <v>3.2249875883288197E-2</v>
      </c>
      <c r="X122" s="953">
        <f t="shared" si="22"/>
        <v>0.44290468944361217</v>
      </c>
    </row>
    <row r="123" spans="1:24">
      <c r="A123" s="1147" t="s">
        <v>223</v>
      </c>
      <c r="B123" s="858" t="s">
        <v>224</v>
      </c>
      <c r="C123" s="1148" t="s">
        <v>271</v>
      </c>
      <c r="D123" s="1198">
        <f>'Eligibililty Staff LASER-2012'!D121+'Services Staff LASER 2012'!D121+'Other Exp. LASER 2012'!D121</f>
        <v>3987573.0200000005</v>
      </c>
      <c r="E123" s="1199">
        <f>'Eligibililty Staff LASER-2012'!E121+'Services Staff LASER 2012'!E121+'Other Exp. LASER 2012'!E121</f>
        <v>1515940.1099999999</v>
      </c>
      <c r="F123" s="1199">
        <f>'Eligibililty Staff LASER-2012'!F121+'Services Staff LASER 2012'!F121+'Other Exp. LASER 2012'!F121</f>
        <v>3022345.9999999995</v>
      </c>
      <c r="G123" s="1200">
        <f>SUM('Benefits Spending Summary'!D123:F123)</f>
        <v>8525859.1300000008</v>
      </c>
      <c r="H123" s="1198">
        <f>'Services for Clients LASER 2012'!D122</f>
        <v>552441.61</v>
      </c>
      <c r="I123" s="1199">
        <f>'Services for Clients LASER 2012'!E122</f>
        <v>141855.49</v>
      </c>
      <c r="J123" s="1199">
        <f>'Services for Clients LASER 2012'!F122</f>
        <v>119771.02</v>
      </c>
      <c r="K123" s="1200">
        <f t="shared" si="23"/>
        <v>814068.12</v>
      </c>
      <c r="L123" s="1198">
        <f>'Medicaid &amp; FAMIS - LASER 2012'!E121+'SNAP - LASER 2012'!E121+'SNAP - LASER 2012'!F121+'FC &amp; Adoptions LASER 2012'!D121+'LIHEAP LASER 2012'!E121+'TANF LASER 2012'!D121+'Other Benefits LASER 2012'!D122</f>
        <v>65261375.957599998</v>
      </c>
      <c r="M123" s="1199">
        <f>'Medicaid &amp; FAMIS - LASER 2012'!F121+'SNAP - LASER 2012'!G121+'FC &amp; Adoptions LASER 2012'!E121+'TANF LASER 2012'!E121+'Other Benefits LASER 2012'!E122</f>
        <v>44321386.932399996</v>
      </c>
      <c r="N123" s="1199">
        <f>'FC &amp; Adoptions LASER 2012'!F121+'TANF LASER 2012'!F121</f>
        <v>255352.72</v>
      </c>
      <c r="O123" s="1200">
        <f t="shared" si="24"/>
        <v>109838115.60999998</v>
      </c>
      <c r="Q123" s="951">
        <f t="shared" si="25"/>
        <v>0.46770336680427887</v>
      </c>
      <c r="R123" s="952">
        <f t="shared" si="26"/>
        <v>0.17780496802555074</v>
      </c>
      <c r="S123" s="952">
        <f t="shared" si="27"/>
        <v>0.35449166517017028</v>
      </c>
      <c r="T123" s="953">
        <f t="shared" si="19"/>
        <v>0.64550833482982972</v>
      </c>
      <c r="V123" s="951">
        <f t="shared" si="20"/>
        <v>0.88958731976815186</v>
      </c>
      <c r="W123" s="952">
        <f t="shared" si="21"/>
        <v>3.5253005667682566E-2</v>
      </c>
      <c r="X123" s="953">
        <f t="shared" si="22"/>
        <v>7.5159674564165516E-2</v>
      </c>
    </row>
    <row r="124" spans="1:24">
      <c r="A124" s="1147" t="s">
        <v>231</v>
      </c>
      <c r="B124" s="858" t="s">
        <v>232</v>
      </c>
      <c r="C124" s="1148" t="s">
        <v>271</v>
      </c>
      <c r="D124" s="1198">
        <f>'Eligibililty Staff LASER-2012'!D122+'Services Staff LASER 2012'!D122+'Other Exp. LASER 2012'!D122</f>
        <v>10688850.890000001</v>
      </c>
      <c r="E124" s="1199">
        <f>'Eligibililty Staff LASER-2012'!E122+'Services Staff LASER 2012'!E122+'Other Exp. LASER 2012'!E122</f>
        <v>4125459.3999999994</v>
      </c>
      <c r="F124" s="1199">
        <f>'Eligibililty Staff LASER-2012'!F122+'Services Staff LASER 2012'!F122+'Other Exp. LASER 2012'!F122</f>
        <v>9622743.9700000007</v>
      </c>
      <c r="G124" s="1200">
        <f>SUM('Benefits Spending Summary'!D124:F124)</f>
        <v>24437054.259999998</v>
      </c>
      <c r="H124" s="1198">
        <f>'Services for Clients LASER 2012'!D123</f>
        <v>5057461.1000000006</v>
      </c>
      <c r="I124" s="1199">
        <f>'Services for Clients LASER 2012'!E123</f>
        <v>871879.71000000008</v>
      </c>
      <c r="J124" s="1199">
        <f>'Services for Clients LASER 2012'!F123</f>
        <v>441780.1</v>
      </c>
      <c r="K124" s="1200">
        <f t="shared" si="23"/>
        <v>6371120.9100000001</v>
      </c>
      <c r="L124" s="1198">
        <f>'Medicaid &amp; FAMIS - LASER 2012'!E122+'SNAP - LASER 2012'!E122+'SNAP - LASER 2012'!F122+'FC &amp; Adoptions LASER 2012'!D122+'LIHEAP LASER 2012'!E122+'TANF LASER 2012'!D122+'Other Benefits LASER 2012'!D123</f>
        <v>177267739.22180003</v>
      </c>
      <c r="M124" s="1199">
        <f>'Medicaid &amp; FAMIS - LASER 2012'!F122+'SNAP - LASER 2012'!G122+'FC &amp; Adoptions LASER 2012'!E122+'TANF LASER 2012'!E122+'Other Benefits LASER 2012'!E123</f>
        <v>129245782.1082</v>
      </c>
      <c r="N124" s="1199">
        <f>'FC &amp; Adoptions LASER 2012'!F122+'TANF LASER 2012'!F122</f>
        <v>4641928.3299999991</v>
      </c>
      <c r="O124" s="1200">
        <f t="shared" si="24"/>
        <v>311155449.66000003</v>
      </c>
      <c r="Q124" s="951">
        <f t="shared" si="25"/>
        <v>0.4374034110770928</v>
      </c>
      <c r="R124" s="952">
        <f t="shared" si="26"/>
        <v>0.16881983221491606</v>
      </c>
      <c r="S124" s="952">
        <f t="shared" si="27"/>
        <v>0.39377675670799128</v>
      </c>
      <c r="T124" s="953">
        <f t="shared" si="19"/>
        <v>0.60622324329200883</v>
      </c>
      <c r="V124" s="951">
        <f t="shared" si="20"/>
        <v>0.65432122637543788</v>
      </c>
      <c r="W124" s="952">
        <f t="shared" si="21"/>
        <v>3.0039882358032181E-2</v>
      </c>
      <c r="X124" s="953">
        <f t="shared" si="22"/>
        <v>0.31563889126653005</v>
      </c>
    </row>
    <row r="125" spans="1:24">
      <c r="A125" s="1147" t="s">
        <v>239</v>
      </c>
      <c r="B125" s="858" t="s">
        <v>240</v>
      </c>
      <c r="C125" s="1148" t="s">
        <v>271</v>
      </c>
      <c r="D125" s="1198">
        <f>'Eligibililty Staff LASER-2012'!D123+'Services Staff LASER 2012'!D123+'Other Exp. LASER 2012'!D123</f>
        <v>423770.17</v>
      </c>
      <c r="E125" s="1199">
        <f>'Eligibililty Staff LASER-2012'!E123+'Services Staff LASER 2012'!E123+'Other Exp. LASER 2012'!E123</f>
        <v>143526.78</v>
      </c>
      <c r="F125" s="1199">
        <f>'Eligibililty Staff LASER-2012'!F123+'Services Staff LASER 2012'!F123+'Other Exp. LASER 2012'!F123</f>
        <v>361907.9</v>
      </c>
      <c r="G125" s="1200">
        <f>SUM('Benefits Spending Summary'!D125:F125)</f>
        <v>929204.85</v>
      </c>
      <c r="H125" s="1198">
        <f>'Services for Clients LASER 2012'!D124</f>
        <v>126391.36</v>
      </c>
      <c r="I125" s="1199">
        <f>'Services for Clients LASER 2012'!E124</f>
        <v>40165.600000000006</v>
      </c>
      <c r="J125" s="1199">
        <f>'Services for Clients LASER 2012'!F124</f>
        <v>20244.830000000002</v>
      </c>
      <c r="K125" s="1200">
        <f t="shared" si="23"/>
        <v>186801.79000000004</v>
      </c>
      <c r="L125" s="1198">
        <f>'Medicaid &amp; FAMIS - LASER 2012'!E123+'SNAP - LASER 2012'!E123+'SNAP - LASER 2012'!F123+'FC &amp; Adoptions LASER 2012'!D123+'LIHEAP LASER 2012'!E123+'TANF LASER 2012'!D123+'Other Benefits LASER 2012'!D124</f>
        <v>5106930.2711000005</v>
      </c>
      <c r="M125" s="1199">
        <f>'Medicaid &amp; FAMIS - LASER 2012'!F123+'SNAP - LASER 2012'!G123+'FC &amp; Adoptions LASER 2012'!E123+'TANF LASER 2012'!E123+'Other Benefits LASER 2012'!E124</f>
        <v>3378995.8489000001</v>
      </c>
      <c r="N125" s="1199">
        <f>'FC &amp; Adoptions LASER 2012'!F123+'TANF LASER 2012'!F123</f>
        <v>68281.989999999991</v>
      </c>
      <c r="O125" s="1200">
        <f t="shared" si="24"/>
        <v>8554208.1100000013</v>
      </c>
      <c r="Q125" s="951">
        <f t="shared" si="25"/>
        <v>0.45605677800756206</v>
      </c>
      <c r="R125" s="952">
        <f t="shared" si="26"/>
        <v>0.15446193592295607</v>
      </c>
      <c r="S125" s="952">
        <f t="shared" si="27"/>
        <v>0.3894812860694819</v>
      </c>
      <c r="T125" s="953">
        <f t="shared" si="19"/>
        <v>0.61051871393051804</v>
      </c>
      <c r="V125" s="951">
        <f t="shared" si="20"/>
        <v>0.80346359623432229</v>
      </c>
      <c r="W125" s="952">
        <f t="shared" si="21"/>
        <v>4.4945092154530186E-2</v>
      </c>
      <c r="X125" s="953">
        <f t="shared" si="22"/>
        <v>0.15159131161114753</v>
      </c>
    </row>
    <row r="126" spans="1:24">
      <c r="A126" s="1149" t="s">
        <v>241</v>
      </c>
      <c r="B126" s="1150" t="s">
        <v>242</v>
      </c>
      <c r="C126" s="1151" t="s">
        <v>274</v>
      </c>
      <c r="D126" s="1201">
        <f>'Eligibililty Staff LASER-2012'!D124+'Services Staff LASER 2012'!D124+'Other Exp. LASER 2012'!D124</f>
        <v>1370837.21</v>
      </c>
      <c r="E126" s="1202">
        <f>'Eligibililty Staff LASER-2012'!E124+'Services Staff LASER 2012'!E124+'Other Exp. LASER 2012'!E124</f>
        <v>494014.58</v>
      </c>
      <c r="F126" s="1202">
        <f>'Eligibililty Staff LASER-2012'!F124+'Services Staff LASER 2012'!F124+'Other Exp. LASER 2012'!F124</f>
        <v>1226613.98</v>
      </c>
      <c r="G126" s="1203">
        <f>SUM('Benefits Spending Summary'!D126:F126)</f>
        <v>3091465.77</v>
      </c>
      <c r="H126" s="1201">
        <f>'Services for Clients LASER 2012'!D125</f>
        <v>353888.29000000004</v>
      </c>
      <c r="I126" s="1202">
        <f>'Services for Clients LASER 2012'!E125</f>
        <v>148321.16999999998</v>
      </c>
      <c r="J126" s="1202">
        <f>'Services for Clients LASER 2012'!F125</f>
        <v>63706.239999999998</v>
      </c>
      <c r="K126" s="1203">
        <f t="shared" si="23"/>
        <v>565915.70000000007</v>
      </c>
      <c r="L126" s="1201">
        <f>'Medicaid &amp; FAMIS - LASER 2012'!E124+'SNAP - LASER 2012'!E124+'SNAP - LASER 2012'!F124+'FC &amp; Adoptions LASER 2012'!D124+'LIHEAP LASER 2012'!E124+'TANF LASER 2012'!D124+'Other Benefits LASER 2012'!D125</f>
        <v>20223243.229500003</v>
      </c>
      <c r="M126" s="1202">
        <f>'Medicaid &amp; FAMIS - LASER 2012'!F124+'SNAP - LASER 2012'!G124+'FC &amp; Adoptions LASER 2012'!E124+'TANF LASER 2012'!E124+'Other Benefits LASER 2012'!E125</f>
        <v>13749713.430499999</v>
      </c>
      <c r="N126" s="1202">
        <f>'FC &amp; Adoptions LASER 2012'!F124+'TANF LASER 2012'!F124</f>
        <v>642150.77</v>
      </c>
      <c r="O126" s="1203">
        <f t="shared" si="24"/>
        <v>34615107.430000007</v>
      </c>
      <c r="Q126" s="1210">
        <f t="shared" si="25"/>
        <v>0.44342629418795082</v>
      </c>
      <c r="R126" s="1211">
        <f t="shared" si="26"/>
        <v>0.15979946625771632</v>
      </c>
      <c r="S126" s="1211">
        <f t="shared" si="27"/>
        <v>0.39677423955433283</v>
      </c>
      <c r="T126" s="1212">
        <f t="shared" si="19"/>
        <v>0.60322576044566723</v>
      </c>
      <c r="V126" s="1210">
        <f t="shared" si="20"/>
        <v>0.6347386254941918</v>
      </c>
      <c r="W126" s="1211">
        <f t="shared" si="21"/>
        <v>3.2966207684183658E-2</v>
      </c>
      <c r="X126" s="1212">
        <f t="shared" si="22"/>
        <v>0.33229516682162458</v>
      </c>
    </row>
    <row r="127" spans="1:24">
      <c r="A127" s="1152"/>
      <c r="B127" s="1152"/>
      <c r="C127" s="1152"/>
    </row>
    <row r="128" spans="1:24">
      <c r="A128" s="511" t="s">
        <v>1135</v>
      </c>
      <c r="B128" s="1152"/>
      <c r="C128" s="1152"/>
      <c r="O128" s="1186" t="s">
        <v>931</v>
      </c>
      <c r="P128" s="1186"/>
      <c r="Q128" s="1190">
        <f>MIN(Q7:Q126)</f>
        <v>0.2135864727312877</v>
      </c>
      <c r="R128" s="1190">
        <f>MIN(R7:R126)</f>
        <v>6.141063918991916E-2</v>
      </c>
      <c r="S128" s="1190">
        <f>MIN(S7:S126)</f>
        <v>0.17972156055219266</v>
      </c>
      <c r="T128" s="1190">
        <f>MIN(T7:T126)</f>
        <v>0.27499711192120685</v>
      </c>
      <c r="V128" s="1190">
        <f>MIN(V7:V126)</f>
        <v>0.32386830406379774</v>
      </c>
      <c r="X128" s="1190">
        <f>MIN(X7:X126)</f>
        <v>-8.4397957299359898E-7</v>
      </c>
    </row>
    <row r="129" spans="1:24">
      <c r="A129" s="1138"/>
      <c r="B129" s="1138"/>
      <c r="C129" s="1138"/>
      <c r="O129" s="1186" t="s">
        <v>932</v>
      </c>
      <c r="P129" s="1186"/>
      <c r="Q129" s="1190">
        <f>MAX(Q7:Q126)</f>
        <v>0.55255198836600072</v>
      </c>
      <c r="R129" s="1190">
        <f>MAX(R7:R126)</f>
        <v>0.28088716326932639</v>
      </c>
      <c r="S129" s="1190">
        <f>MAX(S7:S126)</f>
        <v>0.7250028880787931</v>
      </c>
      <c r="T129" s="1190">
        <f>MAX(T7:T126)</f>
        <v>0.82027843944780743</v>
      </c>
      <c r="V129" s="1190">
        <f>MAX(V7:V126)</f>
        <v>0.92072618028011344</v>
      </c>
      <c r="X129" s="1190">
        <f>MAX(X7:X126)</f>
        <v>0.66118165565134024</v>
      </c>
    </row>
    <row r="130" spans="1:24">
      <c r="A130" s="134" t="s">
        <v>249</v>
      </c>
      <c r="B130" s="1153"/>
      <c r="C130" s="1153"/>
    </row>
    <row r="131" spans="1:24">
      <c r="A131" s="134" t="s">
        <v>250</v>
      </c>
      <c r="B131" s="544" t="s">
        <v>251</v>
      </c>
      <c r="C131" s="1154"/>
    </row>
  </sheetData>
  <autoFilter ref="A5:C5"/>
  <mergeCells count="5">
    <mergeCell ref="D4:G4"/>
    <mergeCell ref="H4:K4"/>
    <mergeCell ref="L4:O4"/>
    <mergeCell ref="V4:X4"/>
    <mergeCell ref="Q4:T4"/>
  </mergeCells>
  <hyperlinks>
    <hyperlink ref="B131" r:id="rId1"/>
  </hyperlinks>
  <pageMargins left="0.7" right="0.7" top="0.75" bottom="0.75" header="0.3" footer="0.3"/>
  <pageSetup orientation="portrait" r:id="rId2"/>
</worksheet>
</file>

<file path=xl/worksheets/sheet38.xml><?xml version="1.0" encoding="utf-8"?>
<worksheet xmlns="http://schemas.openxmlformats.org/spreadsheetml/2006/main" xmlns:r="http://schemas.openxmlformats.org/officeDocument/2006/relationships">
  <dimension ref="A1:F126"/>
  <sheetViews>
    <sheetView zoomScaleNormal="130" workbookViewId="0">
      <pane ySplit="2" topLeftCell="A3" activePane="bottomLeft" state="frozen"/>
      <selection pane="bottomLeft" activeCell="F19" sqref="F19"/>
    </sheetView>
  </sheetViews>
  <sheetFormatPr defaultRowHeight="12.75"/>
  <cols>
    <col min="1" max="1" width="4.5" style="50" bestFit="1" customWidth="1"/>
    <col min="2" max="2" width="21.75" style="50" bestFit="1" customWidth="1"/>
    <col min="3" max="3" width="7.375" style="50" bestFit="1" customWidth="1"/>
    <col min="4" max="4" width="8.75" style="50" customWidth="1"/>
    <col min="5" max="5" width="8.5" style="50" customWidth="1"/>
    <col min="6" max="6" width="8.875" style="50" customWidth="1"/>
    <col min="7" max="16384" width="9" style="50"/>
  </cols>
  <sheetData>
    <row r="1" spans="1:6">
      <c r="B1" s="2" t="s">
        <v>767</v>
      </c>
    </row>
    <row r="2" spans="1:6" ht="12.75" customHeight="1">
      <c r="A2" s="50" t="s">
        <v>4</v>
      </c>
      <c r="B2" s="51" t="s">
        <v>5</v>
      </c>
      <c r="C2" s="52" t="s">
        <v>284</v>
      </c>
      <c r="D2" s="52" t="s">
        <v>285</v>
      </c>
      <c r="E2" s="52" t="s">
        <v>286</v>
      </c>
      <c r="F2" s="52" t="s">
        <v>607</v>
      </c>
    </row>
    <row r="3" spans="1:6">
      <c r="A3" s="47" t="s">
        <v>10</v>
      </c>
      <c r="B3" s="53" t="s">
        <v>11</v>
      </c>
      <c r="C3" s="54">
        <v>7463</v>
      </c>
      <c r="D3" s="55" t="e">
        <f t="shared" ref="D3:D34" si="0">VLOOKUP(B3,_med2008,2,FALSE)</f>
        <v>#NAME?</v>
      </c>
      <c r="E3" s="55" t="e">
        <f t="shared" ref="E3:E34" si="1">VLOOKUP(B3,_med2009,2,FALSE)</f>
        <v>#NAME?</v>
      </c>
      <c r="F3" s="55" t="e">
        <f t="shared" ref="F3:F34" si="2">VLOOKUP(B3,_med2010,2,FALSE)</f>
        <v>#NAME?</v>
      </c>
    </row>
    <row r="4" spans="1:6">
      <c r="A4" s="47" t="s">
        <v>12</v>
      </c>
      <c r="B4" s="53" t="s">
        <v>13</v>
      </c>
      <c r="C4" s="54">
        <v>7239</v>
      </c>
      <c r="D4" s="55" t="e">
        <f t="shared" si="0"/>
        <v>#NAME?</v>
      </c>
      <c r="E4" s="55" t="e">
        <f t="shared" si="1"/>
        <v>#NAME?</v>
      </c>
      <c r="F4" s="55" t="e">
        <f t="shared" si="2"/>
        <v>#NAME?</v>
      </c>
    </row>
    <row r="5" spans="1:6">
      <c r="A5" s="47" t="s">
        <v>14</v>
      </c>
      <c r="B5" s="53" t="s">
        <v>15</v>
      </c>
      <c r="C5" s="54">
        <v>11870</v>
      </c>
      <c r="D5" s="55" t="e">
        <f t="shared" si="0"/>
        <v>#NAME?</v>
      </c>
      <c r="E5" s="55" t="e">
        <f t="shared" si="1"/>
        <v>#NAME?</v>
      </c>
      <c r="F5" s="55" t="e">
        <f t="shared" si="2"/>
        <v>#NAME?</v>
      </c>
    </row>
    <row r="6" spans="1:6">
      <c r="A6" s="47" t="s">
        <v>16</v>
      </c>
      <c r="B6" s="53" t="s">
        <v>307</v>
      </c>
      <c r="C6" s="54">
        <v>4496</v>
      </c>
      <c r="D6" s="55" t="e">
        <f t="shared" si="0"/>
        <v>#NAME?</v>
      </c>
      <c r="E6" s="55" t="e">
        <f t="shared" si="1"/>
        <v>#NAME?</v>
      </c>
      <c r="F6" s="55" t="e">
        <f t="shared" si="2"/>
        <v>#NAME?</v>
      </c>
    </row>
    <row r="7" spans="1:6">
      <c r="A7" s="47" t="s">
        <v>18</v>
      </c>
      <c r="B7" s="53" t="s">
        <v>19</v>
      </c>
      <c r="C7" s="54">
        <v>2040</v>
      </c>
      <c r="D7" s="55" t="e">
        <f t="shared" si="0"/>
        <v>#NAME?</v>
      </c>
      <c r="E7" s="55" t="e">
        <f t="shared" si="1"/>
        <v>#NAME?</v>
      </c>
      <c r="F7" s="55" t="e">
        <f t="shared" si="2"/>
        <v>#NAME?</v>
      </c>
    </row>
    <row r="8" spans="1:6">
      <c r="A8" s="47" t="s">
        <v>20</v>
      </c>
      <c r="B8" s="53" t="s">
        <v>21</v>
      </c>
      <c r="C8" s="54">
        <v>4940</v>
      </c>
      <c r="D8" s="55" t="e">
        <f t="shared" si="0"/>
        <v>#NAME?</v>
      </c>
      <c r="E8" s="55" t="e">
        <f t="shared" si="1"/>
        <v>#NAME?</v>
      </c>
      <c r="F8" s="55" t="e">
        <f t="shared" si="2"/>
        <v>#NAME?</v>
      </c>
    </row>
    <row r="9" spans="1:6">
      <c r="A9" s="47" t="s">
        <v>22</v>
      </c>
      <c r="B9" s="53" t="s">
        <v>23</v>
      </c>
      <c r="C9" s="54">
        <v>2749</v>
      </c>
      <c r="D9" s="55" t="e">
        <f t="shared" si="0"/>
        <v>#NAME?</v>
      </c>
      <c r="E9" s="55" t="e">
        <f t="shared" si="1"/>
        <v>#NAME?</v>
      </c>
      <c r="F9" s="55" t="e">
        <f t="shared" si="2"/>
        <v>#NAME?</v>
      </c>
    </row>
    <row r="10" spans="1:6">
      <c r="A10" s="47" t="s">
        <v>24</v>
      </c>
      <c r="B10" s="53" t="s">
        <v>25</v>
      </c>
      <c r="C10" s="54">
        <v>11149</v>
      </c>
      <c r="D10" s="55" t="e">
        <f t="shared" si="0"/>
        <v>#NAME?</v>
      </c>
      <c r="E10" s="55" t="e">
        <f t="shared" si="1"/>
        <v>#NAME?</v>
      </c>
      <c r="F10" s="55" t="e">
        <f t="shared" si="2"/>
        <v>#NAME?</v>
      </c>
    </row>
    <row r="11" spans="1:6">
      <c r="A11" s="47" t="s">
        <v>26</v>
      </c>
      <c r="B11" s="53" t="s">
        <v>308</v>
      </c>
      <c r="C11" s="54">
        <v>16664</v>
      </c>
      <c r="D11" s="55" t="e">
        <f t="shared" si="0"/>
        <v>#NAME?</v>
      </c>
      <c r="E11" s="55" t="e">
        <f t="shared" si="1"/>
        <v>#NAME?</v>
      </c>
      <c r="F11" s="55" t="e">
        <f t="shared" si="2"/>
        <v>#NAME?</v>
      </c>
    </row>
    <row r="12" spans="1:6">
      <c r="A12" s="47" t="s">
        <v>27</v>
      </c>
      <c r="B12" s="53" t="s">
        <v>28</v>
      </c>
      <c r="C12" s="54">
        <v>503</v>
      </c>
      <c r="D12" s="55" t="e">
        <f t="shared" si="0"/>
        <v>#NAME?</v>
      </c>
      <c r="E12" s="55" t="e">
        <f t="shared" si="1"/>
        <v>#NAME?</v>
      </c>
      <c r="F12" s="55" t="e">
        <f t="shared" si="2"/>
        <v>#NAME?</v>
      </c>
    </row>
    <row r="13" spans="1:6">
      <c r="A13" s="47" t="s">
        <v>29</v>
      </c>
      <c r="B13" s="53" t="s">
        <v>309</v>
      </c>
      <c r="C13" s="54">
        <v>8194</v>
      </c>
      <c r="D13" s="55" t="e">
        <f t="shared" si="0"/>
        <v>#NAME?</v>
      </c>
      <c r="E13" s="55" t="e">
        <f t="shared" si="1"/>
        <v>#NAME?</v>
      </c>
      <c r="F13" s="55" t="e">
        <f t="shared" si="2"/>
        <v>#NAME?</v>
      </c>
    </row>
    <row r="14" spans="1:6">
      <c r="A14" s="47" t="s">
        <v>31</v>
      </c>
      <c r="B14" s="53" t="s">
        <v>32</v>
      </c>
      <c r="C14" s="54">
        <v>1029</v>
      </c>
      <c r="D14" s="55" t="e">
        <f t="shared" si="0"/>
        <v>#NAME?</v>
      </c>
      <c r="E14" s="55" t="e">
        <f t="shared" si="1"/>
        <v>#NAME?</v>
      </c>
      <c r="F14" s="55" t="e">
        <f t="shared" si="2"/>
        <v>#NAME?</v>
      </c>
    </row>
    <row r="15" spans="1:6">
      <c r="A15" s="47" t="s">
        <v>33</v>
      </c>
      <c r="B15" s="53" t="s">
        <v>34</v>
      </c>
      <c r="C15" s="54">
        <v>2263</v>
      </c>
      <c r="D15" s="55" t="e">
        <f t="shared" si="0"/>
        <v>#NAME?</v>
      </c>
      <c r="E15" s="55" t="e">
        <f t="shared" si="1"/>
        <v>#NAME?</v>
      </c>
      <c r="F15" s="55" t="e">
        <f t="shared" si="2"/>
        <v>#NAME?</v>
      </c>
    </row>
    <row r="16" spans="1:6">
      <c r="A16" s="47" t="s">
        <v>35</v>
      </c>
      <c r="B16" s="53" t="s">
        <v>36</v>
      </c>
      <c r="C16" s="54">
        <v>4845</v>
      </c>
      <c r="D16" s="55" t="e">
        <f t="shared" si="0"/>
        <v>#NAME?</v>
      </c>
      <c r="E16" s="55" t="e">
        <f t="shared" si="1"/>
        <v>#NAME?</v>
      </c>
      <c r="F16" s="55" t="e">
        <f t="shared" si="2"/>
        <v>#NAME?</v>
      </c>
    </row>
    <row r="17" spans="1:6">
      <c r="A17" s="47" t="s">
        <v>37</v>
      </c>
      <c r="B17" s="53" t="s">
        <v>38</v>
      </c>
      <c r="C17" s="54">
        <v>4116</v>
      </c>
      <c r="D17" s="55" t="e">
        <f t="shared" si="0"/>
        <v>#NAME?</v>
      </c>
      <c r="E17" s="55" t="e">
        <f t="shared" si="1"/>
        <v>#NAME?</v>
      </c>
      <c r="F17" s="55" t="e">
        <f t="shared" si="2"/>
        <v>#NAME?</v>
      </c>
    </row>
    <row r="18" spans="1:6">
      <c r="A18" s="47" t="s">
        <v>39</v>
      </c>
      <c r="B18" s="53" t="s">
        <v>40</v>
      </c>
      <c r="C18" s="54">
        <v>6782</v>
      </c>
      <c r="D18" s="55" t="e">
        <f t="shared" si="0"/>
        <v>#NAME?</v>
      </c>
      <c r="E18" s="55" t="e">
        <f t="shared" si="1"/>
        <v>#NAME?</v>
      </c>
      <c r="F18" s="55" t="e">
        <f t="shared" si="2"/>
        <v>#NAME?</v>
      </c>
    </row>
    <row r="19" spans="1:6">
      <c r="A19" s="47" t="s">
        <v>41</v>
      </c>
      <c r="B19" s="53" t="s">
        <v>42</v>
      </c>
      <c r="C19" s="54">
        <v>2983</v>
      </c>
      <c r="D19" s="55" t="e">
        <f t="shared" si="0"/>
        <v>#NAME?</v>
      </c>
      <c r="E19" s="55" t="e">
        <f t="shared" si="1"/>
        <v>#NAME?</v>
      </c>
      <c r="F19" s="55" t="e">
        <f t="shared" si="2"/>
        <v>#NAME?</v>
      </c>
    </row>
    <row r="20" spans="1:6">
      <c r="A20" s="47" t="s">
        <v>43</v>
      </c>
      <c r="B20" s="53" t="s">
        <v>44</v>
      </c>
      <c r="C20" s="54">
        <v>8789</v>
      </c>
      <c r="D20" s="55" t="e">
        <f t="shared" si="0"/>
        <v>#NAME?</v>
      </c>
      <c r="E20" s="55" t="e">
        <f t="shared" si="1"/>
        <v>#NAME?</v>
      </c>
      <c r="F20" s="55" t="e">
        <f t="shared" si="2"/>
        <v>#NAME?</v>
      </c>
    </row>
    <row r="21" spans="1:6">
      <c r="A21" s="47" t="s">
        <v>45</v>
      </c>
      <c r="B21" s="53" t="s">
        <v>46</v>
      </c>
      <c r="C21" s="54">
        <v>4089</v>
      </c>
      <c r="D21" s="55" t="e">
        <f t="shared" si="0"/>
        <v>#NAME?</v>
      </c>
      <c r="E21" s="55" t="e">
        <f t="shared" si="1"/>
        <v>#NAME?</v>
      </c>
      <c r="F21" s="55" t="e">
        <f t="shared" si="2"/>
        <v>#NAME?</v>
      </c>
    </row>
    <row r="22" spans="1:6">
      <c r="A22" s="47" t="s">
        <v>47</v>
      </c>
      <c r="B22" s="53" t="s">
        <v>48</v>
      </c>
      <c r="C22" s="54">
        <v>6099</v>
      </c>
      <c r="D22" s="55" t="e">
        <f t="shared" si="0"/>
        <v>#NAME?</v>
      </c>
      <c r="E22" s="55" t="e">
        <f t="shared" si="1"/>
        <v>#NAME?</v>
      </c>
      <c r="F22" s="55" t="e">
        <f t="shared" si="2"/>
        <v>#NAME?</v>
      </c>
    </row>
    <row r="23" spans="1:6">
      <c r="A23" s="47" t="s">
        <v>49</v>
      </c>
      <c r="B23" s="53" t="s">
        <v>276</v>
      </c>
      <c r="C23" s="54">
        <v>1026</v>
      </c>
      <c r="D23" s="55" t="e">
        <f t="shared" si="0"/>
        <v>#NAME?</v>
      </c>
      <c r="E23" s="55" t="e">
        <f t="shared" si="1"/>
        <v>#NAME?</v>
      </c>
      <c r="F23" s="55" t="e">
        <f t="shared" si="2"/>
        <v>#NAME?</v>
      </c>
    </row>
    <row r="24" spans="1:6">
      <c r="A24" s="47" t="s">
        <v>51</v>
      </c>
      <c r="B24" s="53" t="s">
        <v>52</v>
      </c>
      <c r="C24" s="54">
        <v>3005</v>
      </c>
      <c r="D24" s="55" t="e">
        <f t="shared" si="0"/>
        <v>#NAME?</v>
      </c>
      <c r="E24" s="55" t="e">
        <f t="shared" si="1"/>
        <v>#NAME?</v>
      </c>
      <c r="F24" s="55" t="e">
        <f t="shared" si="2"/>
        <v>#NAME?</v>
      </c>
    </row>
    <row r="25" spans="1:6">
      <c r="A25" s="47" t="s">
        <v>53</v>
      </c>
      <c r="B25" s="53" t="s">
        <v>54</v>
      </c>
      <c r="C25" s="54">
        <v>6733</v>
      </c>
      <c r="D25" s="55" t="e">
        <f t="shared" si="0"/>
        <v>#NAME?</v>
      </c>
      <c r="E25" s="55" t="e">
        <f t="shared" si="1"/>
        <v>#NAME?</v>
      </c>
      <c r="F25" s="55" t="e">
        <f t="shared" si="2"/>
        <v>#NAME?</v>
      </c>
    </row>
    <row r="26" spans="1:6">
      <c r="A26" s="47" t="s">
        <v>55</v>
      </c>
      <c r="B26" s="53" t="s">
        <v>56</v>
      </c>
      <c r="C26" s="54">
        <v>24491</v>
      </c>
      <c r="D26" s="55" t="e">
        <f t="shared" si="0"/>
        <v>#NAME?</v>
      </c>
      <c r="E26" s="55" t="e">
        <f t="shared" si="1"/>
        <v>#NAME?</v>
      </c>
      <c r="F26" s="55" t="e">
        <f t="shared" si="2"/>
        <v>#NAME?</v>
      </c>
    </row>
    <row r="27" spans="1:6">
      <c r="A27" s="47" t="s">
        <v>57</v>
      </c>
      <c r="B27" s="53" t="s">
        <v>305</v>
      </c>
      <c r="C27" s="54">
        <v>30326</v>
      </c>
      <c r="D27" s="55" t="e">
        <f t="shared" si="0"/>
        <v>#NAME?</v>
      </c>
      <c r="E27" s="55" t="e">
        <f t="shared" si="1"/>
        <v>#NAME?</v>
      </c>
      <c r="F27" s="55" t="e">
        <f t="shared" si="2"/>
        <v>#NAME?</v>
      </c>
    </row>
    <row r="28" spans="1:6">
      <c r="A28" s="47" t="s">
        <v>59</v>
      </c>
      <c r="B28" s="53" t="s">
        <v>60</v>
      </c>
      <c r="C28" s="54">
        <v>986</v>
      </c>
      <c r="D28" s="55" t="e">
        <f t="shared" si="0"/>
        <v>#NAME?</v>
      </c>
      <c r="E28" s="55" t="e">
        <f t="shared" si="1"/>
        <v>#NAME?</v>
      </c>
      <c r="F28" s="55" t="e">
        <f t="shared" si="2"/>
        <v>#NAME?</v>
      </c>
    </row>
    <row r="29" spans="1:6">
      <c r="A29" s="47" t="s">
        <v>61</v>
      </c>
      <c r="B29" s="53" t="s">
        <v>62</v>
      </c>
      <c r="C29" s="54">
        <v>739</v>
      </c>
      <c r="D29" s="55" t="e">
        <f t="shared" si="0"/>
        <v>#NAME?</v>
      </c>
      <c r="E29" s="55" t="e">
        <f t="shared" si="1"/>
        <v>#NAME?</v>
      </c>
      <c r="F29" s="55" t="e">
        <f t="shared" si="2"/>
        <v>#NAME?</v>
      </c>
    </row>
    <row r="30" spans="1:6">
      <c r="A30" s="47" t="s">
        <v>63</v>
      </c>
      <c r="B30" s="53" t="s">
        <v>64</v>
      </c>
      <c r="C30" s="54">
        <v>5420</v>
      </c>
      <c r="D30" s="55" t="e">
        <f t="shared" si="0"/>
        <v>#NAME?</v>
      </c>
      <c r="E30" s="55" t="e">
        <f t="shared" si="1"/>
        <v>#NAME?</v>
      </c>
      <c r="F30" s="55" t="e">
        <f t="shared" si="2"/>
        <v>#NAME?</v>
      </c>
    </row>
    <row r="31" spans="1:6">
      <c r="A31" s="47" t="s">
        <v>65</v>
      </c>
      <c r="B31" s="53" t="s">
        <v>66</v>
      </c>
      <c r="C31" s="54">
        <v>2244</v>
      </c>
      <c r="D31" s="55" t="e">
        <f t="shared" si="0"/>
        <v>#NAME?</v>
      </c>
      <c r="E31" s="55" t="e">
        <f t="shared" si="1"/>
        <v>#NAME?</v>
      </c>
      <c r="F31" s="55" t="e">
        <f t="shared" si="2"/>
        <v>#NAME?</v>
      </c>
    </row>
    <row r="32" spans="1:6">
      <c r="A32" s="47" t="s">
        <v>67</v>
      </c>
      <c r="B32" s="53" t="s">
        <v>68</v>
      </c>
      <c r="C32" s="54">
        <v>13346</v>
      </c>
      <c r="D32" s="55" t="e">
        <f t="shared" si="0"/>
        <v>#NAME?</v>
      </c>
      <c r="E32" s="55" t="e">
        <f t="shared" si="1"/>
        <v>#NAME?</v>
      </c>
      <c r="F32" s="55" t="e">
        <f t="shared" si="2"/>
        <v>#NAME?</v>
      </c>
    </row>
    <row r="33" spans="1:6">
      <c r="A33" s="47" t="s">
        <v>69</v>
      </c>
      <c r="B33" s="53" t="s">
        <v>70</v>
      </c>
      <c r="C33" s="54">
        <v>4742</v>
      </c>
      <c r="D33" s="55" t="e">
        <f t="shared" si="0"/>
        <v>#NAME?</v>
      </c>
      <c r="E33" s="55" t="e">
        <f t="shared" si="1"/>
        <v>#NAME?</v>
      </c>
      <c r="F33" s="55" t="e">
        <f t="shared" si="2"/>
        <v>#NAME?</v>
      </c>
    </row>
    <row r="34" spans="1:6">
      <c r="A34" s="47" t="s">
        <v>71</v>
      </c>
      <c r="B34" s="53" t="s">
        <v>72</v>
      </c>
      <c r="C34" s="54">
        <v>4542</v>
      </c>
      <c r="D34" s="55" t="e">
        <f t="shared" si="0"/>
        <v>#NAME?</v>
      </c>
      <c r="E34" s="55" t="e">
        <f t="shared" si="1"/>
        <v>#NAME?</v>
      </c>
      <c r="F34" s="55" t="e">
        <f t="shared" si="2"/>
        <v>#NAME?</v>
      </c>
    </row>
    <row r="35" spans="1:6">
      <c r="A35" s="47" t="s">
        <v>73</v>
      </c>
      <c r="B35" s="53" t="s">
        <v>74</v>
      </c>
      <c r="C35" s="54">
        <v>2202</v>
      </c>
      <c r="D35" s="55" t="e">
        <f t="shared" ref="D35:D66" si="3">VLOOKUP(B35,_med2008,2,FALSE)</f>
        <v>#NAME?</v>
      </c>
      <c r="E35" s="55" t="e">
        <f t="shared" ref="E35:E66" si="4">VLOOKUP(B35,_med2009,2,FALSE)</f>
        <v>#NAME?</v>
      </c>
      <c r="F35" s="55" t="e">
        <f t="shared" ref="F35:F66" si="5">VLOOKUP(B35,_med2010,2,FALSE)</f>
        <v>#NAME?</v>
      </c>
    </row>
    <row r="36" spans="1:6">
      <c r="A36" s="47" t="s">
        <v>75</v>
      </c>
      <c r="B36" s="53" t="s">
        <v>306</v>
      </c>
      <c r="C36" s="54">
        <v>66005</v>
      </c>
      <c r="D36" s="55" t="e">
        <f t="shared" si="3"/>
        <v>#NAME?</v>
      </c>
      <c r="E36" s="55" t="e">
        <f t="shared" si="4"/>
        <v>#NAME?</v>
      </c>
      <c r="F36" s="55" t="e">
        <f t="shared" si="5"/>
        <v>#NAME?</v>
      </c>
    </row>
    <row r="37" spans="1:6">
      <c r="A37" s="47" t="s">
        <v>77</v>
      </c>
      <c r="B37" s="53" t="s">
        <v>78</v>
      </c>
      <c r="C37" s="54">
        <v>4472</v>
      </c>
      <c r="D37" s="55" t="e">
        <f t="shared" si="3"/>
        <v>#NAME?</v>
      </c>
      <c r="E37" s="55" t="e">
        <f t="shared" si="4"/>
        <v>#NAME?</v>
      </c>
      <c r="F37" s="55" t="e">
        <f t="shared" si="5"/>
        <v>#NAME?</v>
      </c>
    </row>
    <row r="38" spans="1:6">
      <c r="A38" s="47" t="s">
        <v>79</v>
      </c>
      <c r="B38" s="53" t="s">
        <v>80</v>
      </c>
      <c r="C38" s="54">
        <v>2221</v>
      </c>
      <c r="D38" s="55" t="e">
        <f t="shared" si="3"/>
        <v>#NAME?</v>
      </c>
      <c r="E38" s="55" t="e">
        <f t="shared" si="4"/>
        <v>#NAME?</v>
      </c>
      <c r="F38" s="55" t="e">
        <f t="shared" si="5"/>
        <v>#NAME?</v>
      </c>
    </row>
    <row r="39" spans="1:6">
      <c r="A39" s="47" t="s">
        <v>81</v>
      </c>
      <c r="B39" s="53" t="s">
        <v>82</v>
      </c>
      <c r="C39" s="54">
        <v>2055</v>
      </c>
      <c r="D39" s="55" t="e">
        <f t="shared" si="3"/>
        <v>#NAME?</v>
      </c>
      <c r="E39" s="55" t="e">
        <f t="shared" si="4"/>
        <v>#NAME?</v>
      </c>
      <c r="F39" s="55" t="e">
        <f t="shared" si="5"/>
        <v>#NAME?</v>
      </c>
    </row>
    <row r="40" spans="1:6">
      <c r="A40" s="47" t="s">
        <v>83</v>
      </c>
      <c r="B40" s="53" t="s">
        <v>84</v>
      </c>
      <c r="C40" s="54">
        <v>2567</v>
      </c>
      <c r="D40" s="55" t="e">
        <f t="shared" si="3"/>
        <v>#NAME?</v>
      </c>
      <c r="E40" s="55" t="e">
        <f t="shared" si="4"/>
        <v>#NAME?</v>
      </c>
      <c r="F40" s="55" t="e">
        <f t="shared" si="5"/>
        <v>#NAME?</v>
      </c>
    </row>
    <row r="41" spans="1:6">
      <c r="A41" s="47" t="s">
        <v>85</v>
      </c>
      <c r="B41" s="53" t="s">
        <v>86</v>
      </c>
      <c r="C41" s="54">
        <v>7976</v>
      </c>
      <c r="D41" s="55" t="e">
        <f t="shared" si="3"/>
        <v>#NAME?</v>
      </c>
      <c r="E41" s="55" t="e">
        <f t="shared" si="4"/>
        <v>#NAME?</v>
      </c>
      <c r="F41" s="55" t="e">
        <f t="shared" si="5"/>
        <v>#NAME?</v>
      </c>
    </row>
    <row r="42" spans="1:6">
      <c r="A42" s="47" t="s">
        <v>87</v>
      </c>
      <c r="B42" s="53" t="s">
        <v>88</v>
      </c>
      <c r="C42" s="54">
        <v>6545</v>
      </c>
      <c r="D42" s="55" t="e">
        <f t="shared" si="3"/>
        <v>#NAME?</v>
      </c>
      <c r="E42" s="55" t="e">
        <f t="shared" si="4"/>
        <v>#NAME?</v>
      </c>
      <c r="F42" s="55" t="e">
        <f t="shared" si="5"/>
        <v>#NAME?</v>
      </c>
    </row>
    <row r="43" spans="1:6">
      <c r="A43" s="47" t="s">
        <v>89</v>
      </c>
      <c r="B43" s="53" t="s">
        <v>90</v>
      </c>
      <c r="C43" s="54">
        <v>4329</v>
      </c>
      <c r="D43" s="55" t="e">
        <f t="shared" si="3"/>
        <v>#NAME?</v>
      </c>
      <c r="E43" s="55" t="e">
        <f t="shared" si="4"/>
        <v>#NAME?</v>
      </c>
      <c r="F43" s="55" t="e">
        <f t="shared" si="5"/>
        <v>#NAME?</v>
      </c>
    </row>
    <row r="44" spans="1:6">
      <c r="A44" s="47" t="s">
        <v>91</v>
      </c>
      <c r="B44" s="53" t="s">
        <v>92</v>
      </c>
      <c r="C44" s="54">
        <v>2240</v>
      </c>
      <c r="D44" s="55" t="e">
        <f t="shared" si="3"/>
        <v>#NAME?</v>
      </c>
      <c r="E44" s="55" t="e">
        <f t="shared" si="4"/>
        <v>#NAME?</v>
      </c>
      <c r="F44" s="55" t="e">
        <f t="shared" si="5"/>
        <v>#NAME?</v>
      </c>
    </row>
    <row r="45" spans="1:6">
      <c r="A45" s="47" t="s">
        <v>93</v>
      </c>
      <c r="B45" s="53" t="s">
        <v>94</v>
      </c>
      <c r="C45" s="54">
        <v>2917</v>
      </c>
      <c r="D45" s="55" t="e">
        <f t="shared" si="3"/>
        <v>#NAME?</v>
      </c>
      <c r="E45" s="55" t="e">
        <f t="shared" si="4"/>
        <v>#NAME?</v>
      </c>
      <c r="F45" s="55" t="e">
        <f t="shared" si="5"/>
        <v>#NAME?</v>
      </c>
    </row>
    <row r="46" spans="1:6">
      <c r="A46" s="47" t="s">
        <v>95</v>
      </c>
      <c r="B46" s="53" t="s">
        <v>96</v>
      </c>
      <c r="C46" s="54">
        <v>4114</v>
      </c>
      <c r="D46" s="55" t="e">
        <f t="shared" si="3"/>
        <v>#NAME?</v>
      </c>
      <c r="E46" s="55" t="e">
        <f t="shared" si="4"/>
        <v>#NAME?</v>
      </c>
      <c r="F46" s="55" t="e">
        <f t="shared" si="5"/>
        <v>#NAME?</v>
      </c>
    </row>
    <row r="47" spans="1:6">
      <c r="A47" s="47" t="s">
        <v>97</v>
      </c>
      <c r="B47" s="53" t="s">
        <v>98</v>
      </c>
      <c r="C47" s="54">
        <v>1386</v>
      </c>
      <c r="D47" s="55" t="e">
        <f t="shared" si="3"/>
        <v>#NAME?</v>
      </c>
      <c r="E47" s="55" t="e">
        <f t="shared" si="4"/>
        <v>#NAME?</v>
      </c>
      <c r="F47" s="55" t="e">
        <f t="shared" si="5"/>
        <v>#NAME?</v>
      </c>
    </row>
    <row r="48" spans="1:6">
      <c r="A48" s="47" t="s">
        <v>99</v>
      </c>
      <c r="B48" s="53" t="s">
        <v>100</v>
      </c>
      <c r="C48" s="54">
        <v>3759</v>
      </c>
      <c r="D48" s="55" t="e">
        <f t="shared" si="3"/>
        <v>#NAME?</v>
      </c>
      <c r="E48" s="55" t="e">
        <f t="shared" si="4"/>
        <v>#NAME?</v>
      </c>
      <c r="F48" s="55" t="e">
        <f t="shared" si="5"/>
        <v>#NAME?</v>
      </c>
    </row>
    <row r="49" spans="1:6">
      <c r="A49" s="47" t="s">
        <v>101</v>
      </c>
      <c r="B49" s="53" t="s">
        <v>102</v>
      </c>
      <c r="C49" s="54">
        <v>2234</v>
      </c>
      <c r="D49" s="55" t="e">
        <f t="shared" si="3"/>
        <v>#NAME?</v>
      </c>
      <c r="E49" s="55" t="e">
        <f t="shared" si="4"/>
        <v>#NAME?</v>
      </c>
      <c r="F49" s="55" t="e">
        <f t="shared" si="5"/>
        <v>#NAME?</v>
      </c>
    </row>
    <row r="50" spans="1:6">
      <c r="A50" s="47" t="s">
        <v>103</v>
      </c>
      <c r="B50" s="53" t="s">
        <v>290</v>
      </c>
      <c r="C50" s="54">
        <v>4134</v>
      </c>
      <c r="D50" s="55" t="e">
        <f t="shared" si="3"/>
        <v>#NAME?</v>
      </c>
      <c r="E50" s="55" t="e">
        <f t="shared" si="4"/>
        <v>#NAME?</v>
      </c>
      <c r="F50" s="55" t="e">
        <f t="shared" si="5"/>
        <v>#NAME?</v>
      </c>
    </row>
    <row r="51" spans="1:6">
      <c r="A51" s="47" t="s">
        <v>105</v>
      </c>
      <c r="B51" s="53" t="s">
        <v>106</v>
      </c>
      <c r="C51" s="54">
        <v>8414</v>
      </c>
      <c r="D51" s="55" t="e">
        <f t="shared" si="3"/>
        <v>#NAME?</v>
      </c>
      <c r="E51" s="55" t="e">
        <f t="shared" si="4"/>
        <v>#NAME?</v>
      </c>
      <c r="F51" s="55" t="e">
        <f t="shared" si="5"/>
        <v>#NAME?</v>
      </c>
    </row>
    <row r="52" spans="1:6">
      <c r="A52" s="47" t="s">
        <v>107</v>
      </c>
      <c r="B52" s="53" t="s">
        <v>108</v>
      </c>
      <c r="C52" s="54">
        <v>23189</v>
      </c>
      <c r="D52" s="55" t="e">
        <f t="shared" si="3"/>
        <v>#NAME?</v>
      </c>
      <c r="E52" s="55" t="e">
        <f t="shared" si="4"/>
        <v>#NAME?</v>
      </c>
      <c r="F52" s="55" t="e">
        <f t="shared" si="5"/>
        <v>#NAME?</v>
      </c>
    </row>
    <row r="53" spans="1:6">
      <c r="A53" s="47" t="s">
        <v>109</v>
      </c>
      <c r="B53" s="53" t="s">
        <v>110</v>
      </c>
      <c r="C53" s="54">
        <v>6268</v>
      </c>
      <c r="D53" s="55" t="e">
        <f t="shared" si="3"/>
        <v>#NAME?</v>
      </c>
      <c r="E53" s="55" t="e">
        <f t="shared" si="4"/>
        <v>#NAME?</v>
      </c>
      <c r="F53" s="55" t="e">
        <f t="shared" si="5"/>
        <v>#NAME?</v>
      </c>
    </row>
    <row r="54" spans="1:6">
      <c r="A54" s="47" t="s">
        <v>111</v>
      </c>
      <c r="B54" s="53" t="s">
        <v>112</v>
      </c>
      <c r="C54" s="54">
        <v>31176</v>
      </c>
      <c r="D54" s="55" t="e">
        <f t="shared" si="3"/>
        <v>#NAME?</v>
      </c>
      <c r="E54" s="55" t="e">
        <f t="shared" si="4"/>
        <v>#NAME?</v>
      </c>
      <c r="F54" s="55" t="e">
        <f t="shared" si="5"/>
        <v>#NAME?</v>
      </c>
    </row>
    <row r="55" spans="1:6">
      <c r="A55" s="47" t="s">
        <v>113</v>
      </c>
      <c r="B55" s="53" t="s">
        <v>310</v>
      </c>
      <c r="C55" s="54">
        <v>16087</v>
      </c>
      <c r="D55" s="55" t="e">
        <f t="shared" si="3"/>
        <v>#NAME?</v>
      </c>
      <c r="E55" s="55" t="e">
        <f t="shared" si="4"/>
        <v>#NAME?</v>
      </c>
      <c r="F55" s="55" t="e">
        <f t="shared" si="5"/>
        <v>#NAME?</v>
      </c>
    </row>
    <row r="56" spans="1:6">
      <c r="A56" s="47" t="s">
        <v>115</v>
      </c>
      <c r="B56" s="53" t="s">
        <v>116</v>
      </c>
      <c r="C56" s="54">
        <v>290</v>
      </c>
      <c r="D56" s="55" t="e">
        <f t="shared" si="3"/>
        <v>#NAME?</v>
      </c>
      <c r="E56" s="55" t="e">
        <f t="shared" si="4"/>
        <v>#NAME?</v>
      </c>
      <c r="F56" s="55" t="e">
        <f t="shared" si="5"/>
        <v>#NAME?</v>
      </c>
    </row>
    <row r="57" spans="1:6">
      <c r="A57" s="47" t="s">
        <v>117</v>
      </c>
      <c r="B57" s="53" t="s">
        <v>118</v>
      </c>
      <c r="C57" s="54">
        <v>6343</v>
      </c>
      <c r="D57" s="55" t="e">
        <f t="shared" si="3"/>
        <v>#NAME?</v>
      </c>
      <c r="E57" s="55" t="e">
        <f t="shared" si="4"/>
        <v>#NAME?</v>
      </c>
      <c r="F57" s="55" t="e">
        <f t="shared" si="5"/>
        <v>#NAME?</v>
      </c>
    </row>
    <row r="58" spans="1:6">
      <c r="A58" s="47" t="s">
        <v>119</v>
      </c>
      <c r="B58" s="53" t="s">
        <v>277</v>
      </c>
      <c r="C58" s="54">
        <v>4418</v>
      </c>
      <c r="D58" s="55" t="e">
        <f t="shared" si="3"/>
        <v>#NAME?</v>
      </c>
      <c r="E58" s="55" t="e">
        <f t="shared" si="4"/>
        <v>#NAME?</v>
      </c>
      <c r="F58" s="55" t="e">
        <f t="shared" si="5"/>
        <v>#NAME?</v>
      </c>
    </row>
    <row r="59" spans="1:6">
      <c r="A59" s="47" t="s">
        <v>121</v>
      </c>
      <c r="B59" s="53" t="s">
        <v>122</v>
      </c>
      <c r="C59" s="54">
        <v>4708</v>
      </c>
      <c r="D59" s="55" t="e">
        <f t="shared" si="3"/>
        <v>#NAME?</v>
      </c>
      <c r="E59" s="55" t="e">
        <f t="shared" si="4"/>
        <v>#NAME?</v>
      </c>
      <c r="F59" s="55" t="e">
        <f t="shared" si="5"/>
        <v>#NAME?</v>
      </c>
    </row>
    <row r="60" spans="1:6">
      <c r="A60" s="47" t="s">
        <v>123</v>
      </c>
      <c r="B60" s="53" t="s">
        <v>296</v>
      </c>
      <c r="C60" s="54">
        <v>1328</v>
      </c>
      <c r="D60" s="55" t="e">
        <f t="shared" si="3"/>
        <v>#NAME?</v>
      </c>
      <c r="E60" s="55" t="e">
        <f t="shared" si="4"/>
        <v>#NAME?</v>
      </c>
      <c r="F60" s="55" t="e">
        <f t="shared" si="5"/>
        <v>#NAME?</v>
      </c>
    </row>
    <row r="61" spans="1:6">
      <c r="A61" s="47" t="s">
        <v>125</v>
      </c>
      <c r="B61" s="53" t="s">
        <v>126</v>
      </c>
      <c r="C61" s="54">
        <v>2080</v>
      </c>
      <c r="D61" s="55" t="e">
        <f t="shared" si="3"/>
        <v>#NAME?</v>
      </c>
      <c r="E61" s="55" t="e">
        <f t="shared" si="4"/>
        <v>#NAME?</v>
      </c>
      <c r="F61" s="55" t="e">
        <f t="shared" si="5"/>
        <v>#NAME?</v>
      </c>
    </row>
    <row r="62" spans="1:6">
      <c r="A62" s="47" t="s">
        <v>127</v>
      </c>
      <c r="B62" s="53" t="s">
        <v>128</v>
      </c>
      <c r="C62" s="54">
        <v>1653</v>
      </c>
      <c r="D62" s="55" t="e">
        <f t="shared" si="3"/>
        <v>#NAME?</v>
      </c>
      <c r="E62" s="55" t="e">
        <f t="shared" si="4"/>
        <v>#NAME?</v>
      </c>
      <c r="F62" s="55" t="e">
        <f t="shared" si="5"/>
        <v>#NAME?</v>
      </c>
    </row>
    <row r="63" spans="1:6">
      <c r="A63" s="47" t="s">
        <v>129</v>
      </c>
      <c r="B63" s="53" t="s">
        <v>130</v>
      </c>
      <c r="C63" s="54">
        <v>2006</v>
      </c>
      <c r="D63" s="55" t="e">
        <f t="shared" si="3"/>
        <v>#NAME?</v>
      </c>
      <c r="E63" s="55" t="e">
        <f t="shared" si="4"/>
        <v>#NAME?</v>
      </c>
      <c r="F63" s="55" t="e">
        <f t="shared" si="5"/>
        <v>#NAME?</v>
      </c>
    </row>
    <row r="64" spans="1:6">
      <c r="A64" s="47" t="s">
        <v>131</v>
      </c>
      <c r="B64" s="53" t="s">
        <v>132</v>
      </c>
      <c r="C64" s="54">
        <v>7728</v>
      </c>
      <c r="D64" s="55" t="e">
        <f t="shared" si="3"/>
        <v>#NAME?</v>
      </c>
      <c r="E64" s="55" t="e">
        <f t="shared" si="4"/>
        <v>#NAME?</v>
      </c>
      <c r="F64" s="55" t="e">
        <f t="shared" si="5"/>
        <v>#NAME?</v>
      </c>
    </row>
    <row r="65" spans="1:6">
      <c r="A65" s="47" t="s">
        <v>133</v>
      </c>
      <c r="B65" s="53" t="s">
        <v>134</v>
      </c>
      <c r="C65" s="54">
        <v>10860</v>
      </c>
      <c r="D65" s="55" t="e">
        <f t="shared" si="3"/>
        <v>#NAME?</v>
      </c>
      <c r="E65" s="55" t="e">
        <f t="shared" si="4"/>
        <v>#NAME?</v>
      </c>
      <c r="F65" s="55" t="e">
        <f t="shared" si="5"/>
        <v>#NAME?</v>
      </c>
    </row>
    <row r="66" spans="1:6">
      <c r="A66" s="47" t="s">
        <v>135</v>
      </c>
      <c r="B66" s="53" t="s">
        <v>136</v>
      </c>
      <c r="C66" s="54">
        <v>4296</v>
      </c>
      <c r="D66" s="55" t="e">
        <f t="shared" si="3"/>
        <v>#NAME?</v>
      </c>
      <c r="E66" s="55" t="e">
        <f t="shared" si="4"/>
        <v>#NAME?</v>
      </c>
      <c r="F66" s="55" t="e">
        <f t="shared" si="5"/>
        <v>#NAME?</v>
      </c>
    </row>
    <row r="67" spans="1:6">
      <c r="A67" s="47" t="s">
        <v>137</v>
      </c>
      <c r="B67" s="53" t="s">
        <v>138</v>
      </c>
      <c r="C67" s="54">
        <v>2847</v>
      </c>
      <c r="D67" s="55" t="e">
        <f t="shared" ref="D67:D98" si="6">VLOOKUP(B67,_med2008,2,FALSE)</f>
        <v>#NAME?</v>
      </c>
      <c r="E67" s="55" t="e">
        <f t="shared" ref="E67:E98" si="7">VLOOKUP(B67,_med2009,2,FALSE)</f>
        <v>#NAME?</v>
      </c>
      <c r="F67" s="55" t="e">
        <f t="shared" ref="F67:F98" si="8">VLOOKUP(B67,_med2010,2,FALSE)</f>
        <v>#NAME?</v>
      </c>
    </row>
    <row r="68" spans="1:6">
      <c r="A68" s="47" t="s">
        <v>139</v>
      </c>
      <c r="B68" s="53" t="s">
        <v>140</v>
      </c>
      <c r="C68" s="54">
        <v>13893</v>
      </c>
      <c r="D68" s="55" t="e">
        <f t="shared" si="6"/>
        <v>#NAME?</v>
      </c>
      <c r="E68" s="55" t="e">
        <f t="shared" si="7"/>
        <v>#NAME?</v>
      </c>
      <c r="F68" s="55" t="e">
        <f t="shared" si="8"/>
        <v>#NAME?</v>
      </c>
    </row>
    <row r="69" spans="1:6">
      <c r="A69" s="47" t="s">
        <v>141</v>
      </c>
      <c r="B69" s="53" t="s">
        <v>142</v>
      </c>
      <c r="C69" s="54">
        <v>1528</v>
      </c>
      <c r="D69" s="55" t="e">
        <f t="shared" si="6"/>
        <v>#NAME?</v>
      </c>
      <c r="E69" s="55" t="e">
        <f t="shared" si="7"/>
        <v>#NAME?</v>
      </c>
      <c r="F69" s="55" t="e">
        <f t="shared" si="8"/>
        <v>#NAME?</v>
      </c>
    </row>
    <row r="70" spans="1:6">
      <c r="A70" s="47" t="s">
        <v>143</v>
      </c>
      <c r="B70" s="53" t="s">
        <v>144</v>
      </c>
      <c r="C70" s="54">
        <v>5337</v>
      </c>
      <c r="D70" s="55" t="e">
        <f t="shared" si="6"/>
        <v>#NAME?</v>
      </c>
      <c r="E70" s="55" t="e">
        <f t="shared" si="7"/>
        <v>#NAME?</v>
      </c>
      <c r="F70" s="55" t="e">
        <f t="shared" si="8"/>
        <v>#NAME?</v>
      </c>
    </row>
    <row r="71" spans="1:6">
      <c r="A71" s="47" t="s">
        <v>145</v>
      </c>
      <c r="B71" s="53" t="s">
        <v>146</v>
      </c>
      <c r="C71" s="54">
        <v>2146</v>
      </c>
      <c r="D71" s="55" t="e">
        <f t="shared" si="6"/>
        <v>#NAME?</v>
      </c>
      <c r="E71" s="55" t="e">
        <f t="shared" si="7"/>
        <v>#NAME?</v>
      </c>
      <c r="F71" s="55" t="e">
        <f t="shared" si="8"/>
        <v>#NAME?</v>
      </c>
    </row>
    <row r="72" spans="1:6">
      <c r="A72" s="47" t="s">
        <v>147</v>
      </c>
      <c r="B72" s="53" t="s">
        <v>148</v>
      </c>
      <c r="C72" s="54">
        <v>1054</v>
      </c>
      <c r="D72" s="55" t="e">
        <f t="shared" si="6"/>
        <v>#NAME?</v>
      </c>
      <c r="E72" s="55" t="e">
        <f t="shared" si="7"/>
        <v>#NAME?</v>
      </c>
      <c r="F72" s="55" t="e">
        <f t="shared" si="8"/>
        <v>#NAME?</v>
      </c>
    </row>
    <row r="73" spans="1:6">
      <c r="A73" s="47" t="s">
        <v>149</v>
      </c>
      <c r="B73" s="53" t="s">
        <v>150</v>
      </c>
      <c r="C73" s="54">
        <v>6603</v>
      </c>
      <c r="D73" s="55" t="e">
        <f t="shared" si="6"/>
        <v>#NAME?</v>
      </c>
      <c r="E73" s="55" t="e">
        <f t="shared" si="7"/>
        <v>#NAME?</v>
      </c>
      <c r="F73" s="55" t="e">
        <f t="shared" si="8"/>
        <v>#NAME?</v>
      </c>
    </row>
    <row r="74" spans="1:6">
      <c r="A74" s="47" t="s">
        <v>151</v>
      </c>
      <c r="B74" s="53" t="s">
        <v>152</v>
      </c>
      <c r="C74" s="54">
        <v>1464</v>
      </c>
      <c r="D74" s="55" t="e">
        <f t="shared" si="6"/>
        <v>#NAME?</v>
      </c>
      <c r="E74" s="55" t="e">
        <f t="shared" si="7"/>
        <v>#NAME?</v>
      </c>
      <c r="F74" s="55" t="e">
        <f t="shared" si="8"/>
        <v>#NAME?</v>
      </c>
    </row>
    <row r="75" spans="1:6">
      <c r="A75" s="47" t="s">
        <v>153</v>
      </c>
      <c r="B75" s="53" t="s">
        <v>154</v>
      </c>
      <c r="C75" s="54">
        <v>9035</v>
      </c>
      <c r="D75" s="55" t="e">
        <f t="shared" si="6"/>
        <v>#NAME?</v>
      </c>
      <c r="E75" s="55" t="e">
        <f t="shared" si="7"/>
        <v>#NAME?</v>
      </c>
      <c r="F75" s="55" t="e">
        <f t="shared" si="8"/>
        <v>#NAME?</v>
      </c>
    </row>
    <row r="76" spans="1:6">
      <c r="A76" s="47" t="s">
        <v>155</v>
      </c>
      <c r="B76" s="53" t="s">
        <v>156</v>
      </c>
      <c r="C76" s="54">
        <v>2369</v>
      </c>
      <c r="D76" s="55" t="e">
        <f t="shared" si="6"/>
        <v>#NAME?</v>
      </c>
      <c r="E76" s="55" t="e">
        <f t="shared" si="7"/>
        <v>#NAME?</v>
      </c>
      <c r="F76" s="55" t="e">
        <f t="shared" si="8"/>
        <v>#NAME?</v>
      </c>
    </row>
    <row r="77" spans="1:6">
      <c r="A77" s="47" t="s">
        <v>157</v>
      </c>
      <c r="B77" s="53" t="s">
        <v>158</v>
      </c>
      <c r="C77" s="54">
        <v>1076</v>
      </c>
      <c r="D77" s="55" t="e">
        <f t="shared" si="6"/>
        <v>#NAME?</v>
      </c>
      <c r="E77" s="55" t="e">
        <f t="shared" si="7"/>
        <v>#NAME?</v>
      </c>
      <c r="F77" s="55" t="e">
        <f t="shared" si="8"/>
        <v>#NAME?</v>
      </c>
    </row>
    <row r="78" spans="1:6">
      <c r="A78" s="47" t="s">
        <v>159</v>
      </c>
      <c r="B78" s="53" t="s">
        <v>160</v>
      </c>
      <c r="C78" s="54">
        <v>36304</v>
      </c>
      <c r="D78" s="55" t="e">
        <f t="shared" si="6"/>
        <v>#NAME?</v>
      </c>
      <c r="E78" s="55" t="e">
        <f t="shared" si="7"/>
        <v>#NAME?</v>
      </c>
      <c r="F78" s="55" t="e">
        <f t="shared" si="8"/>
        <v>#NAME?</v>
      </c>
    </row>
    <row r="79" spans="1:6">
      <c r="A79" s="47" t="s">
        <v>161</v>
      </c>
      <c r="B79" s="53" t="s">
        <v>162</v>
      </c>
      <c r="C79" s="54">
        <v>50779</v>
      </c>
      <c r="D79" s="55" t="e">
        <f t="shared" si="6"/>
        <v>#NAME?</v>
      </c>
      <c r="E79" s="55" t="e">
        <f t="shared" si="7"/>
        <v>#NAME?</v>
      </c>
      <c r="F79" s="55" t="e">
        <f t="shared" si="8"/>
        <v>#NAME?</v>
      </c>
    </row>
    <row r="80" spans="1:6">
      <c r="A80" s="47" t="s">
        <v>163</v>
      </c>
      <c r="B80" s="53" t="s">
        <v>164</v>
      </c>
      <c r="C80" s="54">
        <v>3609</v>
      </c>
      <c r="D80" s="55" t="e">
        <f t="shared" si="6"/>
        <v>#NAME?</v>
      </c>
      <c r="E80" s="55" t="e">
        <f t="shared" si="7"/>
        <v>#NAME?</v>
      </c>
      <c r="F80" s="55" t="e">
        <f t="shared" si="8"/>
        <v>#NAME?</v>
      </c>
    </row>
    <row r="81" spans="1:6">
      <c r="A81" s="47" t="s">
        <v>165</v>
      </c>
      <c r="B81" s="53" t="s">
        <v>166</v>
      </c>
      <c r="C81" s="54">
        <v>1857</v>
      </c>
      <c r="D81" s="55" t="e">
        <f t="shared" si="6"/>
        <v>#NAME?</v>
      </c>
      <c r="E81" s="55" t="e">
        <f t="shared" si="7"/>
        <v>#NAME?</v>
      </c>
      <c r="F81" s="55" t="e">
        <f t="shared" si="8"/>
        <v>#NAME?</v>
      </c>
    </row>
    <row r="82" spans="1:6">
      <c r="A82" s="47" t="s">
        <v>167</v>
      </c>
      <c r="B82" s="53" t="s">
        <v>168</v>
      </c>
      <c r="C82" s="54">
        <v>1354</v>
      </c>
      <c r="D82" s="55" t="e">
        <f t="shared" si="6"/>
        <v>#NAME?</v>
      </c>
      <c r="E82" s="55" t="e">
        <f t="shared" si="7"/>
        <v>#NAME?</v>
      </c>
      <c r="F82" s="55" t="e">
        <f t="shared" si="8"/>
        <v>#NAME?</v>
      </c>
    </row>
    <row r="83" spans="1:6">
      <c r="A83" s="47" t="s">
        <v>169</v>
      </c>
      <c r="B83" s="53" t="s">
        <v>170</v>
      </c>
      <c r="C83" s="54">
        <v>3392</v>
      </c>
      <c r="D83" s="55" t="e">
        <f t="shared" si="6"/>
        <v>#NAME?</v>
      </c>
      <c r="E83" s="55" t="e">
        <f t="shared" si="7"/>
        <v>#NAME?</v>
      </c>
      <c r="F83" s="55" t="e">
        <f t="shared" si="8"/>
        <v>#NAME?</v>
      </c>
    </row>
    <row r="84" spans="1:6">
      <c r="A84" s="47" t="s">
        <v>171</v>
      </c>
      <c r="B84" s="53" t="s">
        <v>172</v>
      </c>
      <c r="C84" s="54">
        <v>3601</v>
      </c>
      <c r="D84" s="55" t="e">
        <f t="shared" si="6"/>
        <v>#NAME?</v>
      </c>
      <c r="E84" s="55" t="e">
        <f t="shared" si="7"/>
        <v>#NAME?</v>
      </c>
      <c r="F84" s="55" t="e">
        <f t="shared" si="8"/>
        <v>#NAME?</v>
      </c>
    </row>
    <row r="85" spans="1:6">
      <c r="A85" s="47" t="s">
        <v>173</v>
      </c>
      <c r="B85" s="53" t="s">
        <v>174</v>
      </c>
      <c r="C85" s="54">
        <v>4183</v>
      </c>
      <c r="D85" s="55" t="e">
        <f t="shared" si="6"/>
        <v>#NAME?</v>
      </c>
      <c r="E85" s="55" t="e">
        <f t="shared" si="7"/>
        <v>#NAME?</v>
      </c>
      <c r="F85" s="55" t="e">
        <f t="shared" si="8"/>
        <v>#NAME?</v>
      </c>
    </row>
    <row r="86" spans="1:6">
      <c r="A86" s="47" t="s">
        <v>175</v>
      </c>
      <c r="B86" s="53" t="s">
        <v>176</v>
      </c>
      <c r="C86" s="54">
        <v>4149</v>
      </c>
      <c r="D86" s="55" t="e">
        <f t="shared" si="6"/>
        <v>#NAME?</v>
      </c>
      <c r="E86" s="55" t="e">
        <f t="shared" si="7"/>
        <v>#NAME?</v>
      </c>
      <c r="F86" s="55" t="e">
        <f t="shared" si="8"/>
        <v>#NAME?</v>
      </c>
    </row>
    <row r="87" spans="1:6">
      <c r="A87" s="47" t="s">
        <v>177</v>
      </c>
      <c r="B87" s="53" t="s">
        <v>178</v>
      </c>
      <c r="C87" s="54">
        <v>10541</v>
      </c>
      <c r="D87" s="55" t="e">
        <f t="shared" si="6"/>
        <v>#NAME?</v>
      </c>
      <c r="E87" s="55" t="e">
        <f t="shared" si="7"/>
        <v>#NAME?</v>
      </c>
      <c r="F87" s="55" t="e">
        <f t="shared" si="8"/>
        <v>#NAME?</v>
      </c>
    </row>
    <row r="88" spans="1:6">
      <c r="A88" s="47" t="s">
        <v>179</v>
      </c>
      <c r="B88" s="53" t="s">
        <v>180</v>
      </c>
      <c r="C88" s="54">
        <v>11152</v>
      </c>
      <c r="D88" s="55" t="e">
        <f t="shared" si="6"/>
        <v>#NAME?</v>
      </c>
      <c r="E88" s="55" t="e">
        <f t="shared" si="7"/>
        <v>#NAME?</v>
      </c>
      <c r="F88" s="55" t="e">
        <f t="shared" si="8"/>
        <v>#NAME?</v>
      </c>
    </row>
    <row r="89" spans="1:6">
      <c r="A89" s="47" t="s">
        <v>181</v>
      </c>
      <c r="B89" s="53" t="s">
        <v>182</v>
      </c>
      <c r="C89" s="54">
        <v>23485</v>
      </c>
      <c r="D89" s="55" t="e">
        <f t="shared" si="6"/>
        <v>#NAME?</v>
      </c>
      <c r="E89" s="55" t="e">
        <f t="shared" si="7"/>
        <v>#NAME?</v>
      </c>
      <c r="F89" s="55" t="e">
        <f t="shared" si="8"/>
        <v>#NAME?</v>
      </c>
    </row>
    <row r="90" spans="1:6">
      <c r="A90" s="47" t="s">
        <v>183</v>
      </c>
      <c r="B90" s="53" t="s">
        <v>184</v>
      </c>
      <c r="C90" s="54">
        <v>1544</v>
      </c>
      <c r="D90" s="55" t="e">
        <f t="shared" si="6"/>
        <v>#NAME?</v>
      </c>
      <c r="E90" s="55" t="e">
        <f t="shared" si="7"/>
        <v>#NAME?</v>
      </c>
      <c r="F90" s="55" t="e">
        <f t="shared" si="8"/>
        <v>#NAME?</v>
      </c>
    </row>
    <row r="91" spans="1:6">
      <c r="A91" s="47" t="s">
        <v>185</v>
      </c>
      <c r="B91" s="53" t="s">
        <v>186</v>
      </c>
      <c r="C91" s="54">
        <v>4112</v>
      </c>
      <c r="D91" s="55" t="e">
        <f t="shared" si="6"/>
        <v>#NAME?</v>
      </c>
      <c r="E91" s="55" t="e">
        <f t="shared" si="7"/>
        <v>#NAME?</v>
      </c>
      <c r="F91" s="55" t="e">
        <f t="shared" si="8"/>
        <v>#NAME?</v>
      </c>
    </row>
    <row r="92" spans="1:6">
      <c r="A92" s="47" t="s">
        <v>187</v>
      </c>
      <c r="B92" s="53" t="s">
        <v>188</v>
      </c>
      <c r="C92" s="54">
        <v>2880</v>
      </c>
      <c r="D92" s="55" t="e">
        <f t="shared" si="6"/>
        <v>#NAME?</v>
      </c>
      <c r="E92" s="55" t="e">
        <f t="shared" si="7"/>
        <v>#NAME?</v>
      </c>
      <c r="F92" s="55" t="e">
        <f t="shared" si="8"/>
        <v>#NAME?</v>
      </c>
    </row>
    <row r="93" spans="1:6">
      <c r="A93" s="47" t="s">
        <v>189</v>
      </c>
      <c r="B93" s="53" t="s">
        <v>190</v>
      </c>
      <c r="C93" s="54">
        <v>36640</v>
      </c>
      <c r="D93" s="55" t="e">
        <f t="shared" si="6"/>
        <v>#NAME?</v>
      </c>
      <c r="E93" s="55" t="e">
        <f t="shared" si="7"/>
        <v>#NAME?</v>
      </c>
      <c r="F93" s="55" t="e">
        <f t="shared" si="8"/>
        <v>#NAME?</v>
      </c>
    </row>
    <row r="94" spans="1:6">
      <c r="A94" s="47" t="s">
        <v>191</v>
      </c>
      <c r="B94" s="53" t="s">
        <v>192</v>
      </c>
      <c r="C94" s="54">
        <v>6339</v>
      </c>
      <c r="D94" s="55" t="e">
        <f t="shared" si="6"/>
        <v>#NAME?</v>
      </c>
      <c r="E94" s="55" t="e">
        <f t="shared" si="7"/>
        <v>#NAME?</v>
      </c>
      <c r="F94" s="55" t="e">
        <f t="shared" si="8"/>
        <v>#NAME?</v>
      </c>
    </row>
    <row r="95" spans="1:6">
      <c r="A95" s="47" t="s">
        <v>193</v>
      </c>
      <c r="B95" s="53" t="s">
        <v>194</v>
      </c>
      <c r="C95" s="54">
        <v>1886</v>
      </c>
      <c r="D95" s="55" t="e">
        <f t="shared" si="6"/>
        <v>#NAME?</v>
      </c>
      <c r="E95" s="55" t="e">
        <f t="shared" si="7"/>
        <v>#NAME?</v>
      </c>
      <c r="F95" s="55" t="e">
        <f t="shared" si="8"/>
        <v>#NAME?</v>
      </c>
    </row>
    <row r="96" spans="1:6">
      <c r="A96" s="47" t="s">
        <v>195</v>
      </c>
      <c r="B96" s="53" t="s">
        <v>196</v>
      </c>
      <c r="C96" s="54">
        <v>600</v>
      </c>
      <c r="D96" s="55" t="e">
        <f t="shared" si="6"/>
        <v>#NAME?</v>
      </c>
      <c r="E96" s="55" t="e">
        <f t="shared" si="7"/>
        <v>#NAME?</v>
      </c>
      <c r="F96" s="55" t="e">
        <f t="shared" si="8"/>
        <v>#NAME?</v>
      </c>
    </row>
    <row r="97" spans="1:6">
      <c r="A97" s="47" t="s">
        <v>197</v>
      </c>
      <c r="B97" s="53" t="s">
        <v>198</v>
      </c>
      <c r="C97" s="54">
        <v>52734</v>
      </c>
      <c r="D97" s="55" t="e">
        <f t="shared" si="6"/>
        <v>#NAME?</v>
      </c>
      <c r="E97" s="55" t="e">
        <f t="shared" si="7"/>
        <v>#NAME?</v>
      </c>
      <c r="F97" s="55" t="e">
        <f t="shared" si="8"/>
        <v>#NAME?</v>
      </c>
    </row>
    <row r="98" spans="1:6">
      <c r="A98" s="47" t="s">
        <v>199</v>
      </c>
      <c r="B98" s="53" t="s">
        <v>279</v>
      </c>
      <c r="C98" s="54">
        <v>1523</v>
      </c>
      <c r="D98" s="55" t="e">
        <f t="shared" si="6"/>
        <v>#NAME?</v>
      </c>
      <c r="E98" s="55" t="e">
        <f t="shared" si="7"/>
        <v>#NAME?</v>
      </c>
      <c r="F98" s="55" t="e">
        <f t="shared" si="8"/>
        <v>#NAME?</v>
      </c>
    </row>
    <row r="99" spans="1:6">
      <c r="A99" s="47" t="s">
        <v>201</v>
      </c>
      <c r="B99" s="53" t="s">
        <v>202</v>
      </c>
      <c r="C99" s="54">
        <v>23966</v>
      </c>
      <c r="D99" s="55" t="e">
        <f t="shared" ref="D99:D122" si="9">VLOOKUP(B99,_med2008,2,FALSE)</f>
        <v>#NAME?</v>
      </c>
      <c r="E99" s="55" t="e">
        <f t="shared" ref="E99:E122" si="10">VLOOKUP(B99,_med2009,2,FALSE)</f>
        <v>#NAME?</v>
      </c>
      <c r="F99" s="55" t="e">
        <f t="shared" ref="F99:F122" si="11">VLOOKUP(B99,_med2010,2,FALSE)</f>
        <v>#NAME?</v>
      </c>
    </row>
    <row r="100" spans="1:6">
      <c r="A100" s="47" t="s">
        <v>203</v>
      </c>
      <c r="B100" s="53" t="s">
        <v>311</v>
      </c>
      <c r="C100" s="54">
        <v>10237</v>
      </c>
      <c r="D100" s="55" t="e">
        <f t="shared" si="9"/>
        <v>#NAME?</v>
      </c>
      <c r="E100" s="55" t="e">
        <f t="shared" si="10"/>
        <v>#NAME?</v>
      </c>
      <c r="F100" s="55" t="e">
        <f t="shared" si="11"/>
        <v>#NAME?</v>
      </c>
    </row>
    <row r="101" spans="1:6">
      <c r="A101" s="47" t="s">
        <v>205</v>
      </c>
      <c r="B101" s="53" t="s">
        <v>303</v>
      </c>
      <c r="C101" s="54">
        <v>4580</v>
      </c>
      <c r="D101" s="55" t="e">
        <f t="shared" si="9"/>
        <v>#NAME?</v>
      </c>
      <c r="E101" s="55" t="e">
        <f t="shared" si="10"/>
        <v>#NAME?</v>
      </c>
      <c r="F101" s="55" t="e">
        <f t="shared" si="11"/>
        <v>#NAME?</v>
      </c>
    </row>
    <row r="102" spans="1:6">
      <c r="A102" s="47" t="s">
        <v>207</v>
      </c>
      <c r="B102" s="53" t="s">
        <v>304</v>
      </c>
      <c r="C102" s="54">
        <v>14124</v>
      </c>
      <c r="D102" s="55" t="e">
        <f t="shared" si="9"/>
        <v>#NAME?</v>
      </c>
      <c r="E102" s="55" t="e">
        <f t="shared" si="10"/>
        <v>#NAME?</v>
      </c>
      <c r="F102" s="55" t="e">
        <f t="shared" si="11"/>
        <v>#NAME?</v>
      </c>
    </row>
    <row r="103" spans="1:6">
      <c r="A103" s="47" t="s">
        <v>209</v>
      </c>
      <c r="B103" s="53" t="s">
        <v>210</v>
      </c>
      <c r="C103" s="54">
        <v>7462</v>
      </c>
      <c r="D103" s="55" t="e">
        <f t="shared" si="9"/>
        <v>#NAME?</v>
      </c>
      <c r="E103" s="55" t="e">
        <f t="shared" si="10"/>
        <v>#NAME?</v>
      </c>
      <c r="F103" s="55" t="e">
        <f t="shared" si="11"/>
        <v>#NAME?</v>
      </c>
    </row>
    <row r="104" spans="1:6">
      <c r="A104" s="47" t="s">
        <v>211</v>
      </c>
      <c r="B104" s="53" t="s">
        <v>212</v>
      </c>
      <c r="C104" s="54">
        <v>5195</v>
      </c>
      <c r="D104" s="55" t="e">
        <f t="shared" si="9"/>
        <v>#NAME?</v>
      </c>
      <c r="E104" s="55" t="e">
        <f t="shared" si="10"/>
        <v>#NAME?</v>
      </c>
      <c r="F104" s="55" t="e">
        <f t="shared" si="11"/>
        <v>#NAME?</v>
      </c>
    </row>
    <row r="105" spans="1:6">
      <c r="A105" s="47" t="s">
        <v>213</v>
      </c>
      <c r="B105" s="53" t="s">
        <v>214</v>
      </c>
      <c r="C105" s="54">
        <v>5195</v>
      </c>
      <c r="D105" s="55" t="e">
        <f t="shared" si="9"/>
        <v>#NAME?</v>
      </c>
      <c r="E105" s="55" t="e">
        <f t="shared" si="10"/>
        <v>#NAME?</v>
      </c>
      <c r="F105" s="55" t="e">
        <f t="shared" si="11"/>
        <v>#NAME?</v>
      </c>
    </row>
    <row r="106" spans="1:6">
      <c r="A106" s="47" t="s">
        <v>215</v>
      </c>
      <c r="B106" s="53" t="s">
        <v>216</v>
      </c>
      <c r="C106" s="54">
        <v>7096</v>
      </c>
      <c r="D106" s="55" t="e">
        <f t="shared" si="9"/>
        <v>#NAME?</v>
      </c>
      <c r="E106" s="55" t="e">
        <f t="shared" si="10"/>
        <v>#NAME?</v>
      </c>
      <c r="F106" s="55" t="e">
        <f t="shared" si="11"/>
        <v>#NAME?</v>
      </c>
    </row>
    <row r="107" spans="1:6">
      <c r="A107" s="47" t="s">
        <v>217</v>
      </c>
      <c r="B107" s="53" t="s">
        <v>218</v>
      </c>
      <c r="C107" s="54">
        <v>3525</v>
      </c>
      <c r="D107" s="55" t="e">
        <f t="shared" si="9"/>
        <v>#NAME?</v>
      </c>
      <c r="E107" s="55" t="e">
        <f t="shared" si="10"/>
        <v>#NAME?</v>
      </c>
      <c r="F107" s="55" t="e">
        <f t="shared" si="11"/>
        <v>#NAME?</v>
      </c>
    </row>
    <row r="108" spans="1:6">
      <c r="A108" s="47" t="s">
        <v>219</v>
      </c>
      <c r="B108" s="53" t="s">
        <v>220</v>
      </c>
      <c r="C108" s="54">
        <v>10432</v>
      </c>
      <c r="D108" s="55" t="e">
        <f t="shared" si="9"/>
        <v>#NAME?</v>
      </c>
      <c r="E108" s="55" t="e">
        <f t="shared" si="10"/>
        <v>#NAME?</v>
      </c>
      <c r="F108" s="55" t="e">
        <f t="shared" si="11"/>
        <v>#NAME?</v>
      </c>
    </row>
    <row r="109" spans="1:6">
      <c r="A109" s="47" t="s">
        <v>221</v>
      </c>
      <c r="B109" s="53" t="s">
        <v>222</v>
      </c>
      <c r="C109" s="54">
        <v>9491</v>
      </c>
      <c r="D109" s="55" t="e">
        <f t="shared" si="9"/>
        <v>#NAME?</v>
      </c>
      <c r="E109" s="55" t="e">
        <f t="shared" si="10"/>
        <v>#NAME?</v>
      </c>
      <c r="F109" s="55" t="e">
        <f t="shared" si="11"/>
        <v>#NAME?</v>
      </c>
    </row>
    <row r="110" spans="1:6">
      <c r="A110" s="47" t="s">
        <v>223</v>
      </c>
      <c r="B110" s="53" t="s">
        <v>224</v>
      </c>
      <c r="C110" s="54">
        <v>12754</v>
      </c>
      <c r="D110" s="55" t="e">
        <f t="shared" si="9"/>
        <v>#NAME?</v>
      </c>
      <c r="E110" s="55" t="e">
        <f t="shared" si="10"/>
        <v>#NAME?</v>
      </c>
      <c r="F110" s="55" t="e">
        <f t="shared" si="11"/>
        <v>#NAME?</v>
      </c>
    </row>
    <row r="111" spans="1:6">
      <c r="A111" s="47" t="s">
        <v>225</v>
      </c>
      <c r="B111" s="53" t="s">
        <v>226</v>
      </c>
      <c r="C111" s="54">
        <v>1157</v>
      </c>
      <c r="D111" s="55" t="e">
        <f t="shared" si="9"/>
        <v>#NAME?</v>
      </c>
      <c r="E111" s="55" t="e">
        <f t="shared" si="10"/>
        <v>#NAME?</v>
      </c>
      <c r="F111" s="55" t="e">
        <f t="shared" si="11"/>
        <v>#NAME?</v>
      </c>
    </row>
    <row r="112" spans="1:6">
      <c r="A112" s="47" t="s">
        <v>227</v>
      </c>
      <c r="B112" s="53" t="s">
        <v>228</v>
      </c>
      <c r="C112" s="54">
        <v>2285</v>
      </c>
      <c r="D112" s="55" t="e">
        <f t="shared" si="9"/>
        <v>#NAME?</v>
      </c>
      <c r="E112" s="55" t="e">
        <f t="shared" si="10"/>
        <v>#NAME?</v>
      </c>
      <c r="F112" s="55" t="e">
        <f t="shared" si="11"/>
        <v>#NAME?</v>
      </c>
    </row>
    <row r="113" spans="1:6">
      <c r="A113" s="47" t="s">
        <v>229</v>
      </c>
      <c r="B113" s="53" t="s">
        <v>230</v>
      </c>
      <c r="C113" s="54">
        <v>10374</v>
      </c>
      <c r="D113" s="55" t="e">
        <f t="shared" si="9"/>
        <v>#NAME?</v>
      </c>
      <c r="E113" s="55" t="e">
        <f t="shared" si="10"/>
        <v>#NAME?</v>
      </c>
      <c r="F113" s="55" t="e">
        <f t="shared" si="11"/>
        <v>#NAME?</v>
      </c>
    </row>
    <row r="114" spans="1:6">
      <c r="A114" s="47" t="s">
        <v>231</v>
      </c>
      <c r="B114" s="53" t="s">
        <v>232</v>
      </c>
      <c r="C114" s="54">
        <v>37990</v>
      </c>
      <c r="D114" s="55" t="e">
        <f t="shared" si="9"/>
        <v>#NAME?</v>
      </c>
      <c r="E114" s="55" t="e">
        <f t="shared" si="10"/>
        <v>#NAME?</v>
      </c>
      <c r="F114" s="55" t="e">
        <f t="shared" si="11"/>
        <v>#NAME?</v>
      </c>
    </row>
    <row r="115" spans="1:6">
      <c r="A115" s="47" t="s">
        <v>233</v>
      </c>
      <c r="B115" s="53" t="s">
        <v>234</v>
      </c>
      <c r="C115" s="54">
        <v>4412</v>
      </c>
      <c r="D115" s="55" t="e">
        <f t="shared" si="9"/>
        <v>#NAME?</v>
      </c>
      <c r="E115" s="55" t="e">
        <f t="shared" si="10"/>
        <v>#NAME?</v>
      </c>
      <c r="F115" s="55" t="e">
        <f t="shared" si="11"/>
        <v>#NAME?</v>
      </c>
    </row>
    <row r="116" spans="1:6">
      <c r="A116" s="47" t="s">
        <v>235</v>
      </c>
      <c r="B116" s="53" t="s">
        <v>236</v>
      </c>
      <c r="C116" s="54">
        <v>8608</v>
      </c>
      <c r="D116" s="55" t="e">
        <f t="shared" si="9"/>
        <v>#NAME?</v>
      </c>
      <c r="E116" s="55" t="e">
        <f t="shared" si="10"/>
        <v>#NAME?</v>
      </c>
      <c r="F116" s="55" t="e">
        <f t="shared" si="11"/>
        <v>#NAME?</v>
      </c>
    </row>
    <row r="117" spans="1:6">
      <c r="A117" s="47" t="s">
        <v>237</v>
      </c>
      <c r="B117" s="53" t="s">
        <v>238</v>
      </c>
      <c r="C117" s="54">
        <v>3160</v>
      </c>
      <c r="D117" s="55" t="e">
        <f t="shared" si="9"/>
        <v>#NAME?</v>
      </c>
      <c r="E117" s="55" t="e">
        <f t="shared" si="10"/>
        <v>#NAME?</v>
      </c>
      <c r="F117" s="55" t="e">
        <f t="shared" si="11"/>
        <v>#NAME?</v>
      </c>
    </row>
    <row r="118" spans="1:6">
      <c r="A118" s="47" t="s">
        <v>239</v>
      </c>
      <c r="B118" s="53" t="s">
        <v>240</v>
      </c>
      <c r="C118" s="54">
        <v>969</v>
      </c>
      <c r="D118" s="55" t="e">
        <f t="shared" si="9"/>
        <v>#NAME?</v>
      </c>
      <c r="E118" s="55" t="e">
        <f t="shared" si="10"/>
        <v>#NAME?</v>
      </c>
      <c r="F118" s="55" t="e">
        <f t="shared" si="11"/>
        <v>#NAME?</v>
      </c>
    </row>
    <row r="119" spans="1:6">
      <c r="A119" s="47" t="s">
        <v>241</v>
      </c>
      <c r="B119" s="53" t="s">
        <v>242</v>
      </c>
      <c r="C119" s="54">
        <v>4206</v>
      </c>
      <c r="D119" s="55" t="e">
        <f t="shared" si="9"/>
        <v>#NAME?</v>
      </c>
      <c r="E119" s="55" t="e">
        <f t="shared" si="10"/>
        <v>#NAME?</v>
      </c>
      <c r="F119" s="55" t="e">
        <f t="shared" si="11"/>
        <v>#NAME?</v>
      </c>
    </row>
    <row r="120" spans="1:6">
      <c r="A120" s="47" t="s">
        <v>243</v>
      </c>
      <c r="B120" s="53" t="s">
        <v>244</v>
      </c>
      <c r="C120" s="54">
        <v>11327</v>
      </c>
      <c r="D120" s="55" t="e">
        <f t="shared" si="9"/>
        <v>#NAME?</v>
      </c>
      <c r="E120" s="55" t="e">
        <f t="shared" si="10"/>
        <v>#NAME?</v>
      </c>
      <c r="F120" s="55" t="e">
        <f t="shared" si="11"/>
        <v>#NAME?</v>
      </c>
    </row>
    <row r="121" spans="1:6">
      <c r="A121" s="47" t="s">
        <v>245</v>
      </c>
      <c r="B121" s="53" t="s">
        <v>246</v>
      </c>
      <c r="C121" s="54">
        <v>5359</v>
      </c>
      <c r="D121" s="55" t="e">
        <f t="shared" si="9"/>
        <v>#NAME?</v>
      </c>
      <c r="E121" s="55" t="e">
        <f t="shared" si="10"/>
        <v>#NAME?</v>
      </c>
      <c r="F121" s="55" t="e">
        <f t="shared" si="11"/>
        <v>#NAME?</v>
      </c>
    </row>
    <row r="122" spans="1:6">
      <c r="A122" s="47" t="s">
        <v>247</v>
      </c>
      <c r="B122" s="53" t="s">
        <v>248</v>
      </c>
      <c r="C122" s="54">
        <v>3577</v>
      </c>
      <c r="D122" s="55" t="e">
        <f t="shared" si="9"/>
        <v>#NAME?</v>
      </c>
      <c r="E122" s="55" t="e">
        <f t="shared" si="10"/>
        <v>#NAME?</v>
      </c>
      <c r="F122" s="55" t="e">
        <f t="shared" si="11"/>
        <v>#NAME?</v>
      </c>
    </row>
    <row r="123" spans="1:6">
      <c r="B123" s="56"/>
      <c r="C123" s="54">
        <f>SUM(C3:C122)</f>
        <v>983399</v>
      </c>
      <c r="D123" s="54" t="e">
        <f>SUM(D3:D122)</f>
        <v>#NAME?</v>
      </c>
      <c r="E123" s="54" t="e">
        <f>SUM(E3:E122)</f>
        <v>#NAME?</v>
      </c>
      <c r="F123" s="54" t="e">
        <f>SUM(F3:F122)</f>
        <v>#NAME?</v>
      </c>
    </row>
    <row r="124" spans="1:6">
      <c r="B124" s="56"/>
      <c r="C124" s="3"/>
      <c r="D124" s="57"/>
    </row>
    <row r="125" spans="1:6">
      <c r="B125" s="58"/>
      <c r="C125" s="59">
        <v>983399</v>
      </c>
      <c r="D125" s="50" t="e">
        <f>VLOOKUP(B125,_med2008,2,FALSE)</f>
        <v>#NAME?</v>
      </c>
    </row>
    <row r="126" spans="1:6" s="62" customFormat="1">
      <c r="B126" s="60">
        <v>40714</v>
      </c>
      <c r="C126" s="4" t="s">
        <v>709</v>
      </c>
      <c r="D126" s="61">
        <v>0.47415509</v>
      </c>
    </row>
  </sheetData>
  <pageMargins left="0.75" right="0.75" top="1" bottom="1" header="0.5" footer="0.5"/>
  <pageSetup orientation="portrait" r:id="rId1"/>
  <drawing r:id="rId2"/>
</worksheet>
</file>

<file path=xl/worksheets/sheet39.xml><?xml version="1.0" encoding="utf-8"?>
<worksheet xmlns="http://schemas.openxmlformats.org/spreadsheetml/2006/main" xmlns:r="http://schemas.openxmlformats.org/officeDocument/2006/relationships">
  <dimension ref="A1:AJ133"/>
  <sheetViews>
    <sheetView workbookViewId="0">
      <pane xSplit="4" ySplit="6" topLeftCell="E49" activePane="bottomRight" state="frozen"/>
      <selection pane="topRight" activeCell="E1" sqref="E1"/>
      <selection pane="bottomLeft" activeCell="A7" sqref="A7"/>
      <selection pane="bottomRight" activeCell="T129" sqref="T129"/>
    </sheetView>
  </sheetViews>
  <sheetFormatPr defaultRowHeight="15.75"/>
  <cols>
    <col min="1" max="1" width="6.125" style="280" bestFit="1" customWidth="1"/>
    <col min="2" max="2" width="26.375" style="1155" customWidth="1"/>
    <col min="3" max="3" width="10.375" style="1155" customWidth="1"/>
    <col min="4" max="4" width="0.75" style="280" customWidth="1"/>
    <col min="5" max="25" width="8.625" style="280" customWidth="1"/>
    <col min="26" max="26" width="9.875" style="280" customWidth="1"/>
    <col min="27" max="27" width="16.125" style="280" customWidth="1"/>
    <col min="28" max="28" width="2.375" style="280" customWidth="1"/>
    <col min="29" max="29" width="2.5" style="280" customWidth="1"/>
    <col min="30" max="16384" width="9" style="280"/>
  </cols>
  <sheetData>
    <row r="1" spans="1:36">
      <c r="A1" s="64" t="s">
        <v>979</v>
      </c>
      <c r="B1" s="280"/>
      <c r="C1" s="280"/>
    </row>
    <row r="3" spans="1:36">
      <c r="B3" s="280"/>
      <c r="C3" s="280"/>
    </row>
    <row r="4" spans="1:36" ht="15.75" customHeight="1">
      <c r="E4" s="1694" t="s">
        <v>835</v>
      </c>
      <c r="F4" s="1696"/>
      <c r="G4" s="1696"/>
      <c r="H4" s="1696"/>
      <c r="I4" s="1696"/>
      <c r="J4" s="1696"/>
      <c r="K4" s="1697"/>
      <c r="L4" s="1694" t="s">
        <v>860</v>
      </c>
      <c r="M4" s="1696"/>
      <c r="N4" s="1696"/>
      <c r="O4" s="1696"/>
      <c r="P4" s="1696"/>
      <c r="Q4" s="1696"/>
      <c r="R4" s="1697"/>
      <c r="S4" s="1694" t="s">
        <v>861</v>
      </c>
      <c r="T4" s="1696"/>
      <c r="U4" s="1696"/>
      <c r="V4" s="1696"/>
      <c r="W4" s="1696"/>
      <c r="X4" s="1696"/>
      <c r="Y4" s="1697"/>
      <c r="Z4" s="1698" t="s">
        <v>938</v>
      </c>
      <c r="AA4" s="1700" t="s">
        <v>943</v>
      </c>
      <c r="AD4" s="1694" t="s">
        <v>862</v>
      </c>
      <c r="AE4" s="1695"/>
      <c r="AF4" s="1696"/>
      <c r="AG4" s="1696"/>
      <c r="AH4" s="1696"/>
      <c r="AI4" s="1696"/>
      <c r="AJ4" s="1697"/>
    </row>
    <row r="5" spans="1:36" ht="47.25">
      <c r="A5" s="1156" t="s">
        <v>4</v>
      </c>
      <c r="B5" s="1157" t="s">
        <v>846</v>
      </c>
      <c r="C5" s="1157" t="s">
        <v>252</v>
      </c>
      <c r="E5" s="1140" t="s">
        <v>904</v>
      </c>
      <c r="F5" s="1141" t="s">
        <v>905</v>
      </c>
      <c r="G5" s="1141" t="s">
        <v>946</v>
      </c>
      <c r="H5" s="1141" t="s">
        <v>1137</v>
      </c>
      <c r="I5" s="1141" t="s">
        <v>906</v>
      </c>
      <c r="J5" s="1141" t="s">
        <v>907</v>
      </c>
      <c r="K5" s="1142" t="s">
        <v>833</v>
      </c>
      <c r="L5" s="1140" t="s">
        <v>904</v>
      </c>
      <c r="M5" s="1141" t="s">
        <v>905</v>
      </c>
      <c r="N5" s="1141" t="s">
        <v>946</v>
      </c>
      <c r="O5" s="1141" t="s">
        <v>1137</v>
      </c>
      <c r="P5" s="1141" t="s">
        <v>906</v>
      </c>
      <c r="Q5" s="1141" t="s">
        <v>907</v>
      </c>
      <c r="R5" s="515" t="s">
        <v>833</v>
      </c>
      <c r="S5" s="1140" t="s">
        <v>904</v>
      </c>
      <c r="T5" s="1141" t="s">
        <v>905</v>
      </c>
      <c r="U5" s="1141" t="s">
        <v>946</v>
      </c>
      <c r="V5" s="1141" t="s">
        <v>1137</v>
      </c>
      <c r="W5" s="1141" t="s">
        <v>906</v>
      </c>
      <c r="X5" s="1141" t="s">
        <v>907</v>
      </c>
      <c r="Y5" s="515" t="s">
        <v>833</v>
      </c>
      <c r="Z5" s="1699"/>
      <c r="AA5" s="1700"/>
      <c r="AD5" s="1143" t="s">
        <v>944</v>
      </c>
      <c r="AE5" s="1144" t="s">
        <v>945</v>
      </c>
      <c r="AF5" s="1145" t="s">
        <v>941</v>
      </c>
      <c r="AG5" s="1145" t="s">
        <v>942</v>
      </c>
      <c r="AH5" s="1145" t="s">
        <v>946</v>
      </c>
      <c r="AI5" s="1145" t="s">
        <v>1137</v>
      </c>
      <c r="AJ5" s="1146" t="s">
        <v>289</v>
      </c>
    </row>
    <row r="6" spans="1:36">
      <c r="A6" s="1158" t="s">
        <v>8</v>
      </c>
      <c r="B6" s="1159" t="s">
        <v>9</v>
      </c>
      <c r="C6" s="1159"/>
      <c r="E6" s="1177">
        <f>SUM(E7:E126)</f>
        <v>2724</v>
      </c>
      <c r="F6" s="1178">
        <f t="shared" ref="F6:Q6" si="0">SUM(F7:F126)</f>
        <v>482</v>
      </c>
      <c r="G6" s="1178">
        <f t="shared" si="0"/>
        <v>1578</v>
      </c>
      <c r="H6" s="1178">
        <f t="shared" si="0"/>
        <v>215</v>
      </c>
      <c r="I6" s="1178">
        <f t="shared" si="0"/>
        <v>2607</v>
      </c>
      <c r="J6" s="1178">
        <f t="shared" si="0"/>
        <v>564</v>
      </c>
      <c r="K6" s="1179">
        <f>SUM(E6:J6)</f>
        <v>8170</v>
      </c>
      <c r="L6" s="1178">
        <f t="shared" si="0"/>
        <v>602</v>
      </c>
      <c r="M6" s="1178">
        <f t="shared" si="0"/>
        <v>62</v>
      </c>
      <c r="N6" s="1178">
        <f t="shared" si="0"/>
        <v>468</v>
      </c>
      <c r="O6" s="1178">
        <f t="shared" si="0"/>
        <v>93</v>
      </c>
      <c r="P6" s="1178">
        <f t="shared" si="0"/>
        <v>708</v>
      </c>
      <c r="Q6" s="1178">
        <f t="shared" si="0"/>
        <v>70</v>
      </c>
      <c r="R6" s="1179">
        <f>SUM(L6:Q6)</f>
        <v>2003</v>
      </c>
      <c r="S6" s="1180">
        <f t="shared" ref="S6:X6" si="1">SUM(S7:S126)</f>
        <v>3</v>
      </c>
      <c r="T6" s="1181">
        <f t="shared" si="1"/>
        <v>1</v>
      </c>
      <c r="U6" s="1181">
        <f t="shared" si="1"/>
        <v>17</v>
      </c>
      <c r="V6" s="1181">
        <f t="shared" si="1"/>
        <v>1</v>
      </c>
      <c r="W6" s="1181">
        <f t="shared" si="1"/>
        <v>43</v>
      </c>
      <c r="X6" s="1181">
        <f t="shared" si="1"/>
        <v>4</v>
      </c>
      <c r="Y6" s="1182">
        <f>SUM(S6:X6)</f>
        <v>69</v>
      </c>
      <c r="Z6" s="1183">
        <f>K6+R6+Y6</f>
        <v>10242</v>
      </c>
      <c r="AA6" s="1183">
        <f>K6+R6</f>
        <v>10173</v>
      </c>
      <c r="AD6" s="1175">
        <f>IF((E6+L6)=0,"NA",(L6/(E6+L6)))</f>
        <v>0.18099819603126879</v>
      </c>
      <c r="AE6" s="1175">
        <f>IF((F6+M6)=0,"NA",(M6/(F6+M6)))</f>
        <v>0.11397058823529412</v>
      </c>
      <c r="AF6" s="1175">
        <f>IF((I6+P6)=0,"NA",(P6/(I6+P6)))</f>
        <v>0.21357466063348415</v>
      </c>
      <c r="AG6" s="1175">
        <f>IF((J6+Q6)=0,"NA",(Q6/(J6+Q6)))</f>
        <v>0.11041009463722397</v>
      </c>
      <c r="AH6" s="1175">
        <f>IF((G6+N6)=0,"NA",(N6/(G6+N6)))</f>
        <v>0.22873900293255131</v>
      </c>
      <c r="AI6" s="1175">
        <f>IF((H6+O6)=0,"NA",(O6/(H6+O6)))</f>
        <v>0.30194805194805197</v>
      </c>
      <c r="AJ6" s="1176">
        <f>IF((K6+R6)=0,"NA",(R6/(K6+R6)))</f>
        <v>0.19689373832694387</v>
      </c>
    </row>
    <row r="7" spans="1:36">
      <c r="A7" s="738" t="s">
        <v>10</v>
      </c>
      <c r="B7" s="627" t="s">
        <v>11</v>
      </c>
      <c r="C7" s="666" t="s">
        <v>271</v>
      </c>
      <c r="E7" s="1160">
        <v>24</v>
      </c>
      <c r="F7" s="1161">
        <v>2</v>
      </c>
      <c r="G7" s="1161">
        <v>10</v>
      </c>
      <c r="H7" s="1161"/>
      <c r="I7" s="1161">
        <v>14</v>
      </c>
      <c r="J7" s="1161">
        <v>4</v>
      </c>
      <c r="K7" s="337">
        <f t="shared" ref="K7:K70" si="2">SUM(E7:J7)</f>
        <v>54</v>
      </c>
      <c r="L7" s="1160">
        <v>10</v>
      </c>
      <c r="M7" s="1161">
        <v>1</v>
      </c>
      <c r="N7" s="1161">
        <v>7</v>
      </c>
      <c r="O7" s="1161"/>
      <c r="P7" s="1161">
        <v>3</v>
      </c>
      <c r="Q7" s="1161"/>
      <c r="R7" s="337">
        <f t="shared" ref="R7:R70" si="3">SUM(L7:Q7)</f>
        <v>21</v>
      </c>
      <c r="S7" s="1160"/>
      <c r="T7" s="1161"/>
      <c r="U7" s="1161"/>
      <c r="V7" s="1161"/>
      <c r="W7" s="1161"/>
      <c r="X7" s="1161"/>
      <c r="Y7" s="337">
        <f t="shared" ref="Y7:Y70" si="4">SUM(S7:X7)</f>
        <v>0</v>
      </c>
      <c r="Z7" s="1162">
        <f t="shared" ref="Z7:Z20" si="5">K7+R7+Y7</f>
        <v>75</v>
      </c>
      <c r="AA7" s="1162">
        <f t="shared" ref="AA7:AA70" si="6">K7+R7</f>
        <v>75</v>
      </c>
      <c r="AD7" s="1163">
        <f t="shared" ref="AD7:AE70" si="7">IF((E7+L7)=0,"NA",(L7/(E7+L7)))</f>
        <v>0.29411764705882354</v>
      </c>
      <c r="AE7" s="1164">
        <f t="shared" si="7"/>
        <v>0.33333333333333331</v>
      </c>
      <c r="AF7" s="1165">
        <f t="shared" ref="AF7:AG70" si="8">IF((I7+P7)=0,"NA",(P7/(I7+P7)))</f>
        <v>0.17647058823529413</v>
      </c>
      <c r="AG7" s="1165">
        <f t="shared" si="8"/>
        <v>0</v>
      </c>
      <c r="AH7" s="1165">
        <f t="shared" ref="AH7:AI70" si="9">IF((G7+N7)=0,"NA",(N7/(G7+N7)))</f>
        <v>0.41176470588235292</v>
      </c>
      <c r="AI7" s="1165" t="str">
        <f t="shared" si="9"/>
        <v>NA</v>
      </c>
      <c r="AJ7" s="1166">
        <f t="shared" ref="AJ7:AJ70" si="10">IF((K7+R7)=0,"NA",(R7/(K7+R7)))</f>
        <v>0.28000000000000003</v>
      </c>
    </row>
    <row r="8" spans="1:36">
      <c r="A8" s="738" t="s">
        <v>12</v>
      </c>
      <c r="B8" s="627" t="s">
        <v>13</v>
      </c>
      <c r="C8" s="666" t="s">
        <v>272</v>
      </c>
      <c r="E8" s="1160">
        <v>26</v>
      </c>
      <c r="F8" s="1161">
        <v>5</v>
      </c>
      <c r="G8" s="1161">
        <v>24</v>
      </c>
      <c r="H8" s="1161"/>
      <c r="I8" s="1161">
        <v>44</v>
      </c>
      <c r="J8" s="1161">
        <v>7</v>
      </c>
      <c r="K8" s="337">
        <f t="shared" si="2"/>
        <v>106</v>
      </c>
      <c r="L8" s="1160">
        <v>4</v>
      </c>
      <c r="M8" s="1161"/>
      <c r="N8" s="1161">
        <v>1</v>
      </c>
      <c r="O8" s="1161"/>
      <c r="P8" s="1161">
        <v>2</v>
      </c>
      <c r="Q8" s="1161">
        <v>1</v>
      </c>
      <c r="R8" s="337">
        <f t="shared" si="3"/>
        <v>8</v>
      </c>
      <c r="S8" s="1160"/>
      <c r="T8" s="1161"/>
      <c r="U8" s="1161"/>
      <c r="V8" s="1161"/>
      <c r="W8" s="1161"/>
      <c r="X8" s="1161"/>
      <c r="Y8" s="337">
        <f t="shared" si="4"/>
        <v>0</v>
      </c>
      <c r="Z8" s="1162">
        <f t="shared" si="5"/>
        <v>114</v>
      </c>
      <c r="AA8" s="1162">
        <f t="shared" si="6"/>
        <v>114</v>
      </c>
      <c r="AD8" s="1163">
        <f t="shared" si="7"/>
        <v>0.13333333333333333</v>
      </c>
      <c r="AE8" s="1164">
        <f t="shared" si="7"/>
        <v>0</v>
      </c>
      <c r="AF8" s="1165">
        <f t="shared" si="8"/>
        <v>4.3478260869565216E-2</v>
      </c>
      <c r="AG8" s="1165">
        <f t="shared" si="8"/>
        <v>0.125</v>
      </c>
      <c r="AH8" s="1165">
        <f t="shared" si="9"/>
        <v>0.04</v>
      </c>
      <c r="AI8" s="1165" t="str">
        <f t="shared" si="9"/>
        <v>NA</v>
      </c>
      <c r="AJ8" s="1166">
        <f t="shared" si="10"/>
        <v>7.0175438596491224E-2</v>
      </c>
    </row>
    <row r="9" spans="1:36">
      <c r="A9" s="738" t="s">
        <v>16</v>
      </c>
      <c r="B9" s="627" t="s">
        <v>307</v>
      </c>
      <c r="C9" s="666" t="s">
        <v>272</v>
      </c>
      <c r="E9" s="1160">
        <v>16</v>
      </c>
      <c r="F9" s="1161">
        <v>2</v>
      </c>
      <c r="G9" s="1161">
        <v>9</v>
      </c>
      <c r="H9" s="1161">
        <v>1</v>
      </c>
      <c r="I9" s="1161">
        <v>10</v>
      </c>
      <c r="J9" s="1161">
        <v>2</v>
      </c>
      <c r="K9" s="337">
        <f t="shared" si="2"/>
        <v>40</v>
      </c>
      <c r="L9" s="1160">
        <v>1</v>
      </c>
      <c r="M9" s="1161">
        <v>1</v>
      </c>
      <c r="N9" s="1161">
        <v>3</v>
      </c>
      <c r="O9" s="1161"/>
      <c r="P9" s="1161">
        <v>6</v>
      </c>
      <c r="Q9" s="1161"/>
      <c r="R9" s="337">
        <f t="shared" si="3"/>
        <v>11</v>
      </c>
      <c r="S9" s="1160"/>
      <c r="T9" s="1161"/>
      <c r="U9" s="1161"/>
      <c r="V9" s="1161"/>
      <c r="W9" s="1161"/>
      <c r="X9" s="1161"/>
      <c r="Y9" s="337">
        <f t="shared" si="4"/>
        <v>0</v>
      </c>
      <c r="Z9" s="1162">
        <f t="shared" si="5"/>
        <v>51</v>
      </c>
      <c r="AA9" s="1162">
        <f t="shared" si="6"/>
        <v>51</v>
      </c>
      <c r="AD9" s="1163">
        <f t="shared" si="7"/>
        <v>5.8823529411764705E-2</v>
      </c>
      <c r="AE9" s="1164">
        <f t="shared" si="7"/>
        <v>0.33333333333333331</v>
      </c>
      <c r="AF9" s="1165">
        <f t="shared" si="8"/>
        <v>0.375</v>
      </c>
      <c r="AG9" s="1165">
        <f t="shared" si="8"/>
        <v>0</v>
      </c>
      <c r="AH9" s="1165">
        <f t="shared" si="9"/>
        <v>0.25</v>
      </c>
      <c r="AI9" s="1165">
        <f t="shared" si="9"/>
        <v>0</v>
      </c>
      <c r="AJ9" s="1166">
        <f t="shared" si="10"/>
        <v>0.21568627450980393</v>
      </c>
    </row>
    <row r="10" spans="1:36">
      <c r="A10" s="738" t="s">
        <v>18</v>
      </c>
      <c r="B10" s="627" t="s">
        <v>19</v>
      </c>
      <c r="C10" s="666" t="s">
        <v>273</v>
      </c>
      <c r="E10" s="1160">
        <v>6</v>
      </c>
      <c r="F10" s="1161">
        <v>1</v>
      </c>
      <c r="G10" s="1161">
        <v>4</v>
      </c>
      <c r="H10" s="1161"/>
      <c r="I10" s="1161">
        <v>3</v>
      </c>
      <c r="J10" s="1161">
        <v>1</v>
      </c>
      <c r="K10" s="337">
        <f t="shared" si="2"/>
        <v>15</v>
      </c>
      <c r="L10" s="1160"/>
      <c r="M10" s="1161"/>
      <c r="N10" s="1161"/>
      <c r="O10" s="1161"/>
      <c r="P10" s="1161">
        <v>1</v>
      </c>
      <c r="Q10" s="1161"/>
      <c r="R10" s="337">
        <f t="shared" si="3"/>
        <v>1</v>
      </c>
      <c r="S10" s="1160"/>
      <c r="T10" s="1161"/>
      <c r="U10" s="1161"/>
      <c r="V10" s="1161"/>
      <c r="W10" s="1161"/>
      <c r="X10" s="1161"/>
      <c r="Y10" s="337">
        <f t="shared" si="4"/>
        <v>0</v>
      </c>
      <c r="Z10" s="1162">
        <f t="shared" si="5"/>
        <v>16</v>
      </c>
      <c r="AA10" s="1162">
        <f t="shared" si="6"/>
        <v>16</v>
      </c>
      <c r="AD10" s="1163">
        <f t="shared" si="7"/>
        <v>0</v>
      </c>
      <c r="AE10" s="1164">
        <f t="shared" si="7"/>
        <v>0</v>
      </c>
      <c r="AF10" s="1165">
        <f t="shared" si="8"/>
        <v>0.25</v>
      </c>
      <c r="AG10" s="1165">
        <f t="shared" si="8"/>
        <v>0</v>
      </c>
      <c r="AH10" s="1165">
        <f t="shared" si="9"/>
        <v>0</v>
      </c>
      <c r="AI10" s="1165" t="str">
        <f t="shared" si="9"/>
        <v>NA</v>
      </c>
      <c r="AJ10" s="1166">
        <f t="shared" si="10"/>
        <v>6.25E-2</v>
      </c>
    </row>
    <row r="11" spans="1:36">
      <c r="A11" s="738" t="s">
        <v>20</v>
      </c>
      <c r="B11" s="627" t="s">
        <v>21</v>
      </c>
      <c r="C11" s="666" t="s">
        <v>272</v>
      </c>
      <c r="E11" s="1160">
        <v>14</v>
      </c>
      <c r="F11" s="1161">
        <v>1</v>
      </c>
      <c r="G11" s="1161">
        <v>7</v>
      </c>
      <c r="H11" s="1161"/>
      <c r="I11" s="1161">
        <v>10</v>
      </c>
      <c r="J11" s="1161">
        <v>1</v>
      </c>
      <c r="K11" s="337">
        <f t="shared" si="2"/>
        <v>33</v>
      </c>
      <c r="L11" s="1160">
        <v>1</v>
      </c>
      <c r="M11" s="1161"/>
      <c r="N11" s="1161">
        <v>1</v>
      </c>
      <c r="O11" s="1161"/>
      <c r="P11" s="1161">
        <v>4</v>
      </c>
      <c r="Q11" s="1161"/>
      <c r="R11" s="337">
        <f t="shared" si="3"/>
        <v>6</v>
      </c>
      <c r="S11" s="1160"/>
      <c r="T11" s="1161"/>
      <c r="U11" s="1161"/>
      <c r="V11" s="1161"/>
      <c r="W11" s="1161"/>
      <c r="X11" s="1161"/>
      <c r="Y11" s="337">
        <f t="shared" si="4"/>
        <v>0</v>
      </c>
      <c r="Z11" s="1162">
        <f t="shared" si="5"/>
        <v>39</v>
      </c>
      <c r="AA11" s="1162">
        <f t="shared" si="6"/>
        <v>39</v>
      </c>
      <c r="AD11" s="1163">
        <f t="shared" si="7"/>
        <v>6.6666666666666666E-2</v>
      </c>
      <c r="AE11" s="1164">
        <f t="shared" si="7"/>
        <v>0</v>
      </c>
      <c r="AF11" s="1165">
        <f t="shared" si="8"/>
        <v>0.2857142857142857</v>
      </c>
      <c r="AG11" s="1165">
        <f t="shared" si="8"/>
        <v>0</v>
      </c>
      <c r="AH11" s="1165">
        <f t="shared" si="9"/>
        <v>0.125</v>
      </c>
      <c r="AI11" s="1165" t="str">
        <f t="shared" si="9"/>
        <v>NA</v>
      </c>
      <c r="AJ11" s="1166">
        <f t="shared" si="10"/>
        <v>0.15384615384615385</v>
      </c>
    </row>
    <row r="12" spans="1:36">
      <c r="A12" s="738" t="s">
        <v>22</v>
      </c>
      <c r="B12" s="627" t="s">
        <v>23</v>
      </c>
      <c r="C12" s="666" t="s">
        <v>272</v>
      </c>
      <c r="E12" s="1160">
        <v>6</v>
      </c>
      <c r="F12" s="1161">
        <v>1</v>
      </c>
      <c r="G12" s="1161">
        <v>4</v>
      </c>
      <c r="H12" s="1161"/>
      <c r="I12" s="1161">
        <v>5</v>
      </c>
      <c r="J12" s="1161">
        <v>1</v>
      </c>
      <c r="K12" s="337">
        <f t="shared" si="2"/>
        <v>17</v>
      </c>
      <c r="L12" s="1160"/>
      <c r="M12" s="1161"/>
      <c r="N12" s="1161">
        <v>2</v>
      </c>
      <c r="O12" s="1161"/>
      <c r="P12" s="1161"/>
      <c r="Q12" s="1161"/>
      <c r="R12" s="337">
        <f t="shared" si="3"/>
        <v>2</v>
      </c>
      <c r="S12" s="1160"/>
      <c r="T12" s="1161"/>
      <c r="U12" s="1161"/>
      <c r="V12" s="1161"/>
      <c r="W12" s="1161"/>
      <c r="X12" s="1161"/>
      <c r="Y12" s="337">
        <f t="shared" si="4"/>
        <v>0</v>
      </c>
      <c r="Z12" s="1162">
        <f t="shared" si="5"/>
        <v>19</v>
      </c>
      <c r="AA12" s="1162">
        <f t="shared" si="6"/>
        <v>19</v>
      </c>
      <c r="AD12" s="1163">
        <f t="shared" si="7"/>
        <v>0</v>
      </c>
      <c r="AE12" s="1164">
        <f t="shared" si="7"/>
        <v>0</v>
      </c>
      <c r="AF12" s="1165">
        <f t="shared" si="8"/>
        <v>0</v>
      </c>
      <c r="AG12" s="1165">
        <f t="shared" si="8"/>
        <v>0</v>
      </c>
      <c r="AH12" s="1165">
        <f t="shared" si="9"/>
        <v>0.33333333333333331</v>
      </c>
      <c r="AI12" s="1165" t="str">
        <f t="shared" si="9"/>
        <v>NA</v>
      </c>
      <c r="AJ12" s="1166">
        <f t="shared" si="10"/>
        <v>0.10526315789473684</v>
      </c>
    </row>
    <row r="13" spans="1:36">
      <c r="A13" s="738" t="s">
        <v>24</v>
      </c>
      <c r="B13" s="627" t="s">
        <v>25</v>
      </c>
      <c r="C13" s="666" t="s">
        <v>274</v>
      </c>
      <c r="E13" s="1160">
        <v>46</v>
      </c>
      <c r="F13" s="1161">
        <v>4</v>
      </c>
      <c r="G13" s="1161">
        <v>32</v>
      </c>
      <c r="H13" s="1161">
        <v>3</v>
      </c>
      <c r="I13" s="1161">
        <v>54</v>
      </c>
      <c r="J13" s="1161">
        <v>11</v>
      </c>
      <c r="K13" s="337">
        <f t="shared" si="2"/>
        <v>150</v>
      </c>
      <c r="L13" s="1160">
        <v>3</v>
      </c>
      <c r="M13" s="1161">
        <v>1</v>
      </c>
      <c r="N13" s="1161">
        <v>13</v>
      </c>
      <c r="O13" s="1161"/>
      <c r="P13" s="1161">
        <v>9</v>
      </c>
      <c r="Q13" s="1161">
        <v>1</v>
      </c>
      <c r="R13" s="337">
        <f t="shared" si="3"/>
        <v>27</v>
      </c>
      <c r="S13" s="1160"/>
      <c r="T13" s="1161"/>
      <c r="U13" s="1161">
        <v>1</v>
      </c>
      <c r="V13" s="1161"/>
      <c r="W13" s="1161"/>
      <c r="X13" s="1161"/>
      <c r="Y13" s="337">
        <f t="shared" si="4"/>
        <v>1</v>
      </c>
      <c r="Z13" s="1162">
        <f t="shared" si="5"/>
        <v>178</v>
      </c>
      <c r="AA13" s="1162">
        <f t="shared" si="6"/>
        <v>177</v>
      </c>
      <c r="AD13" s="1163">
        <f t="shared" si="7"/>
        <v>6.1224489795918366E-2</v>
      </c>
      <c r="AE13" s="1164">
        <f t="shared" si="7"/>
        <v>0.2</v>
      </c>
      <c r="AF13" s="1165">
        <f t="shared" si="8"/>
        <v>0.14285714285714285</v>
      </c>
      <c r="AG13" s="1165">
        <f t="shared" si="8"/>
        <v>8.3333333333333329E-2</v>
      </c>
      <c r="AH13" s="1165">
        <f t="shared" si="9"/>
        <v>0.28888888888888886</v>
      </c>
      <c r="AI13" s="1165">
        <f t="shared" si="9"/>
        <v>0</v>
      </c>
      <c r="AJ13" s="1166">
        <f t="shared" si="10"/>
        <v>0.15254237288135594</v>
      </c>
    </row>
    <row r="14" spans="1:36">
      <c r="A14" s="738" t="s">
        <v>26</v>
      </c>
      <c r="B14" s="627" t="s">
        <v>308</v>
      </c>
      <c r="C14" s="666" t="s">
        <v>272</v>
      </c>
      <c r="E14" s="1160">
        <v>53</v>
      </c>
      <c r="F14" s="1161">
        <v>4</v>
      </c>
      <c r="G14" s="1161">
        <v>31</v>
      </c>
      <c r="H14" s="1161">
        <v>2</v>
      </c>
      <c r="I14" s="1161">
        <v>45</v>
      </c>
      <c r="J14" s="1161">
        <v>6</v>
      </c>
      <c r="K14" s="337">
        <f t="shared" si="2"/>
        <v>141</v>
      </c>
      <c r="L14" s="1160">
        <v>4</v>
      </c>
      <c r="M14" s="1161"/>
      <c r="N14" s="1161">
        <v>3</v>
      </c>
      <c r="O14" s="1161">
        <v>4</v>
      </c>
      <c r="P14" s="1161">
        <v>6</v>
      </c>
      <c r="Q14" s="1161">
        <v>1</v>
      </c>
      <c r="R14" s="337">
        <f t="shared" si="3"/>
        <v>18</v>
      </c>
      <c r="S14" s="1160"/>
      <c r="T14" s="1161"/>
      <c r="U14" s="1161"/>
      <c r="V14" s="1161"/>
      <c r="W14" s="1161"/>
      <c r="X14" s="1161"/>
      <c r="Y14" s="337">
        <f t="shared" si="4"/>
        <v>0</v>
      </c>
      <c r="Z14" s="1162">
        <f t="shared" si="5"/>
        <v>159</v>
      </c>
      <c r="AA14" s="1162">
        <f t="shared" si="6"/>
        <v>159</v>
      </c>
      <c r="AD14" s="1163">
        <f t="shared" si="7"/>
        <v>7.0175438596491224E-2</v>
      </c>
      <c r="AE14" s="1164">
        <f t="shared" si="7"/>
        <v>0</v>
      </c>
      <c r="AF14" s="1165">
        <f t="shared" si="8"/>
        <v>0.11764705882352941</v>
      </c>
      <c r="AG14" s="1165">
        <f t="shared" si="8"/>
        <v>0.14285714285714285</v>
      </c>
      <c r="AH14" s="1165">
        <f t="shared" si="9"/>
        <v>8.8235294117647065E-2</v>
      </c>
      <c r="AI14" s="1165">
        <f t="shared" si="9"/>
        <v>0.66666666666666663</v>
      </c>
      <c r="AJ14" s="1166">
        <f t="shared" si="10"/>
        <v>0.11320754716981132</v>
      </c>
    </row>
    <row r="15" spans="1:36">
      <c r="A15" s="738" t="s">
        <v>27</v>
      </c>
      <c r="B15" s="627" t="s">
        <v>28</v>
      </c>
      <c r="C15" s="666" t="s">
        <v>272</v>
      </c>
      <c r="E15" s="1160">
        <v>2</v>
      </c>
      <c r="F15" s="1161"/>
      <c r="G15" s="1161">
        <v>4</v>
      </c>
      <c r="H15" s="1161"/>
      <c r="I15" s="1161">
        <v>2</v>
      </c>
      <c r="J15" s="1161"/>
      <c r="K15" s="337">
        <f t="shared" si="2"/>
        <v>8</v>
      </c>
      <c r="L15" s="1160"/>
      <c r="M15" s="1161"/>
      <c r="N15" s="1161"/>
      <c r="O15" s="1161"/>
      <c r="P15" s="1161"/>
      <c r="Q15" s="1161"/>
      <c r="R15" s="337">
        <f t="shared" si="3"/>
        <v>0</v>
      </c>
      <c r="S15" s="1160"/>
      <c r="T15" s="1161"/>
      <c r="U15" s="1161"/>
      <c r="V15" s="1161"/>
      <c r="W15" s="1161"/>
      <c r="X15" s="1161"/>
      <c r="Y15" s="337">
        <f t="shared" si="4"/>
        <v>0</v>
      </c>
      <c r="Z15" s="1162">
        <f t="shared" si="5"/>
        <v>8</v>
      </c>
      <c r="AA15" s="1162">
        <f t="shared" si="6"/>
        <v>8</v>
      </c>
      <c r="AD15" s="1163">
        <f t="shared" si="7"/>
        <v>0</v>
      </c>
      <c r="AE15" s="1164" t="str">
        <f t="shared" si="7"/>
        <v>NA</v>
      </c>
      <c r="AF15" s="1165">
        <f t="shared" si="8"/>
        <v>0</v>
      </c>
      <c r="AG15" s="1165" t="str">
        <f t="shared" si="8"/>
        <v>NA</v>
      </c>
      <c r="AH15" s="1165">
        <f t="shared" si="9"/>
        <v>0</v>
      </c>
      <c r="AI15" s="1165" t="str">
        <f t="shared" si="9"/>
        <v>NA</v>
      </c>
      <c r="AJ15" s="1166">
        <f t="shared" si="10"/>
        <v>0</v>
      </c>
    </row>
    <row r="16" spans="1:36">
      <c r="A16" s="738" t="s">
        <v>29</v>
      </c>
      <c r="B16" s="627" t="s">
        <v>804</v>
      </c>
      <c r="C16" s="666" t="s">
        <v>272</v>
      </c>
      <c r="E16" s="1160">
        <v>24</v>
      </c>
      <c r="F16" s="1161">
        <v>4</v>
      </c>
      <c r="G16" s="1161">
        <v>11</v>
      </c>
      <c r="H16" s="1161"/>
      <c r="I16" s="1161">
        <v>30</v>
      </c>
      <c r="J16" s="1161">
        <v>4</v>
      </c>
      <c r="K16" s="337">
        <f t="shared" si="2"/>
        <v>73</v>
      </c>
      <c r="L16" s="1160">
        <v>2</v>
      </c>
      <c r="M16" s="1161"/>
      <c r="N16" s="1161">
        <v>2</v>
      </c>
      <c r="O16" s="1161"/>
      <c r="P16" s="1161"/>
      <c r="Q16" s="1161"/>
      <c r="R16" s="337">
        <f t="shared" si="3"/>
        <v>4</v>
      </c>
      <c r="S16" s="1160"/>
      <c r="T16" s="1161"/>
      <c r="U16" s="1161"/>
      <c r="V16" s="1161"/>
      <c r="W16" s="1161"/>
      <c r="X16" s="1161"/>
      <c r="Y16" s="337">
        <f t="shared" si="4"/>
        <v>0</v>
      </c>
      <c r="Z16" s="1162">
        <f t="shared" si="5"/>
        <v>77</v>
      </c>
      <c r="AA16" s="1162">
        <f t="shared" si="6"/>
        <v>77</v>
      </c>
      <c r="AD16" s="1163">
        <f t="shared" si="7"/>
        <v>7.6923076923076927E-2</v>
      </c>
      <c r="AE16" s="1164">
        <f t="shared" si="7"/>
        <v>0</v>
      </c>
      <c r="AF16" s="1165">
        <f t="shared" si="8"/>
        <v>0</v>
      </c>
      <c r="AG16" s="1165">
        <f t="shared" si="8"/>
        <v>0</v>
      </c>
      <c r="AH16" s="1165">
        <f t="shared" si="9"/>
        <v>0.15384615384615385</v>
      </c>
      <c r="AI16" s="1165" t="str">
        <f t="shared" si="9"/>
        <v>NA</v>
      </c>
      <c r="AJ16" s="1166">
        <f t="shared" si="10"/>
        <v>5.1948051948051951E-2</v>
      </c>
    </row>
    <row r="17" spans="1:36">
      <c r="A17" s="738" t="s">
        <v>31</v>
      </c>
      <c r="B17" s="627" t="s">
        <v>32</v>
      </c>
      <c r="C17" s="666" t="s">
        <v>275</v>
      </c>
      <c r="E17" s="1160">
        <v>5</v>
      </c>
      <c r="F17" s="1161"/>
      <c r="G17" s="1161">
        <v>5</v>
      </c>
      <c r="H17" s="1161"/>
      <c r="I17" s="1161">
        <v>3</v>
      </c>
      <c r="J17" s="1161">
        <v>1</v>
      </c>
      <c r="K17" s="337">
        <f t="shared" si="2"/>
        <v>14</v>
      </c>
      <c r="L17" s="1160">
        <v>2</v>
      </c>
      <c r="M17" s="1161"/>
      <c r="N17" s="1161"/>
      <c r="O17" s="1161"/>
      <c r="P17" s="1161"/>
      <c r="Q17" s="1161"/>
      <c r="R17" s="337">
        <f t="shared" si="3"/>
        <v>2</v>
      </c>
      <c r="S17" s="1160"/>
      <c r="T17" s="1161"/>
      <c r="U17" s="1161"/>
      <c r="V17" s="1161"/>
      <c r="W17" s="1161"/>
      <c r="X17" s="1161"/>
      <c r="Y17" s="337">
        <f t="shared" si="4"/>
        <v>0</v>
      </c>
      <c r="Z17" s="1162">
        <f t="shared" si="5"/>
        <v>16</v>
      </c>
      <c r="AA17" s="1162">
        <f t="shared" si="6"/>
        <v>16</v>
      </c>
      <c r="AD17" s="1163">
        <f t="shared" si="7"/>
        <v>0.2857142857142857</v>
      </c>
      <c r="AE17" s="1164" t="str">
        <f t="shared" si="7"/>
        <v>NA</v>
      </c>
      <c r="AF17" s="1165">
        <f t="shared" si="8"/>
        <v>0</v>
      </c>
      <c r="AG17" s="1165">
        <f t="shared" si="8"/>
        <v>0</v>
      </c>
      <c r="AH17" s="1165">
        <f t="shared" si="9"/>
        <v>0</v>
      </c>
      <c r="AI17" s="1165" t="str">
        <f t="shared" si="9"/>
        <v>NA</v>
      </c>
      <c r="AJ17" s="1166">
        <f t="shared" si="10"/>
        <v>0.125</v>
      </c>
    </row>
    <row r="18" spans="1:36">
      <c r="A18" s="738" t="s">
        <v>33</v>
      </c>
      <c r="B18" s="627" t="s">
        <v>34</v>
      </c>
      <c r="C18" s="666" t="s">
        <v>272</v>
      </c>
      <c r="E18" s="1160">
        <v>6</v>
      </c>
      <c r="F18" s="1161">
        <v>1</v>
      </c>
      <c r="G18" s="1161">
        <v>5</v>
      </c>
      <c r="H18" s="1161"/>
      <c r="I18" s="1161">
        <v>6</v>
      </c>
      <c r="J18" s="1161">
        <v>1</v>
      </c>
      <c r="K18" s="337">
        <f t="shared" si="2"/>
        <v>19</v>
      </c>
      <c r="L18" s="1160">
        <v>3</v>
      </c>
      <c r="M18" s="1161"/>
      <c r="N18" s="1161">
        <v>1</v>
      </c>
      <c r="O18" s="1161"/>
      <c r="P18" s="1161">
        <v>1</v>
      </c>
      <c r="Q18" s="1161"/>
      <c r="R18" s="337">
        <f t="shared" si="3"/>
        <v>5</v>
      </c>
      <c r="S18" s="1160"/>
      <c r="T18" s="1161"/>
      <c r="U18" s="1161"/>
      <c r="V18" s="1161"/>
      <c r="W18" s="1161"/>
      <c r="X18" s="1161"/>
      <c r="Y18" s="337">
        <f t="shared" si="4"/>
        <v>0</v>
      </c>
      <c r="Z18" s="1162">
        <f t="shared" si="5"/>
        <v>24</v>
      </c>
      <c r="AA18" s="1162">
        <f t="shared" si="6"/>
        <v>24</v>
      </c>
      <c r="AD18" s="1163">
        <f t="shared" si="7"/>
        <v>0.33333333333333331</v>
      </c>
      <c r="AE18" s="1164">
        <f t="shared" si="7"/>
        <v>0</v>
      </c>
      <c r="AF18" s="1165">
        <f t="shared" si="8"/>
        <v>0.14285714285714285</v>
      </c>
      <c r="AG18" s="1165">
        <f t="shared" si="8"/>
        <v>0</v>
      </c>
      <c r="AH18" s="1165">
        <f t="shared" si="9"/>
        <v>0.16666666666666666</v>
      </c>
      <c r="AI18" s="1165" t="str">
        <f t="shared" si="9"/>
        <v>NA</v>
      </c>
      <c r="AJ18" s="1166">
        <f t="shared" si="10"/>
        <v>0.20833333333333334</v>
      </c>
    </row>
    <row r="19" spans="1:36">
      <c r="A19" s="738" t="s">
        <v>37</v>
      </c>
      <c r="B19" s="627" t="s">
        <v>38</v>
      </c>
      <c r="C19" s="666" t="s">
        <v>271</v>
      </c>
      <c r="E19" s="1160">
        <v>11</v>
      </c>
      <c r="F19" s="1161">
        <v>2</v>
      </c>
      <c r="G19" s="1161">
        <v>8</v>
      </c>
      <c r="H19" s="1161"/>
      <c r="I19" s="1161">
        <v>6</v>
      </c>
      <c r="J19" s="1161">
        <v>1</v>
      </c>
      <c r="K19" s="337">
        <f t="shared" si="2"/>
        <v>28</v>
      </c>
      <c r="L19" s="1160">
        <v>3</v>
      </c>
      <c r="M19" s="1161"/>
      <c r="N19" s="1161"/>
      <c r="O19" s="1161"/>
      <c r="P19" s="1161">
        <v>1</v>
      </c>
      <c r="Q19" s="1161"/>
      <c r="R19" s="337">
        <f t="shared" si="3"/>
        <v>4</v>
      </c>
      <c r="S19" s="1160"/>
      <c r="T19" s="1161"/>
      <c r="U19" s="1161"/>
      <c r="V19" s="1161"/>
      <c r="W19" s="1161"/>
      <c r="X19" s="1161"/>
      <c r="Y19" s="337">
        <f t="shared" si="4"/>
        <v>0</v>
      </c>
      <c r="Z19" s="1162">
        <f t="shared" si="5"/>
        <v>32</v>
      </c>
      <c r="AA19" s="1162">
        <f t="shared" si="6"/>
        <v>32</v>
      </c>
      <c r="AD19" s="1163">
        <f t="shared" si="7"/>
        <v>0.21428571428571427</v>
      </c>
      <c r="AE19" s="1164">
        <f t="shared" si="7"/>
        <v>0</v>
      </c>
      <c r="AF19" s="1165">
        <f t="shared" si="8"/>
        <v>0.14285714285714285</v>
      </c>
      <c r="AG19" s="1165">
        <f t="shared" si="8"/>
        <v>0</v>
      </c>
      <c r="AH19" s="1165">
        <f t="shared" si="9"/>
        <v>0</v>
      </c>
      <c r="AI19" s="1165" t="str">
        <f t="shared" si="9"/>
        <v>NA</v>
      </c>
      <c r="AJ19" s="1166">
        <f t="shared" si="10"/>
        <v>0.125</v>
      </c>
    </row>
    <row r="20" spans="1:36">
      <c r="A20" s="738" t="s">
        <v>39</v>
      </c>
      <c r="B20" s="627" t="s">
        <v>40</v>
      </c>
      <c r="C20" s="666" t="s">
        <v>275</v>
      </c>
      <c r="E20" s="1160">
        <v>18</v>
      </c>
      <c r="F20" s="1161">
        <v>2</v>
      </c>
      <c r="G20" s="1161">
        <v>11</v>
      </c>
      <c r="H20" s="1161">
        <v>4</v>
      </c>
      <c r="I20" s="1161">
        <v>16</v>
      </c>
      <c r="J20" s="1161">
        <v>2</v>
      </c>
      <c r="K20" s="337">
        <f t="shared" si="2"/>
        <v>53</v>
      </c>
      <c r="L20" s="1160">
        <v>8</v>
      </c>
      <c r="M20" s="1161">
        <v>2</v>
      </c>
      <c r="N20" s="1161">
        <v>3</v>
      </c>
      <c r="O20" s="1161"/>
      <c r="P20" s="1161">
        <v>5</v>
      </c>
      <c r="Q20" s="1161"/>
      <c r="R20" s="337">
        <f t="shared" si="3"/>
        <v>18</v>
      </c>
      <c r="S20" s="1160"/>
      <c r="T20" s="1161"/>
      <c r="U20" s="1161"/>
      <c r="V20" s="1161"/>
      <c r="W20" s="1161"/>
      <c r="X20" s="1161"/>
      <c r="Y20" s="337">
        <f t="shared" si="4"/>
        <v>0</v>
      </c>
      <c r="Z20" s="1162">
        <f t="shared" si="5"/>
        <v>71</v>
      </c>
      <c r="AA20" s="1162">
        <f t="shared" si="6"/>
        <v>71</v>
      </c>
      <c r="AD20" s="1163">
        <f t="shared" si="7"/>
        <v>0.30769230769230771</v>
      </c>
      <c r="AE20" s="1164">
        <f t="shared" si="7"/>
        <v>0.5</v>
      </c>
      <c r="AF20" s="1165">
        <f t="shared" si="8"/>
        <v>0.23809523809523808</v>
      </c>
      <c r="AG20" s="1165">
        <f t="shared" si="8"/>
        <v>0</v>
      </c>
      <c r="AH20" s="1165">
        <f t="shared" si="9"/>
        <v>0.21428571428571427</v>
      </c>
      <c r="AI20" s="1165">
        <f t="shared" si="9"/>
        <v>0</v>
      </c>
      <c r="AJ20" s="1166">
        <f t="shared" si="10"/>
        <v>0.25352112676056338</v>
      </c>
    </row>
    <row r="21" spans="1:36">
      <c r="A21" s="738" t="s">
        <v>41</v>
      </c>
      <c r="B21" s="627" t="s">
        <v>42</v>
      </c>
      <c r="C21" s="666" t="s">
        <v>273</v>
      </c>
      <c r="E21" s="1160">
        <v>8</v>
      </c>
      <c r="F21" s="1161">
        <v>1</v>
      </c>
      <c r="G21" s="1161">
        <v>5</v>
      </c>
      <c r="H21" s="1161"/>
      <c r="I21" s="1161">
        <v>6</v>
      </c>
      <c r="J21" s="1161">
        <v>1</v>
      </c>
      <c r="K21" s="337">
        <f t="shared" si="2"/>
        <v>21</v>
      </c>
      <c r="L21" s="1160">
        <v>4</v>
      </c>
      <c r="M21" s="1161"/>
      <c r="N21" s="1161">
        <v>2</v>
      </c>
      <c r="O21" s="1161"/>
      <c r="P21" s="1161">
        <v>4</v>
      </c>
      <c r="Q21" s="1161"/>
      <c r="R21" s="337">
        <f t="shared" si="3"/>
        <v>10</v>
      </c>
      <c r="S21" s="1160"/>
      <c r="T21" s="1161"/>
      <c r="U21" s="1161"/>
      <c r="V21" s="1161"/>
      <c r="W21" s="1161"/>
      <c r="X21" s="1161"/>
      <c r="Y21" s="337">
        <f t="shared" si="4"/>
        <v>0</v>
      </c>
      <c r="Z21" s="1162">
        <f t="shared" ref="Z21:Z84" si="11">K21+R21+Y21</f>
        <v>31</v>
      </c>
      <c r="AA21" s="1162">
        <f t="shared" si="6"/>
        <v>31</v>
      </c>
      <c r="AD21" s="1163">
        <f t="shared" si="7"/>
        <v>0.33333333333333331</v>
      </c>
      <c r="AE21" s="1164">
        <f t="shared" si="7"/>
        <v>0</v>
      </c>
      <c r="AF21" s="1165">
        <f t="shared" si="8"/>
        <v>0.4</v>
      </c>
      <c r="AG21" s="1165">
        <f t="shared" si="8"/>
        <v>0</v>
      </c>
      <c r="AH21" s="1165">
        <f t="shared" si="9"/>
        <v>0.2857142857142857</v>
      </c>
      <c r="AI21" s="1165" t="str">
        <f t="shared" si="9"/>
        <v>NA</v>
      </c>
      <c r="AJ21" s="1166">
        <f t="shared" si="10"/>
        <v>0.32258064516129031</v>
      </c>
    </row>
    <row r="22" spans="1:36">
      <c r="A22" s="738" t="s">
        <v>43</v>
      </c>
      <c r="B22" s="627" t="s">
        <v>44</v>
      </c>
      <c r="C22" s="666" t="s">
        <v>272</v>
      </c>
      <c r="E22" s="1160">
        <v>26</v>
      </c>
      <c r="F22" s="1161">
        <v>2</v>
      </c>
      <c r="G22" s="1161">
        <v>13</v>
      </c>
      <c r="H22" s="1161">
        <v>2</v>
      </c>
      <c r="I22" s="1161">
        <v>20</v>
      </c>
      <c r="J22" s="1161">
        <v>5</v>
      </c>
      <c r="K22" s="337">
        <f t="shared" si="2"/>
        <v>68</v>
      </c>
      <c r="L22" s="1160">
        <v>3</v>
      </c>
      <c r="M22" s="1161">
        <v>1</v>
      </c>
      <c r="N22" s="1161">
        <v>2</v>
      </c>
      <c r="O22" s="1161">
        <v>1</v>
      </c>
      <c r="P22" s="1161">
        <v>8</v>
      </c>
      <c r="Q22" s="1161"/>
      <c r="R22" s="337">
        <f t="shared" si="3"/>
        <v>15</v>
      </c>
      <c r="S22" s="1160"/>
      <c r="T22" s="1161"/>
      <c r="U22" s="1161"/>
      <c r="V22" s="1161"/>
      <c r="W22" s="1161"/>
      <c r="X22" s="1161"/>
      <c r="Y22" s="337">
        <f t="shared" si="4"/>
        <v>0</v>
      </c>
      <c r="Z22" s="1162">
        <f t="shared" si="11"/>
        <v>83</v>
      </c>
      <c r="AA22" s="1162">
        <f t="shared" si="6"/>
        <v>83</v>
      </c>
      <c r="AD22" s="1163">
        <f t="shared" si="7"/>
        <v>0.10344827586206896</v>
      </c>
      <c r="AE22" s="1164">
        <f t="shared" si="7"/>
        <v>0.33333333333333331</v>
      </c>
      <c r="AF22" s="1165">
        <f t="shared" si="8"/>
        <v>0.2857142857142857</v>
      </c>
      <c r="AG22" s="1165">
        <f t="shared" si="8"/>
        <v>0</v>
      </c>
      <c r="AH22" s="1165">
        <f t="shared" si="9"/>
        <v>0.13333333333333333</v>
      </c>
      <c r="AI22" s="1165">
        <f t="shared" si="9"/>
        <v>0.33333333333333331</v>
      </c>
      <c r="AJ22" s="1166">
        <f t="shared" si="10"/>
        <v>0.18072289156626506</v>
      </c>
    </row>
    <row r="23" spans="1:36">
      <c r="A23" s="738" t="s">
        <v>45</v>
      </c>
      <c r="B23" s="627" t="s">
        <v>46</v>
      </c>
      <c r="C23" s="666" t="s">
        <v>273</v>
      </c>
      <c r="E23" s="1160">
        <v>11</v>
      </c>
      <c r="F23" s="1161">
        <v>2</v>
      </c>
      <c r="G23" s="1161">
        <v>5</v>
      </c>
      <c r="H23" s="1161"/>
      <c r="I23" s="1161">
        <v>7</v>
      </c>
      <c r="J23" s="1161">
        <v>1</v>
      </c>
      <c r="K23" s="337">
        <f t="shared" si="2"/>
        <v>26</v>
      </c>
      <c r="L23" s="1160">
        <v>3</v>
      </c>
      <c r="M23" s="1161"/>
      <c r="N23" s="1161">
        <v>2</v>
      </c>
      <c r="O23" s="1161"/>
      <c r="P23" s="1161">
        <v>2</v>
      </c>
      <c r="Q23" s="1161"/>
      <c r="R23" s="337">
        <f t="shared" si="3"/>
        <v>7</v>
      </c>
      <c r="S23" s="1160"/>
      <c r="T23" s="1161"/>
      <c r="U23" s="1161"/>
      <c r="V23" s="1161"/>
      <c r="W23" s="1161"/>
      <c r="X23" s="1161"/>
      <c r="Y23" s="337">
        <f t="shared" si="4"/>
        <v>0</v>
      </c>
      <c r="Z23" s="1162">
        <f t="shared" si="11"/>
        <v>33</v>
      </c>
      <c r="AA23" s="1162">
        <f t="shared" si="6"/>
        <v>33</v>
      </c>
      <c r="AD23" s="1163">
        <f t="shared" si="7"/>
        <v>0.21428571428571427</v>
      </c>
      <c r="AE23" s="1164">
        <f t="shared" si="7"/>
        <v>0</v>
      </c>
      <c r="AF23" s="1165">
        <f t="shared" si="8"/>
        <v>0.22222222222222221</v>
      </c>
      <c r="AG23" s="1165">
        <f t="shared" si="8"/>
        <v>0</v>
      </c>
      <c r="AH23" s="1165">
        <f t="shared" si="9"/>
        <v>0.2857142857142857</v>
      </c>
      <c r="AI23" s="1165" t="str">
        <f t="shared" si="9"/>
        <v>NA</v>
      </c>
      <c r="AJ23" s="1166">
        <f t="shared" si="10"/>
        <v>0.21212121212121213</v>
      </c>
    </row>
    <row r="24" spans="1:36">
      <c r="A24" s="738" t="s">
        <v>47</v>
      </c>
      <c r="B24" s="627" t="s">
        <v>48</v>
      </c>
      <c r="C24" s="666" t="s">
        <v>275</v>
      </c>
      <c r="E24" s="1160">
        <v>13</v>
      </c>
      <c r="F24" s="1161">
        <v>4</v>
      </c>
      <c r="G24" s="1161">
        <v>7</v>
      </c>
      <c r="H24" s="1161"/>
      <c r="I24" s="1161">
        <v>11</v>
      </c>
      <c r="J24" s="1161">
        <v>1</v>
      </c>
      <c r="K24" s="337">
        <f t="shared" si="2"/>
        <v>36</v>
      </c>
      <c r="L24" s="1160">
        <v>3</v>
      </c>
      <c r="M24" s="1161"/>
      <c r="N24" s="1161">
        <v>1</v>
      </c>
      <c r="O24" s="1161">
        <v>1</v>
      </c>
      <c r="P24" s="1161"/>
      <c r="Q24" s="1161">
        <v>1</v>
      </c>
      <c r="R24" s="337">
        <f t="shared" si="3"/>
        <v>6</v>
      </c>
      <c r="S24" s="1160"/>
      <c r="T24" s="1161"/>
      <c r="U24" s="1161"/>
      <c r="V24" s="1161"/>
      <c r="W24" s="1161"/>
      <c r="X24" s="1161"/>
      <c r="Y24" s="337">
        <f t="shared" si="4"/>
        <v>0</v>
      </c>
      <c r="Z24" s="1162">
        <f t="shared" si="11"/>
        <v>42</v>
      </c>
      <c r="AA24" s="1162">
        <f t="shared" si="6"/>
        <v>42</v>
      </c>
      <c r="AD24" s="1163">
        <f t="shared" si="7"/>
        <v>0.1875</v>
      </c>
      <c r="AE24" s="1164">
        <f t="shared" si="7"/>
        <v>0</v>
      </c>
      <c r="AF24" s="1165">
        <f t="shared" si="8"/>
        <v>0</v>
      </c>
      <c r="AG24" s="1165">
        <f t="shared" si="8"/>
        <v>0.5</v>
      </c>
      <c r="AH24" s="1165">
        <f t="shared" si="9"/>
        <v>0.125</v>
      </c>
      <c r="AI24" s="1165">
        <f t="shared" si="9"/>
        <v>1</v>
      </c>
      <c r="AJ24" s="1166">
        <f t="shared" si="10"/>
        <v>0.14285714285714285</v>
      </c>
    </row>
    <row r="25" spans="1:36">
      <c r="A25" s="738" t="s">
        <v>49</v>
      </c>
      <c r="B25" s="627" t="s">
        <v>276</v>
      </c>
      <c r="C25" s="666" t="s">
        <v>273</v>
      </c>
      <c r="E25" s="1160">
        <v>3</v>
      </c>
      <c r="F25" s="1161">
        <v>1</v>
      </c>
      <c r="G25" s="1161">
        <v>4</v>
      </c>
      <c r="H25" s="1161"/>
      <c r="I25" s="1161">
        <v>2</v>
      </c>
      <c r="J25" s="1161">
        <v>1</v>
      </c>
      <c r="K25" s="337">
        <f t="shared" si="2"/>
        <v>11</v>
      </c>
      <c r="L25" s="1160">
        <v>3</v>
      </c>
      <c r="M25" s="1161"/>
      <c r="N25" s="1161">
        <v>1</v>
      </c>
      <c r="O25" s="1161"/>
      <c r="P25" s="1161">
        <v>5</v>
      </c>
      <c r="Q25" s="1161"/>
      <c r="R25" s="337">
        <f t="shared" si="3"/>
        <v>9</v>
      </c>
      <c r="S25" s="1160"/>
      <c r="T25" s="1161"/>
      <c r="U25" s="1161"/>
      <c r="V25" s="1161"/>
      <c r="W25" s="1161"/>
      <c r="X25" s="1161"/>
      <c r="Y25" s="337">
        <f t="shared" si="4"/>
        <v>0</v>
      </c>
      <c r="Z25" s="1162">
        <f t="shared" si="11"/>
        <v>20</v>
      </c>
      <c r="AA25" s="1162">
        <f t="shared" si="6"/>
        <v>20</v>
      </c>
      <c r="AD25" s="1163">
        <f t="shared" si="7"/>
        <v>0.5</v>
      </c>
      <c r="AE25" s="1164">
        <f t="shared" si="7"/>
        <v>0</v>
      </c>
      <c r="AF25" s="1165">
        <f t="shared" si="8"/>
        <v>0.7142857142857143</v>
      </c>
      <c r="AG25" s="1165">
        <f t="shared" si="8"/>
        <v>0</v>
      </c>
      <c r="AH25" s="1165">
        <f t="shared" si="9"/>
        <v>0.2</v>
      </c>
      <c r="AI25" s="1165" t="str">
        <f t="shared" si="9"/>
        <v>NA</v>
      </c>
      <c r="AJ25" s="1166">
        <f t="shared" si="10"/>
        <v>0.45</v>
      </c>
    </row>
    <row r="26" spans="1:36">
      <c r="A26" s="738" t="s">
        <v>51</v>
      </c>
      <c r="B26" s="627" t="s">
        <v>52</v>
      </c>
      <c r="C26" s="666" t="s">
        <v>272</v>
      </c>
      <c r="E26" s="1160">
        <v>11</v>
      </c>
      <c r="F26" s="1161"/>
      <c r="G26" s="1161">
        <v>6</v>
      </c>
      <c r="H26" s="1161">
        <v>1</v>
      </c>
      <c r="I26" s="1161">
        <v>6</v>
      </c>
      <c r="J26" s="1161"/>
      <c r="K26" s="337">
        <f t="shared" si="2"/>
        <v>24</v>
      </c>
      <c r="L26" s="1160">
        <v>3</v>
      </c>
      <c r="M26" s="1161"/>
      <c r="N26" s="1161">
        <v>2</v>
      </c>
      <c r="O26" s="1161"/>
      <c r="P26" s="1161">
        <v>4</v>
      </c>
      <c r="Q26" s="1161"/>
      <c r="R26" s="337">
        <f t="shared" si="3"/>
        <v>9</v>
      </c>
      <c r="S26" s="1160"/>
      <c r="T26" s="1161"/>
      <c r="U26" s="1161"/>
      <c r="V26" s="1161"/>
      <c r="W26" s="1161"/>
      <c r="X26" s="1161"/>
      <c r="Y26" s="337">
        <f t="shared" si="4"/>
        <v>0</v>
      </c>
      <c r="Z26" s="1162">
        <f t="shared" si="11"/>
        <v>33</v>
      </c>
      <c r="AA26" s="1162">
        <f t="shared" si="6"/>
        <v>33</v>
      </c>
      <c r="AD26" s="1163">
        <f t="shared" si="7"/>
        <v>0.21428571428571427</v>
      </c>
      <c r="AE26" s="1164" t="str">
        <f t="shared" si="7"/>
        <v>NA</v>
      </c>
      <c r="AF26" s="1165">
        <f t="shared" si="8"/>
        <v>0.4</v>
      </c>
      <c r="AG26" s="1165" t="str">
        <f t="shared" si="8"/>
        <v>NA</v>
      </c>
      <c r="AH26" s="1165">
        <f t="shared" si="9"/>
        <v>0.25</v>
      </c>
      <c r="AI26" s="1165">
        <f t="shared" si="9"/>
        <v>0</v>
      </c>
      <c r="AJ26" s="1166">
        <f t="shared" si="10"/>
        <v>0.27272727272727271</v>
      </c>
    </row>
    <row r="27" spans="1:36">
      <c r="A27" s="738" t="s">
        <v>57</v>
      </c>
      <c r="B27" s="627" t="s">
        <v>305</v>
      </c>
      <c r="C27" s="666" t="s">
        <v>273</v>
      </c>
      <c r="E27" s="1160">
        <v>41</v>
      </c>
      <c r="F27" s="1161">
        <v>17</v>
      </c>
      <c r="G27" s="1161">
        <v>30</v>
      </c>
      <c r="H27" s="1161">
        <v>5</v>
      </c>
      <c r="I27" s="1161">
        <v>58</v>
      </c>
      <c r="J27" s="1161">
        <v>16</v>
      </c>
      <c r="K27" s="337">
        <f t="shared" si="2"/>
        <v>167</v>
      </c>
      <c r="L27" s="1160">
        <v>20</v>
      </c>
      <c r="M27" s="1161">
        <v>1</v>
      </c>
      <c r="N27" s="1161">
        <v>4</v>
      </c>
      <c r="O27" s="1161">
        <v>4</v>
      </c>
      <c r="P27" s="1161">
        <v>6</v>
      </c>
      <c r="Q27" s="1161">
        <v>1</v>
      </c>
      <c r="R27" s="337">
        <f t="shared" si="3"/>
        <v>36</v>
      </c>
      <c r="S27" s="1160"/>
      <c r="T27" s="1161"/>
      <c r="U27" s="1161"/>
      <c r="V27" s="1161"/>
      <c r="W27" s="1161"/>
      <c r="X27" s="1161"/>
      <c r="Y27" s="337">
        <f t="shared" si="4"/>
        <v>0</v>
      </c>
      <c r="Z27" s="1162">
        <f t="shared" si="11"/>
        <v>203</v>
      </c>
      <c r="AA27" s="1162">
        <f t="shared" si="6"/>
        <v>203</v>
      </c>
      <c r="AD27" s="1163">
        <f t="shared" si="7"/>
        <v>0.32786885245901637</v>
      </c>
      <c r="AE27" s="1164">
        <f t="shared" si="7"/>
        <v>5.5555555555555552E-2</v>
      </c>
      <c r="AF27" s="1165">
        <f t="shared" si="8"/>
        <v>9.375E-2</v>
      </c>
      <c r="AG27" s="1165">
        <f t="shared" si="8"/>
        <v>5.8823529411764705E-2</v>
      </c>
      <c r="AH27" s="1165">
        <f t="shared" si="9"/>
        <v>0.11764705882352941</v>
      </c>
      <c r="AI27" s="1165">
        <f t="shared" si="9"/>
        <v>0.44444444444444442</v>
      </c>
      <c r="AJ27" s="1166">
        <f t="shared" si="10"/>
        <v>0.17733990147783252</v>
      </c>
    </row>
    <row r="28" spans="1:36">
      <c r="A28" s="738" t="s">
        <v>59</v>
      </c>
      <c r="B28" s="627" t="s">
        <v>60</v>
      </c>
      <c r="C28" s="666" t="s">
        <v>274</v>
      </c>
      <c r="E28" s="1160">
        <v>4</v>
      </c>
      <c r="F28" s="1161">
        <v>1</v>
      </c>
      <c r="G28" s="1161">
        <v>5</v>
      </c>
      <c r="H28" s="1161"/>
      <c r="I28" s="1161">
        <v>6</v>
      </c>
      <c r="J28" s="1161"/>
      <c r="K28" s="337">
        <f t="shared" si="2"/>
        <v>16</v>
      </c>
      <c r="L28" s="1160">
        <v>2</v>
      </c>
      <c r="M28" s="1161"/>
      <c r="N28" s="1161"/>
      <c r="O28" s="1161"/>
      <c r="P28" s="1161">
        <v>2</v>
      </c>
      <c r="Q28" s="1161"/>
      <c r="R28" s="337">
        <f t="shared" si="3"/>
        <v>4</v>
      </c>
      <c r="S28" s="1160"/>
      <c r="T28" s="1161"/>
      <c r="U28" s="1161"/>
      <c r="V28" s="1161"/>
      <c r="W28" s="1161"/>
      <c r="X28" s="1161"/>
      <c r="Y28" s="337">
        <f t="shared" si="4"/>
        <v>0</v>
      </c>
      <c r="Z28" s="1162">
        <f t="shared" si="11"/>
        <v>20</v>
      </c>
      <c r="AA28" s="1162">
        <f t="shared" si="6"/>
        <v>20</v>
      </c>
      <c r="AD28" s="1163">
        <f t="shared" si="7"/>
        <v>0.33333333333333331</v>
      </c>
      <c r="AE28" s="1164">
        <f t="shared" si="7"/>
        <v>0</v>
      </c>
      <c r="AF28" s="1165">
        <f t="shared" si="8"/>
        <v>0.25</v>
      </c>
      <c r="AG28" s="1165" t="str">
        <f t="shared" si="8"/>
        <v>NA</v>
      </c>
      <c r="AH28" s="1165">
        <f t="shared" si="9"/>
        <v>0</v>
      </c>
      <c r="AI28" s="1165" t="str">
        <f t="shared" si="9"/>
        <v>NA</v>
      </c>
      <c r="AJ28" s="1166">
        <f t="shared" si="10"/>
        <v>0.2</v>
      </c>
    </row>
    <row r="29" spans="1:36">
      <c r="A29" s="738" t="s">
        <v>61</v>
      </c>
      <c r="B29" s="627" t="s">
        <v>62</v>
      </c>
      <c r="C29" s="666" t="s">
        <v>272</v>
      </c>
      <c r="E29" s="1160">
        <v>1</v>
      </c>
      <c r="F29" s="1161">
        <v>1</v>
      </c>
      <c r="G29" s="1161">
        <v>2</v>
      </c>
      <c r="H29" s="1161"/>
      <c r="I29" s="1161">
        <v>2</v>
      </c>
      <c r="J29" s="1161">
        <v>2</v>
      </c>
      <c r="K29" s="337">
        <f t="shared" si="2"/>
        <v>8</v>
      </c>
      <c r="L29" s="1160"/>
      <c r="M29" s="1161"/>
      <c r="N29" s="1161"/>
      <c r="O29" s="1161"/>
      <c r="P29" s="1161"/>
      <c r="Q29" s="1161"/>
      <c r="R29" s="337">
        <f t="shared" si="3"/>
        <v>0</v>
      </c>
      <c r="S29" s="1160"/>
      <c r="T29" s="1161"/>
      <c r="U29" s="1161"/>
      <c r="V29" s="1161"/>
      <c r="W29" s="1161"/>
      <c r="X29" s="1161"/>
      <c r="Y29" s="337">
        <f t="shared" si="4"/>
        <v>0</v>
      </c>
      <c r="Z29" s="1162">
        <f t="shared" si="11"/>
        <v>8</v>
      </c>
      <c r="AA29" s="1162">
        <f t="shared" si="6"/>
        <v>8</v>
      </c>
      <c r="AD29" s="1163">
        <f t="shared" si="7"/>
        <v>0</v>
      </c>
      <c r="AE29" s="1164">
        <f t="shared" si="7"/>
        <v>0</v>
      </c>
      <c r="AF29" s="1165">
        <f t="shared" si="8"/>
        <v>0</v>
      </c>
      <c r="AG29" s="1165">
        <f t="shared" si="8"/>
        <v>0</v>
      </c>
      <c r="AH29" s="1165">
        <f t="shared" si="9"/>
        <v>0</v>
      </c>
      <c r="AI29" s="1165" t="str">
        <f t="shared" si="9"/>
        <v>NA</v>
      </c>
      <c r="AJ29" s="1166">
        <f t="shared" si="10"/>
        <v>0</v>
      </c>
    </row>
    <row r="30" spans="1:36">
      <c r="A30" s="738" t="s">
        <v>63</v>
      </c>
      <c r="B30" s="627" t="s">
        <v>64</v>
      </c>
      <c r="C30" s="666" t="s">
        <v>274</v>
      </c>
      <c r="E30" s="1160">
        <v>19</v>
      </c>
      <c r="F30" s="1161">
        <v>2</v>
      </c>
      <c r="G30" s="1161">
        <v>15</v>
      </c>
      <c r="H30" s="1161">
        <v>1</v>
      </c>
      <c r="I30" s="1161">
        <v>13</v>
      </c>
      <c r="J30" s="1161">
        <v>2</v>
      </c>
      <c r="K30" s="337">
        <f t="shared" si="2"/>
        <v>52</v>
      </c>
      <c r="L30" s="1160"/>
      <c r="M30" s="1161"/>
      <c r="N30" s="1161">
        <v>2</v>
      </c>
      <c r="O30" s="1161"/>
      <c r="P30" s="1161"/>
      <c r="Q30" s="1161"/>
      <c r="R30" s="337">
        <f t="shared" si="3"/>
        <v>2</v>
      </c>
      <c r="S30" s="1160"/>
      <c r="T30" s="1161"/>
      <c r="U30" s="1161"/>
      <c r="V30" s="1161"/>
      <c r="W30" s="1161"/>
      <c r="X30" s="1161"/>
      <c r="Y30" s="337">
        <f t="shared" si="4"/>
        <v>0</v>
      </c>
      <c r="Z30" s="1162">
        <f t="shared" si="11"/>
        <v>54</v>
      </c>
      <c r="AA30" s="1162">
        <f t="shared" si="6"/>
        <v>54</v>
      </c>
      <c r="AD30" s="1163">
        <f t="shared" si="7"/>
        <v>0</v>
      </c>
      <c r="AE30" s="1164">
        <f t="shared" si="7"/>
        <v>0</v>
      </c>
      <c r="AF30" s="1165">
        <f t="shared" si="8"/>
        <v>0</v>
      </c>
      <c r="AG30" s="1165">
        <f t="shared" si="8"/>
        <v>0</v>
      </c>
      <c r="AH30" s="1165">
        <f t="shared" si="9"/>
        <v>0.11764705882352941</v>
      </c>
      <c r="AI30" s="1165">
        <f t="shared" si="9"/>
        <v>0</v>
      </c>
      <c r="AJ30" s="1166">
        <f t="shared" si="10"/>
        <v>3.7037037037037035E-2</v>
      </c>
    </row>
    <row r="31" spans="1:36">
      <c r="A31" s="738" t="s">
        <v>65</v>
      </c>
      <c r="B31" s="627" t="s">
        <v>66</v>
      </c>
      <c r="C31" s="666" t="s">
        <v>273</v>
      </c>
      <c r="E31" s="1160">
        <v>6</v>
      </c>
      <c r="F31" s="1161">
        <v>1</v>
      </c>
      <c r="G31" s="1161">
        <v>4</v>
      </c>
      <c r="H31" s="1161"/>
      <c r="I31" s="1161">
        <v>5</v>
      </c>
      <c r="J31" s="1161">
        <v>1</v>
      </c>
      <c r="K31" s="337">
        <f t="shared" si="2"/>
        <v>17</v>
      </c>
      <c r="L31" s="1160"/>
      <c r="M31" s="1161"/>
      <c r="N31" s="1161">
        <v>1</v>
      </c>
      <c r="O31" s="1161"/>
      <c r="P31" s="1161">
        <v>1</v>
      </c>
      <c r="Q31" s="1161"/>
      <c r="R31" s="337">
        <f t="shared" si="3"/>
        <v>2</v>
      </c>
      <c r="S31" s="1160"/>
      <c r="T31" s="1161"/>
      <c r="U31" s="1161"/>
      <c r="V31" s="1161"/>
      <c r="W31" s="1161"/>
      <c r="X31" s="1161"/>
      <c r="Y31" s="337">
        <f t="shared" si="4"/>
        <v>0</v>
      </c>
      <c r="Z31" s="1162">
        <f t="shared" si="11"/>
        <v>19</v>
      </c>
      <c r="AA31" s="1162">
        <f t="shared" si="6"/>
        <v>19</v>
      </c>
      <c r="AD31" s="1163">
        <f t="shared" si="7"/>
        <v>0</v>
      </c>
      <c r="AE31" s="1164">
        <f t="shared" si="7"/>
        <v>0</v>
      </c>
      <c r="AF31" s="1165">
        <f t="shared" si="8"/>
        <v>0.16666666666666666</v>
      </c>
      <c r="AG31" s="1165">
        <f t="shared" si="8"/>
        <v>0</v>
      </c>
      <c r="AH31" s="1165">
        <f t="shared" si="9"/>
        <v>0.2</v>
      </c>
      <c r="AI31" s="1165" t="str">
        <f t="shared" si="9"/>
        <v>NA</v>
      </c>
      <c r="AJ31" s="1166">
        <f t="shared" si="10"/>
        <v>0.10526315789473684</v>
      </c>
    </row>
    <row r="32" spans="1:36">
      <c r="A32" s="738" t="s">
        <v>69</v>
      </c>
      <c r="B32" s="627" t="s">
        <v>70</v>
      </c>
      <c r="C32" s="666" t="s">
        <v>275</v>
      </c>
      <c r="E32" s="1160">
        <v>14</v>
      </c>
      <c r="F32" s="1161">
        <v>4</v>
      </c>
      <c r="G32" s="1161">
        <v>7</v>
      </c>
      <c r="H32" s="1161">
        <v>1</v>
      </c>
      <c r="I32" s="1161">
        <v>13</v>
      </c>
      <c r="J32" s="1161">
        <v>2</v>
      </c>
      <c r="K32" s="337">
        <f t="shared" si="2"/>
        <v>41</v>
      </c>
      <c r="L32" s="1160">
        <v>2</v>
      </c>
      <c r="M32" s="1161"/>
      <c r="N32" s="1161"/>
      <c r="O32" s="1161"/>
      <c r="P32" s="1161"/>
      <c r="Q32" s="1161"/>
      <c r="R32" s="337">
        <f t="shared" si="3"/>
        <v>2</v>
      </c>
      <c r="S32" s="1160"/>
      <c r="T32" s="1161"/>
      <c r="U32" s="1161"/>
      <c r="V32" s="1161"/>
      <c r="W32" s="1161"/>
      <c r="X32" s="1161"/>
      <c r="Y32" s="337">
        <f t="shared" si="4"/>
        <v>0</v>
      </c>
      <c r="Z32" s="1162">
        <f t="shared" si="11"/>
        <v>43</v>
      </c>
      <c r="AA32" s="1162">
        <f t="shared" si="6"/>
        <v>43</v>
      </c>
      <c r="AD32" s="1163">
        <f t="shared" si="7"/>
        <v>0.125</v>
      </c>
      <c r="AE32" s="1164">
        <f t="shared" si="7"/>
        <v>0</v>
      </c>
      <c r="AF32" s="1165">
        <f t="shared" si="8"/>
        <v>0</v>
      </c>
      <c r="AG32" s="1165">
        <f t="shared" si="8"/>
        <v>0</v>
      </c>
      <c r="AH32" s="1165">
        <f t="shared" si="9"/>
        <v>0</v>
      </c>
      <c r="AI32" s="1165">
        <f t="shared" si="9"/>
        <v>0</v>
      </c>
      <c r="AJ32" s="1166">
        <f t="shared" si="10"/>
        <v>4.6511627906976744E-2</v>
      </c>
    </row>
    <row r="33" spans="1:36">
      <c r="A33" s="738" t="s">
        <v>71</v>
      </c>
      <c r="B33" s="627" t="s">
        <v>72</v>
      </c>
      <c r="C33" s="666" t="s">
        <v>271</v>
      </c>
      <c r="E33" s="1160">
        <v>10</v>
      </c>
      <c r="F33" s="1161">
        <v>2</v>
      </c>
      <c r="G33" s="1161">
        <v>6</v>
      </c>
      <c r="H33" s="1161">
        <v>1</v>
      </c>
      <c r="I33" s="1161">
        <v>7</v>
      </c>
      <c r="J33" s="1161">
        <v>1</v>
      </c>
      <c r="K33" s="337">
        <f t="shared" si="2"/>
        <v>27</v>
      </c>
      <c r="L33" s="1160">
        <v>3</v>
      </c>
      <c r="M33" s="1161"/>
      <c r="N33" s="1161">
        <v>1</v>
      </c>
      <c r="O33" s="1161"/>
      <c r="P33" s="1161">
        <v>4</v>
      </c>
      <c r="Q33" s="1161"/>
      <c r="R33" s="337">
        <f t="shared" si="3"/>
        <v>8</v>
      </c>
      <c r="S33" s="1160"/>
      <c r="T33" s="1161"/>
      <c r="U33" s="1161"/>
      <c r="V33" s="1161"/>
      <c r="W33" s="1161"/>
      <c r="X33" s="1161"/>
      <c r="Y33" s="337">
        <f t="shared" si="4"/>
        <v>0</v>
      </c>
      <c r="Z33" s="1162">
        <f t="shared" si="11"/>
        <v>35</v>
      </c>
      <c r="AA33" s="1162">
        <f t="shared" si="6"/>
        <v>35</v>
      </c>
      <c r="AD33" s="1163">
        <f t="shared" si="7"/>
        <v>0.23076923076923078</v>
      </c>
      <c r="AE33" s="1164">
        <f t="shared" si="7"/>
        <v>0</v>
      </c>
      <c r="AF33" s="1165">
        <f t="shared" si="8"/>
        <v>0.36363636363636365</v>
      </c>
      <c r="AG33" s="1165">
        <f t="shared" si="8"/>
        <v>0</v>
      </c>
      <c r="AH33" s="1165">
        <f t="shared" si="9"/>
        <v>0.14285714285714285</v>
      </c>
      <c r="AI33" s="1165">
        <f t="shared" si="9"/>
        <v>0</v>
      </c>
      <c r="AJ33" s="1166">
        <f t="shared" si="10"/>
        <v>0.22857142857142856</v>
      </c>
    </row>
    <row r="34" spans="1:36">
      <c r="A34" s="738" t="s">
        <v>73</v>
      </c>
      <c r="B34" s="627" t="s">
        <v>74</v>
      </c>
      <c r="C34" s="666" t="s">
        <v>273</v>
      </c>
      <c r="E34" s="1160">
        <v>7</v>
      </c>
      <c r="F34" s="1161">
        <v>1</v>
      </c>
      <c r="G34" s="1161">
        <v>4</v>
      </c>
      <c r="H34" s="1161"/>
      <c r="I34" s="1161">
        <v>4</v>
      </c>
      <c r="J34" s="1161">
        <v>2</v>
      </c>
      <c r="K34" s="337">
        <f t="shared" si="2"/>
        <v>18</v>
      </c>
      <c r="L34" s="1160"/>
      <c r="M34" s="1161"/>
      <c r="N34" s="1161">
        <v>3</v>
      </c>
      <c r="O34" s="1161"/>
      <c r="P34" s="1161">
        <v>4</v>
      </c>
      <c r="Q34" s="1161"/>
      <c r="R34" s="337">
        <f t="shared" si="3"/>
        <v>7</v>
      </c>
      <c r="S34" s="1160"/>
      <c r="T34" s="1161"/>
      <c r="U34" s="1161"/>
      <c r="V34" s="1161"/>
      <c r="W34" s="1161"/>
      <c r="X34" s="1161"/>
      <c r="Y34" s="337">
        <f t="shared" si="4"/>
        <v>0</v>
      </c>
      <c r="Z34" s="1162">
        <f t="shared" si="11"/>
        <v>25</v>
      </c>
      <c r="AA34" s="1162">
        <f t="shared" si="6"/>
        <v>25</v>
      </c>
      <c r="AD34" s="1163">
        <f t="shared" si="7"/>
        <v>0</v>
      </c>
      <c r="AE34" s="1164">
        <f t="shared" si="7"/>
        <v>0</v>
      </c>
      <c r="AF34" s="1165">
        <f t="shared" si="8"/>
        <v>0.5</v>
      </c>
      <c r="AG34" s="1165">
        <f t="shared" si="8"/>
        <v>0</v>
      </c>
      <c r="AH34" s="1165">
        <f t="shared" si="9"/>
        <v>0.42857142857142855</v>
      </c>
      <c r="AI34" s="1165" t="str">
        <f t="shared" si="9"/>
        <v>NA</v>
      </c>
      <c r="AJ34" s="1166">
        <f t="shared" si="10"/>
        <v>0.28000000000000003</v>
      </c>
    </row>
    <row r="35" spans="1:36">
      <c r="A35" s="738" t="s">
        <v>75</v>
      </c>
      <c r="B35" s="627" t="s">
        <v>803</v>
      </c>
      <c r="C35" s="666" t="s">
        <v>274</v>
      </c>
      <c r="E35" s="1160">
        <v>213</v>
      </c>
      <c r="F35" s="1161">
        <v>79</v>
      </c>
      <c r="G35" s="1161">
        <v>148</v>
      </c>
      <c r="H35" s="1161">
        <v>115</v>
      </c>
      <c r="I35" s="1161">
        <v>244</v>
      </c>
      <c r="J35" s="1161">
        <v>86</v>
      </c>
      <c r="K35" s="337">
        <f t="shared" si="2"/>
        <v>885</v>
      </c>
      <c r="L35" s="1160">
        <v>26</v>
      </c>
      <c r="M35" s="1161"/>
      <c r="N35" s="1161">
        <v>9</v>
      </c>
      <c r="O35" s="1161">
        <v>16</v>
      </c>
      <c r="P35" s="1161">
        <v>21</v>
      </c>
      <c r="Q35" s="1161">
        <v>5</v>
      </c>
      <c r="R35" s="337">
        <f t="shared" si="3"/>
        <v>77</v>
      </c>
      <c r="S35" s="1160"/>
      <c r="T35" s="1161">
        <v>1</v>
      </c>
      <c r="U35" s="1161">
        <v>2</v>
      </c>
      <c r="V35" s="1161">
        <v>1</v>
      </c>
      <c r="W35" s="1161">
        <v>1</v>
      </c>
      <c r="X35" s="1161"/>
      <c r="Y35" s="337">
        <f t="shared" si="4"/>
        <v>5</v>
      </c>
      <c r="Z35" s="1167">
        <f t="shared" si="11"/>
        <v>967</v>
      </c>
      <c r="AA35" s="1167">
        <f t="shared" si="6"/>
        <v>962</v>
      </c>
      <c r="AD35" s="1163">
        <f t="shared" si="7"/>
        <v>0.10878661087866109</v>
      </c>
      <c r="AE35" s="1164">
        <f t="shared" si="7"/>
        <v>0</v>
      </c>
      <c r="AF35" s="1165">
        <f t="shared" si="8"/>
        <v>7.9245283018867921E-2</v>
      </c>
      <c r="AG35" s="1165">
        <f t="shared" si="8"/>
        <v>5.4945054945054944E-2</v>
      </c>
      <c r="AH35" s="1165">
        <f t="shared" si="9"/>
        <v>5.7324840764331211E-2</v>
      </c>
      <c r="AI35" s="1165">
        <f t="shared" si="9"/>
        <v>0.12213740458015267</v>
      </c>
      <c r="AJ35" s="1166">
        <f t="shared" si="10"/>
        <v>8.0041580041580046E-2</v>
      </c>
    </row>
    <row r="36" spans="1:36">
      <c r="A36" s="738" t="s">
        <v>77</v>
      </c>
      <c r="B36" s="627" t="s">
        <v>78</v>
      </c>
      <c r="C36" s="666" t="s">
        <v>274</v>
      </c>
      <c r="E36" s="1160">
        <v>14</v>
      </c>
      <c r="F36" s="1161"/>
      <c r="G36" s="1161">
        <v>13</v>
      </c>
      <c r="H36" s="1161">
        <v>3</v>
      </c>
      <c r="I36" s="1161">
        <v>21</v>
      </c>
      <c r="J36" s="1161">
        <v>1</v>
      </c>
      <c r="K36" s="337">
        <f t="shared" si="2"/>
        <v>52</v>
      </c>
      <c r="L36" s="1160"/>
      <c r="M36" s="1161"/>
      <c r="N36" s="1161">
        <v>3</v>
      </c>
      <c r="O36" s="1161">
        <v>1</v>
      </c>
      <c r="P36" s="1161">
        <v>1</v>
      </c>
      <c r="Q36" s="1161"/>
      <c r="R36" s="337">
        <f t="shared" si="3"/>
        <v>5</v>
      </c>
      <c r="S36" s="1160"/>
      <c r="T36" s="1161"/>
      <c r="U36" s="1161"/>
      <c r="V36" s="1161"/>
      <c r="W36" s="1161"/>
      <c r="X36" s="1161"/>
      <c r="Y36" s="337">
        <f t="shared" si="4"/>
        <v>0</v>
      </c>
      <c r="Z36" s="1162">
        <f t="shared" si="11"/>
        <v>57</v>
      </c>
      <c r="AA36" s="1162">
        <f t="shared" si="6"/>
        <v>57</v>
      </c>
      <c r="AD36" s="1163">
        <f t="shared" si="7"/>
        <v>0</v>
      </c>
      <c r="AE36" s="1164" t="str">
        <f t="shared" si="7"/>
        <v>NA</v>
      </c>
      <c r="AF36" s="1165">
        <f t="shared" si="8"/>
        <v>4.5454545454545456E-2</v>
      </c>
      <c r="AG36" s="1165">
        <f t="shared" si="8"/>
        <v>0</v>
      </c>
      <c r="AH36" s="1165">
        <f t="shared" si="9"/>
        <v>0.1875</v>
      </c>
      <c r="AI36" s="1165">
        <f t="shared" si="9"/>
        <v>0.25</v>
      </c>
      <c r="AJ36" s="1166">
        <f t="shared" si="10"/>
        <v>8.771929824561403E-2</v>
      </c>
    </row>
    <row r="37" spans="1:36">
      <c r="A37" s="738" t="s">
        <v>79</v>
      </c>
      <c r="B37" s="627" t="s">
        <v>80</v>
      </c>
      <c r="C37" s="666" t="s">
        <v>275</v>
      </c>
      <c r="E37" s="1160">
        <v>7</v>
      </c>
      <c r="F37" s="1161"/>
      <c r="G37" s="1161">
        <v>3</v>
      </c>
      <c r="H37" s="1161"/>
      <c r="I37" s="1161">
        <v>4</v>
      </c>
      <c r="J37" s="1161"/>
      <c r="K37" s="337">
        <f t="shared" si="2"/>
        <v>14</v>
      </c>
      <c r="L37" s="1160"/>
      <c r="M37" s="1161"/>
      <c r="N37" s="1161"/>
      <c r="O37" s="1161"/>
      <c r="P37" s="1161">
        <v>1</v>
      </c>
      <c r="Q37" s="1161"/>
      <c r="R37" s="337">
        <f t="shared" si="3"/>
        <v>1</v>
      </c>
      <c r="S37" s="1160"/>
      <c r="T37" s="1161"/>
      <c r="U37" s="1161"/>
      <c r="V37" s="1161"/>
      <c r="W37" s="1161"/>
      <c r="X37" s="1161"/>
      <c r="Y37" s="337">
        <f t="shared" si="4"/>
        <v>0</v>
      </c>
      <c r="Z37" s="1162">
        <f t="shared" si="11"/>
        <v>15</v>
      </c>
      <c r="AA37" s="1162">
        <f t="shared" si="6"/>
        <v>15</v>
      </c>
      <c r="AD37" s="1163">
        <f t="shared" si="7"/>
        <v>0</v>
      </c>
      <c r="AE37" s="1164" t="str">
        <f t="shared" si="7"/>
        <v>NA</v>
      </c>
      <c r="AF37" s="1165">
        <f t="shared" si="8"/>
        <v>0.2</v>
      </c>
      <c r="AG37" s="1165" t="str">
        <f t="shared" si="8"/>
        <v>NA</v>
      </c>
      <c r="AH37" s="1165">
        <f t="shared" si="9"/>
        <v>0</v>
      </c>
      <c r="AI37" s="1165" t="str">
        <f t="shared" si="9"/>
        <v>NA</v>
      </c>
      <c r="AJ37" s="1166">
        <f t="shared" si="10"/>
        <v>6.6666666666666666E-2</v>
      </c>
    </row>
    <row r="38" spans="1:36">
      <c r="A38" s="738" t="s">
        <v>81</v>
      </c>
      <c r="B38" s="627" t="s">
        <v>82</v>
      </c>
      <c r="C38" s="666" t="s">
        <v>273</v>
      </c>
      <c r="E38" s="1160">
        <v>7</v>
      </c>
      <c r="F38" s="1161">
        <v>1</v>
      </c>
      <c r="G38" s="1161">
        <v>7</v>
      </c>
      <c r="H38" s="1161"/>
      <c r="I38" s="1161">
        <v>9</v>
      </c>
      <c r="J38" s="1161">
        <v>2</v>
      </c>
      <c r="K38" s="337">
        <f t="shared" si="2"/>
        <v>26</v>
      </c>
      <c r="L38" s="1160">
        <v>1</v>
      </c>
      <c r="M38" s="1161"/>
      <c r="N38" s="1161">
        <v>2</v>
      </c>
      <c r="O38" s="1161"/>
      <c r="P38" s="1161">
        <v>5</v>
      </c>
      <c r="Q38" s="1161"/>
      <c r="R38" s="337">
        <f t="shared" si="3"/>
        <v>8</v>
      </c>
      <c r="S38" s="1160"/>
      <c r="T38" s="1161"/>
      <c r="U38" s="1161"/>
      <c r="V38" s="1161"/>
      <c r="W38" s="1161"/>
      <c r="X38" s="1161"/>
      <c r="Y38" s="337">
        <f t="shared" si="4"/>
        <v>0</v>
      </c>
      <c r="Z38" s="1162">
        <f t="shared" si="11"/>
        <v>34</v>
      </c>
      <c r="AA38" s="1162">
        <f t="shared" si="6"/>
        <v>34</v>
      </c>
      <c r="AD38" s="1163">
        <f t="shared" si="7"/>
        <v>0.125</v>
      </c>
      <c r="AE38" s="1164">
        <f t="shared" si="7"/>
        <v>0</v>
      </c>
      <c r="AF38" s="1165">
        <f t="shared" si="8"/>
        <v>0.35714285714285715</v>
      </c>
      <c r="AG38" s="1165">
        <f t="shared" si="8"/>
        <v>0</v>
      </c>
      <c r="AH38" s="1165">
        <f t="shared" si="9"/>
        <v>0.22222222222222221</v>
      </c>
      <c r="AI38" s="1165" t="str">
        <f t="shared" si="9"/>
        <v>NA</v>
      </c>
      <c r="AJ38" s="1166">
        <f t="shared" si="10"/>
        <v>0.23529411764705882</v>
      </c>
    </row>
    <row r="39" spans="1:36">
      <c r="A39" s="738" t="s">
        <v>85</v>
      </c>
      <c r="B39" s="627" t="s">
        <v>330</v>
      </c>
      <c r="C39" s="666" t="s">
        <v>272</v>
      </c>
      <c r="E39" s="1160">
        <v>22</v>
      </c>
      <c r="F39" s="1161">
        <v>4</v>
      </c>
      <c r="G39" s="1161">
        <v>9</v>
      </c>
      <c r="H39" s="1161"/>
      <c r="I39" s="1161">
        <v>20</v>
      </c>
      <c r="J39" s="1161">
        <v>4</v>
      </c>
      <c r="K39" s="337">
        <f t="shared" si="2"/>
        <v>59</v>
      </c>
      <c r="L39" s="1160">
        <v>4</v>
      </c>
      <c r="M39" s="1161"/>
      <c r="N39" s="1161">
        <v>4</v>
      </c>
      <c r="O39" s="1161"/>
      <c r="P39" s="1161">
        <v>8</v>
      </c>
      <c r="Q39" s="1161">
        <v>1</v>
      </c>
      <c r="R39" s="337">
        <f t="shared" si="3"/>
        <v>17</v>
      </c>
      <c r="S39" s="1160"/>
      <c r="T39" s="1161"/>
      <c r="U39" s="1161"/>
      <c r="V39" s="1161"/>
      <c r="W39" s="1161"/>
      <c r="X39" s="1161"/>
      <c r="Y39" s="337">
        <f t="shared" si="4"/>
        <v>0</v>
      </c>
      <c r="Z39" s="1162">
        <f t="shared" si="11"/>
        <v>76</v>
      </c>
      <c r="AA39" s="1162">
        <f t="shared" si="6"/>
        <v>76</v>
      </c>
      <c r="AD39" s="1163">
        <f t="shared" si="7"/>
        <v>0.15384615384615385</v>
      </c>
      <c r="AE39" s="1164">
        <f t="shared" si="7"/>
        <v>0</v>
      </c>
      <c r="AF39" s="1165">
        <f t="shared" si="8"/>
        <v>0.2857142857142857</v>
      </c>
      <c r="AG39" s="1165">
        <f t="shared" si="8"/>
        <v>0.2</v>
      </c>
      <c r="AH39" s="1165">
        <f t="shared" si="9"/>
        <v>0.30769230769230771</v>
      </c>
      <c r="AI39" s="1165" t="str">
        <f t="shared" si="9"/>
        <v>NA</v>
      </c>
      <c r="AJ39" s="1166">
        <f t="shared" si="10"/>
        <v>0.22368421052631579</v>
      </c>
    </row>
    <row r="40" spans="1:36">
      <c r="A40" s="738" t="s">
        <v>87</v>
      </c>
      <c r="B40" s="627" t="s">
        <v>88</v>
      </c>
      <c r="C40" s="666" t="s">
        <v>274</v>
      </c>
      <c r="E40" s="1160">
        <v>23</v>
      </c>
      <c r="F40" s="1161">
        <v>2</v>
      </c>
      <c r="G40" s="1161">
        <v>8</v>
      </c>
      <c r="H40" s="1161"/>
      <c r="I40" s="1161">
        <v>20</v>
      </c>
      <c r="J40" s="1161">
        <v>2</v>
      </c>
      <c r="K40" s="337">
        <f t="shared" si="2"/>
        <v>55</v>
      </c>
      <c r="L40" s="1160">
        <v>1</v>
      </c>
      <c r="M40" s="1161"/>
      <c r="N40" s="1161">
        <v>1</v>
      </c>
      <c r="O40" s="1161"/>
      <c r="P40" s="1161">
        <v>1</v>
      </c>
      <c r="Q40" s="1161"/>
      <c r="R40" s="337">
        <f t="shared" si="3"/>
        <v>3</v>
      </c>
      <c r="S40" s="1160"/>
      <c r="T40" s="1161"/>
      <c r="U40" s="1161"/>
      <c r="V40" s="1161"/>
      <c r="W40" s="1161"/>
      <c r="X40" s="1161"/>
      <c r="Y40" s="337">
        <f t="shared" si="4"/>
        <v>0</v>
      </c>
      <c r="Z40" s="1162">
        <f t="shared" si="11"/>
        <v>58</v>
      </c>
      <c r="AA40" s="1162">
        <f t="shared" si="6"/>
        <v>58</v>
      </c>
      <c r="AD40" s="1163">
        <f t="shared" si="7"/>
        <v>4.1666666666666664E-2</v>
      </c>
      <c r="AE40" s="1164">
        <f t="shared" si="7"/>
        <v>0</v>
      </c>
      <c r="AF40" s="1165">
        <f t="shared" si="8"/>
        <v>4.7619047619047616E-2</v>
      </c>
      <c r="AG40" s="1165">
        <f t="shared" si="8"/>
        <v>0</v>
      </c>
      <c r="AH40" s="1165">
        <f t="shared" si="9"/>
        <v>0.1111111111111111</v>
      </c>
      <c r="AI40" s="1165" t="str">
        <f t="shared" si="9"/>
        <v>NA</v>
      </c>
      <c r="AJ40" s="1166">
        <f t="shared" si="10"/>
        <v>5.1724137931034482E-2</v>
      </c>
    </row>
    <row r="41" spans="1:36">
      <c r="A41" s="738" t="s">
        <v>93</v>
      </c>
      <c r="B41" s="627" t="s">
        <v>94</v>
      </c>
      <c r="C41" s="666" t="s">
        <v>275</v>
      </c>
      <c r="E41" s="1160">
        <v>8</v>
      </c>
      <c r="F41" s="1161">
        <v>1</v>
      </c>
      <c r="G41" s="1161">
        <v>5</v>
      </c>
      <c r="H41" s="1161"/>
      <c r="I41" s="1161">
        <v>7</v>
      </c>
      <c r="J41" s="1161">
        <v>2</v>
      </c>
      <c r="K41" s="337">
        <f t="shared" si="2"/>
        <v>23</v>
      </c>
      <c r="L41" s="1160">
        <v>3</v>
      </c>
      <c r="M41" s="1161"/>
      <c r="N41" s="1161"/>
      <c r="O41" s="1161"/>
      <c r="P41" s="1161">
        <v>1</v>
      </c>
      <c r="Q41" s="1161"/>
      <c r="R41" s="337">
        <f t="shared" si="3"/>
        <v>4</v>
      </c>
      <c r="S41" s="1160"/>
      <c r="T41" s="1161"/>
      <c r="U41" s="1161"/>
      <c r="V41" s="1161"/>
      <c r="W41" s="1161"/>
      <c r="X41" s="1161"/>
      <c r="Y41" s="337">
        <f t="shared" si="4"/>
        <v>0</v>
      </c>
      <c r="Z41" s="1162">
        <f t="shared" si="11"/>
        <v>27</v>
      </c>
      <c r="AA41" s="1162">
        <f t="shared" si="6"/>
        <v>27</v>
      </c>
      <c r="AD41" s="1163">
        <f t="shared" si="7"/>
        <v>0.27272727272727271</v>
      </c>
      <c r="AE41" s="1164">
        <f t="shared" si="7"/>
        <v>0</v>
      </c>
      <c r="AF41" s="1165">
        <f t="shared" si="8"/>
        <v>0.125</v>
      </c>
      <c r="AG41" s="1165">
        <f t="shared" si="8"/>
        <v>0</v>
      </c>
      <c r="AH41" s="1165">
        <f t="shared" si="9"/>
        <v>0</v>
      </c>
      <c r="AI41" s="1165" t="str">
        <f t="shared" si="9"/>
        <v>NA</v>
      </c>
      <c r="AJ41" s="1166">
        <f t="shared" si="10"/>
        <v>0.14814814814814814</v>
      </c>
    </row>
    <row r="42" spans="1:36">
      <c r="A42" s="738" t="s">
        <v>95</v>
      </c>
      <c r="B42" s="627" t="s">
        <v>96</v>
      </c>
      <c r="C42" s="666" t="s">
        <v>271</v>
      </c>
      <c r="E42" s="1160">
        <v>10</v>
      </c>
      <c r="F42" s="1161">
        <v>2</v>
      </c>
      <c r="G42" s="1161">
        <v>10</v>
      </c>
      <c r="H42" s="1161"/>
      <c r="I42" s="1161">
        <v>10</v>
      </c>
      <c r="J42" s="1161">
        <v>2</v>
      </c>
      <c r="K42" s="337">
        <f t="shared" si="2"/>
        <v>34</v>
      </c>
      <c r="L42" s="1160">
        <v>4</v>
      </c>
      <c r="M42" s="1161"/>
      <c r="N42" s="1161">
        <v>4</v>
      </c>
      <c r="O42" s="1161">
        <v>1</v>
      </c>
      <c r="P42" s="1161">
        <v>5</v>
      </c>
      <c r="Q42" s="1161"/>
      <c r="R42" s="337">
        <f t="shared" si="3"/>
        <v>14</v>
      </c>
      <c r="S42" s="1160"/>
      <c r="T42" s="1161"/>
      <c r="U42" s="1161"/>
      <c r="V42" s="1161"/>
      <c r="W42" s="1161"/>
      <c r="X42" s="1161"/>
      <c r="Y42" s="337">
        <f t="shared" si="4"/>
        <v>0</v>
      </c>
      <c r="Z42" s="1162">
        <f t="shared" si="11"/>
        <v>48</v>
      </c>
      <c r="AA42" s="1162">
        <f t="shared" si="6"/>
        <v>48</v>
      </c>
      <c r="AD42" s="1163">
        <f t="shared" si="7"/>
        <v>0.2857142857142857</v>
      </c>
      <c r="AE42" s="1164">
        <f t="shared" si="7"/>
        <v>0</v>
      </c>
      <c r="AF42" s="1165">
        <f t="shared" si="8"/>
        <v>0.33333333333333331</v>
      </c>
      <c r="AG42" s="1165">
        <f t="shared" si="8"/>
        <v>0</v>
      </c>
      <c r="AH42" s="1165">
        <f t="shared" si="9"/>
        <v>0.2857142857142857</v>
      </c>
      <c r="AI42" s="1165">
        <f t="shared" si="9"/>
        <v>1</v>
      </c>
      <c r="AJ42" s="1166">
        <f t="shared" si="10"/>
        <v>0.29166666666666669</v>
      </c>
    </row>
    <row r="43" spans="1:36">
      <c r="A43" s="738" t="s">
        <v>97</v>
      </c>
      <c r="B43" s="627" t="s">
        <v>98</v>
      </c>
      <c r="C43" s="666" t="s">
        <v>273</v>
      </c>
      <c r="E43" s="1160">
        <v>7</v>
      </c>
      <c r="F43" s="1161">
        <v>1</v>
      </c>
      <c r="G43" s="1161">
        <v>6</v>
      </c>
      <c r="H43" s="1161"/>
      <c r="I43" s="1161">
        <v>7</v>
      </c>
      <c r="J43" s="1161">
        <v>1</v>
      </c>
      <c r="K43" s="337">
        <f t="shared" si="2"/>
        <v>22</v>
      </c>
      <c r="L43" s="1160"/>
      <c r="M43" s="1161"/>
      <c r="N43" s="1161">
        <v>1</v>
      </c>
      <c r="O43" s="1161"/>
      <c r="P43" s="1161"/>
      <c r="Q43" s="1161"/>
      <c r="R43" s="337">
        <f t="shared" si="3"/>
        <v>1</v>
      </c>
      <c r="S43" s="1160"/>
      <c r="T43" s="1161"/>
      <c r="U43" s="1161"/>
      <c r="V43" s="1161"/>
      <c r="W43" s="1161"/>
      <c r="X43" s="1161"/>
      <c r="Y43" s="337">
        <f t="shared" si="4"/>
        <v>0</v>
      </c>
      <c r="Z43" s="1162">
        <f t="shared" si="11"/>
        <v>23</v>
      </c>
      <c r="AA43" s="1162">
        <f t="shared" si="6"/>
        <v>23</v>
      </c>
      <c r="AD43" s="1163">
        <f t="shared" si="7"/>
        <v>0</v>
      </c>
      <c r="AE43" s="1164">
        <f t="shared" si="7"/>
        <v>0</v>
      </c>
      <c r="AF43" s="1165">
        <f t="shared" si="8"/>
        <v>0</v>
      </c>
      <c r="AG43" s="1165">
        <f t="shared" si="8"/>
        <v>0</v>
      </c>
      <c r="AH43" s="1165">
        <f t="shared" si="9"/>
        <v>0.14285714285714285</v>
      </c>
      <c r="AI43" s="1165" t="str">
        <f t="shared" si="9"/>
        <v>NA</v>
      </c>
      <c r="AJ43" s="1166">
        <f t="shared" si="10"/>
        <v>4.3478260869565216E-2</v>
      </c>
    </row>
    <row r="44" spans="1:36">
      <c r="A44" s="738" t="s">
        <v>99</v>
      </c>
      <c r="B44" s="627" t="s">
        <v>100</v>
      </c>
      <c r="C44" s="666" t="s">
        <v>275</v>
      </c>
      <c r="E44" s="1160">
        <v>8</v>
      </c>
      <c r="F44" s="1161">
        <v>1</v>
      </c>
      <c r="G44" s="1161">
        <v>6</v>
      </c>
      <c r="H44" s="1161"/>
      <c r="I44" s="1161">
        <v>6</v>
      </c>
      <c r="J44" s="1161">
        <v>1</v>
      </c>
      <c r="K44" s="337">
        <f t="shared" si="2"/>
        <v>22</v>
      </c>
      <c r="L44" s="1160"/>
      <c r="M44" s="1161"/>
      <c r="N44" s="1161"/>
      <c r="O44" s="1161"/>
      <c r="P44" s="1161">
        <v>2</v>
      </c>
      <c r="Q44" s="1161"/>
      <c r="R44" s="337">
        <f t="shared" si="3"/>
        <v>2</v>
      </c>
      <c r="S44" s="1160"/>
      <c r="T44" s="1161"/>
      <c r="U44" s="1161"/>
      <c r="V44" s="1161"/>
      <c r="W44" s="1161"/>
      <c r="X44" s="1161"/>
      <c r="Y44" s="337">
        <f t="shared" si="4"/>
        <v>0</v>
      </c>
      <c r="Z44" s="1162">
        <f t="shared" si="11"/>
        <v>24</v>
      </c>
      <c r="AA44" s="1162">
        <f t="shared" si="6"/>
        <v>24</v>
      </c>
      <c r="AD44" s="1163">
        <f t="shared" si="7"/>
        <v>0</v>
      </c>
      <c r="AE44" s="1164">
        <f t="shared" si="7"/>
        <v>0</v>
      </c>
      <c r="AF44" s="1165">
        <f t="shared" si="8"/>
        <v>0.25</v>
      </c>
      <c r="AG44" s="1165">
        <f t="shared" si="8"/>
        <v>0</v>
      </c>
      <c r="AH44" s="1165">
        <f t="shared" si="9"/>
        <v>0</v>
      </c>
      <c r="AI44" s="1165" t="str">
        <f t="shared" si="9"/>
        <v>NA</v>
      </c>
      <c r="AJ44" s="1166">
        <f t="shared" si="10"/>
        <v>8.3333333333333329E-2</v>
      </c>
    </row>
    <row r="45" spans="1:36">
      <c r="A45" s="738" t="s">
        <v>101</v>
      </c>
      <c r="B45" s="627" t="s">
        <v>102</v>
      </c>
      <c r="C45" s="666" t="s">
        <v>274</v>
      </c>
      <c r="E45" s="1160">
        <v>4</v>
      </c>
      <c r="F45" s="1161">
        <v>2</v>
      </c>
      <c r="G45" s="1161">
        <v>5</v>
      </c>
      <c r="H45" s="1161"/>
      <c r="I45" s="1161">
        <v>6</v>
      </c>
      <c r="J45" s="1161">
        <v>1</v>
      </c>
      <c r="K45" s="337">
        <f t="shared" si="2"/>
        <v>18</v>
      </c>
      <c r="L45" s="1160">
        <v>2</v>
      </c>
      <c r="M45" s="1161"/>
      <c r="N45" s="1161">
        <v>2</v>
      </c>
      <c r="O45" s="1161"/>
      <c r="P45" s="1161"/>
      <c r="Q45" s="1161"/>
      <c r="R45" s="337">
        <f t="shared" si="3"/>
        <v>4</v>
      </c>
      <c r="S45" s="1160"/>
      <c r="T45" s="1161"/>
      <c r="U45" s="1161"/>
      <c r="V45" s="1161"/>
      <c r="W45" s="1161"/>
      <c r="X45" s="1161"/>
      <c r="Y45" s="337">
        <f t="shared" si="4"/>
        <v>0</v>
      </c>
      <c r="Z45" s="1162">
        <f t="shared" si="11"/>
        <v>22</v>
      </c>
      <c r="AA45" s="1162">
        <f t="shared" si="6"/>
        <v>22</v>
      </c>
      <c r="AD45" s="1163">
        <f t="shared" si="7"/>
        <v>0.33333333333333331</v>
      </c>
      <c r="AE45" s="1164">
        <f t="shared" si="7"/>
        <v>0</v>
      </c>
      <c r="AF45" s="1165">
        <f t="shared" si="8"/>
        <v>0</v>
      </c>
      <c r="AG45" s="1165">
        <f t="shared" si="8"/>
        <v>0</v>
      </c>
      <c r="AH45" s="1165">
        <f t="shared" si="9"/>
        <v>0.2857142857142857</v>
      </c>
      <c r="AI45" s="1165" t="str">
        <f t="shared" si="9"/>
        <v>NA</v>
      </c>
      <c r="AJ45" s="1166">
        <f t="shared" si="10"/>
        <v>0.18181818181818182</v>
      </c>
    </row>
    <row r="46" spans="1:36">
      <c r="A46" s="738" t="s">
        <v>103</v>
      </c>
      <c r="B46" s="627" t="s">
        <v>290</v>
      </c>
      <c r="C46" s="666" t="s">
        <v>271</v>
      </c>
      <c r="E46" s="1160">
        <v>10</v>
      </c>
      <c r="F46" s="1161">
        <v>2</v>
      </c>
      <c r="G46" s="1161">
        <v>8</v>
      </c>
      <c r="H46" s="1161"/>
      <c r="I46" s="1161">
        <v>8</v>
      </c>
      <c r="J46" s="1161">
        <v>1</v>
      </c>
      <c r="K46" s="337">
        <f t="shared" si="2"/>
        <v>29</v>
      </c>
      <c r="L46" s="1160">
        <v>3</v>
      </c>
      <c r="M46" s="1161">
        <v>1</v>
      </c>
      <c r="N46" s="1161">
        <v>2</v>
      </c>
      <c r="O46" s="1161"/>
      <c r="P46" s="1161">
        <v>3</v>
      </c>
      <c r="Q46" s="1161"/>
      <c r="R46" s="337">
        <f t="shared" si="3"/>
        <v>9</v>
      </c>
      <c r="S46" s="1160"/>
      <c r="T46" s="1161"/>
      <c r="U46" s="1161"/>
      <c r="V46" s="1161"/>
      <c r="W46" s="1161"/>
      <c r="X46" s="1161"/>
      <c r="Y46" s="337">
        <f t="shared" si="4"/>
        <v>0</v>
      </c>
      <c r="Z46" s="1162">
        <f t="shared" si="11"/>
        <v>38</v>
      </c>
      <c r="AA46" s="1162">
        <f t="shared" si="6"/>
        <v>38</v>
      </c>
      <c r="AD46" s="1163">
        <f t="shared" si="7"/>
        <v>0.23076923076923078</v>
      </c>
      <c r="AE46" s="1164">
        <f t="shared" si="7"/>
        <v>0.33333333333333331</v>
      </c>
      <c r="AF46" s="1165">
        <f t="shared" si="8"/>
        <v>0.27272727272727271</v>
      </c>
      <c r="AG46" s="1165">
        <f t="shared" si="8"/>
        <v>0</v>
      </c>
      <c r="AH46" s="1165">
        <f t="shared" si="9"/>
        <v>0.2</v>
      </c>
      <c r="AI46" s="1165" t="str">
        <f t="shared" si="9"/>
        <v>NA</v>
      </c>
      <c r="AJ46" s="1166">
        <f t="shared" si="10"/>
        <v>0.23684210526315788</v>
      </c>
    </row>
    <row r="47" spans="1:36">
      <c r="A47" s="738" t="s">
        <v>105</v>
      </c>
      <c r="B47" s="627" t="s">
        <v>790</v>
      </c>
      <c r="C47" s="666" t="s">
        <v>272</v>
      </c>
      <c r="E47" s="1160">
        <v>23</v>
      </c>
      <c r="F47" s="1161">
        <v>2</v>
      </c>
      <c r="G47" s="1161">
        <v>9</v>
      </c>
      <c r="H47" s="1161">
        <v>1</v>
      </c>
      <c r="I47" s="1161">
        <v>17</v>
      </c>
      <c r="J47" s="1161">
        <v>2</v>
      </c>
      <c r="K47" s="337">
        <f t="shared" si="2"/>
        <v>54</v>
      </c>
      <c r="L47" s="1160">
        <v>4</v>
      </c>
      <c r="M47" s="1161"/>
      <c r="N47" s="1161">
        <v>4</v>
      </c>
      <c r="O47" s="1161"/>
      <c r="P47" s="1161">
        <v>3</v>
      </c>
      <c r="Q47" s="1161"/>
      <c r="R47" s="337">
        <f t="shared" si="3"/>
        <v>11</v>
      </c>
      <c r="S47" s="1160"/>
      <c r="T47" s="1161"/>
      <c r="U47" s="1161"/>
      <c r="V47" s="1161"/>
      <c r="W47" s="1161"/>
      <c r="X47" s="1161"/>
      <c r="Y47" s="337">
        <f t="shared" si="4"/>
        <v>0</v>
      </c>
      <c r="Z47" s="1162">
        <f t="shared" si="11"/>
        <v>65</v>
      </c>
      <c r="AA47" s="1162">
        <f t="shared" si="6"/>
        <v>65</v>
      </c>
      <c r="AD47" s="1163">
        <f t="shared" si="7"/>
        <v>0.14814814814814814</v>
      </c>
      <c r="AE47" s="1164">
        <f t="shared" si="7"/>
        <v>0</v>
      </c>
      <c r="AF47" s="1165">
        <f t="shared" si="8"/>
        <v>0.15</v>
      </c>
      <c r="AG47" s="1165">
        <f t="shared" si="8"/>
        <v>0</v>
      </c>
      <c r="AH47" s="1165">
        <f t="shared" si="9"/>
        <v>0.30769230769230771</v>
      </c>
      <c r="AI47" s="1165">
        <f t="shared" si="9"/>
        <v>0</v>
      </c>
      <c r="AJ47" s="1166">
        <f t="shared" si="10"/>
        <v>0.16923076923076924</v>
      </c>
    </row>
    <row r="48" spans="1:36">
      <c r="A48" s="738" t="s">
        <v>109</v>
      </c>
      <c r="B48" s="627" t="s">
        <v>110</v>
      </c>
      <c r="C48" s="666" t="s">
        <v>273</v>
      </c>
      <c r="E48" s="1160">
        <v>22</v>
      </c>
      <c r="F48" s="1161">
        <v>4</v>
      </c>
      <c r="G48" s="1161">
        <v>10</v>
      </c>
      <c r="H48" s="1161"/>
      <c r="I48" s="1161">
        <v>13</v>
      </c>
      <c r="J48" s="1161">
        <v>2</v>
      </c>
      <c r="K48" s="337">
        <f t="shared" si="2"/>
        <v>51</v>
      </c>
      <c r="L48" s="1160">
        <v>4</v>
      </c>
      <c r="M48" s="1161">
        <v>1</v>
      </c>
      <c r="N48" s="1161"/>
      <c r="O48" s="1161">
        <v>4</v>
      </c>
      <c r="P48" s="1161">
        <v>7</v>
      </c>
      <c r="Q48" s="1161"/>
      <c r="R48" s="337">
        <f t="shared" si="3"/>
        <v>16</v>
      </c>
      <c r="S48" s="1160"/>
      <c r="T48" s="1161"/>
      <c r="U48" s="1161"/>
      <c r="V48" s="1161"/>
      <c r="W48" s="1161"/>
      <c r="X48" s="1161"/>
      <c r="Y48" s="337">
        <f t="shared" si="4"/>
        <v>0</v>
      </c>
      <c r="Z48" s="1162">
        <f t="shared" si="11"/>
        <v>67</v>
      </c>
      <c r="AA48" s="1162">
        <f t="shared" si="6"/>
        <v>67</v>
      </c>
      <c r="AD48" s="1163">
        <f t="shared" si="7"/>
        <v>0.15384615384615385</v>
      </c>
      <c r="AE48" s="1164">
        <f t="shared" si="7"/>
        <v>0.2</v>
      </c>
      <c r="AF48" s="1165">
        <f t="shared" si="8"/>
        <v>0.35</v>
      </c>
      <c r="AG48" s="1165">
        <f t="shared" si="8"/>
        <v>0</v>
      </c>
      <c r="AH48" s="1165">
        <f t="shared" si="9"/>
        <v>0</v>
      </c>
      <c r="AI48" s="1165">
        <f t="shared" si="9"/>
        <v>1</v>
      </c>
      <c r="AJ48" s="1166">
        <f t="shared" si="10"/>
        <v>0.23880597014925373</v>
      </c>
    </row>
    <row r="49" spans="1:36">
      <c r="A49" s="738" t="s">
        <v>111</v>
      </c>
      <c r="B49" s="627" t="s">
        <v>112</v>
      </c>
      <c r="C49" s="666" t="s">
        <v>273</v>
      </c>
      <c r="E49" s="1160">
        <v>59</v>
      </c>
      <c r="F49" s="1161">
        <v>22</v>
      </c>
      <c r="G49" s="1161">
        <v>17</v>
      </c>
      <c r="H49" s="1161">
        <v>6</v>
      </c>
      <c r="I49" s="1161">
        <v>59</v>
      </c>
      <c r="J49" s="1161">
        <v>15</v>
      </c>
      <c r="K49" s="337">
        <f t="shared" si="2"/>
        <v>178</v>
      </c>
      <c r="L49" s="1160">
        <v>11</v>
      </c>
      <c r="M49" s="1161">
        <v>3</v>
      </c>
      <c r="N49" s="1161">
        <v>5</v>
      </c>
      <c r="O49" s="1161">
        <v>1</v>
      </c>
      <c r="P49" s="1161">
        <v>5</v>
      </c>
      <c r="Q49" s="1161"/>
      <c r="R49" s="337">
        <f t="shared" si="3"/>
        <v>25</v>
      </c>
      <c r="S49" s="1160"/>
      <c r="T49" s="1161"/>
      <c r="U49" s="1161"/>
      <c r="V49" s="1161"/>
      <c r="W49" s="1161"/>
      <c r="X49" s="1161"/>
      <c r="Y49" s="337">
        <f t="shared" si="4"/>
        <v>0</v>
      </c>
      <c r="Z49" s="1162">
        <f t="shared" si="11"/>
        <v>203</v>
      </c>
      <c r="AA49" s="1162">
        <f t="shared" si="6"/>
        <v>203</v>
      </c>
      <c r="AD49" s="1163">
        <f t="shared" si="7"/>
        <v>0.15714285714285714</v>
      </c>
      <c r="AE49" s="1164">
        <f t="shared" si="7"/>
        <v>0.12</v>
      </c>
      <c r="AF49" s="1165">
        <f t="shared" si="8"/>
        <v>7.8125E-2</v>
      </c>
      <c r="AG49" s="1165">
        <f t="shared" si="8"/>
        <v>0</v>
      </c>
      <c r="AH49" s="1165">
        <f t="shared" si="9"/>
        <v>0.22727272727272727</v>
      </c>
      <c r="AI49" s="1165">
        <f t="shared" si="9"/>
        <v>0.14285714285714285</v>
      </c>
      <c r="AJ49" s="1166">
        <f t="shared" si="10"/>
        <v>0.12315270935960591</v>
      </c>
    </row>
    <row r="50" spans="1:36">
      <c r="A50" s="738" t="s">
        <v>113</v>
      </c>
      <c r="B50" s="627" t="s">
        <v>310</v>
      </c>
      <c r="C50" s="666" t="s">
        <v>272</v>
      </c>
      <c r="E50" s="1160">
        <v>36</v>
      </c>
      <c r="F50" s="1161">
        <v>5</v>
      </c>
      <c r="G50" s="1161">
        <v>15</v>
      </c>
      <c r="H50" s="1161"/>
      <c r="I50" s="1161">
        <v>26</v>
      </c>
      <c r="J50" s="1161">
        <v>4</v>
      </c>
      <c r="K50" s="337">
        <f t="shared" si="2"/>
        <v>86</v>
      </c>
      <c r="L50" s="1160">
        <v>5</v>
      </c>
      <c r="M50" s="1161"/>
      <c r="N50" s="1161">
        <v>3</v>
      </c>
      <c r="O50" s="1161"/>
      <c r="P50" s="1161">
        <v>3</v>
      </c>
      <c r="Q50" s="1161"/>
      <c r="R50" s="337">
        <f t="shared" si="3"/>
        <v>11</v>
      </c>
      <c r="S50" s="1160"/>
      <c r="T50" s="1161"/>
      <c r="U50" s="1161"/>
      <c r="V50" s="1161"/>
      <c r="W50" s="1161"/>
      <c r="X50" s="1161"/>
      <c r="Y50" s="337">
        <f t="shared" si="4"/>
        <v>0</v>
      </c>
      <c r="Z50" s="1162">
        <f t="shared" si="11"/>
        <v>97</v>
      </c>
      <c r="AA50" s="1162">
        <f t="shared" si="6"/>
        <v>97</v>
      </c>
      <c r="AD50" s="1163">
        <f t="shared" si="7"/>
        <v>0.12195121951219512</v>
      </c>
      <c r="AE50" s="1164">
        <f t="shared" si="7"/>
        <v>0</v>
      </c>
      <c r="AF50" s="1165">
        <f t="shared" si="8"/>
        <v>0.10344827586206896</v>
      </c>
      <c r="AG50" s="1165">
        <f t="shared" si="8"/>
        <v>0</v>
      </c>
      <c r="AH50" s="1165">
        <f t="shared" si="9"/>
        <v>0.16666666666666666</v>
      </c>
      <c r="AI50" s="1165" t="str">
        <f t="shared" si="9"/>
        <v>NA</v>
      </c>
      <c r="AJ50" s="1166">
        <f t="shared" si="10"/>
        <v>0.1134020618556701</v>
      </c>
    </row>
    <row r="51" spans="1:36">
      <c r="A51" s="738" t="s">
        <v>115</v>
      </c>
      <c r="B51" s="627" t="s">
        <v>116</v>
      </c>
      <c r="C51" s="666" t="s">
        <v>272</v>
      </c>
      <c r="E51" s="1160">
        <v>2</v>
      </c>
      <c r="F51" s="1161"/>
      <c r="G51" s="1161">
        <v>2</v>
      </c>
      <c r="H51" s="1161"/>
      <c r="I51" s="1161">
        <v>1</v>
      </c>
      <c r="J51" s="1161"/>
      <c r="K51" s="337">
        <f t="shared" si="2"/>
        <v>5</v>
      </c>
      <c r="L51" s="1160">
        <v>2</v>
      </c>
      <c r="M51" s="1161"/>
      <c r="N51" s="1161"/>
      <c r="O51" s="1161"/>
      <c r="P51" s="1161">
        <v>1</v>
      </c>
      <c r="Q51" s="1161"/>
      <c r="R51" s="337">
        <f t="shared" si="3"/>
        <v>3</v>
      </c>
      <c r="S51" s="1160"/>
      <c r="T51" s="1161"/>
      <c r="U51" s="1161"/>
      <c r="V51" s="1161"/>
      <c r="W51" s="1161"/>
      <c r="X51" s="1161"/>
      <c r="Y51" s="337">
        <f t="shared" si="4"/>
        <v>0</v>
      </c>
      <c r="Z51" s="1162">
        <f t="shared" si="11"/>
        <v>8</v>
      </c>
      <c r="AA51" s="1162">
        <f t="shared" si="6"/>
        <v>8</v>
      </c>
      <c r="AD51" s="1163">
        <f t="shared" si="7"/>
        <v>0.5</v>
      </c>
      <c r="AE51" s="1164" t="str">
        <f t="shared" si="7"/>
        <v>NA</v>
      </c>
      <c r="AF51" s="1165">
        <f t="shared" si="8"/>
        <v>0.5</v>
      </c>
      <c r="AG51" s="1165" t="str">
        <f t="shared" si="8"/>
        <v>NA</v>
      </c>
      <c r="AH51" s="1165">
        <f t="shared" si="9"/>
        <v>0</v>
      </c>
      <c r="AI51" s="1165" t="str">
        <f t="shared" si="9"/>
        <v>NA</v>
      </c>
      <c r="AJ51" s="1166">
        <f t="shared" si="10"/>
        <v>0.375</v>
      </c>
    </row>
    <row r="52" spans="1:36">
      <c r="A52" s="738" t="s">
        <v>119</v>
      </c>
      <c r="B52" s="627" t="s">
        <v>120</v>
      </c>
      <c r="C52" s="666" t="s">
        <v>271</v>
      </c>
      <c r="E52" s="1160">
        <v>10</v>
      </c>
      <c r="F52" s="1161">
        <v>1</v>
      </c>
      <c r="G52" s="1161">
        <v>11</v>
      </c>
      <c r="H52" s="1161">
        <v>1</v>
      </c>
      <c r="I52" s="1161">
        <v>13</v>
      </c>
      <c r="J52" s="1161">
        <v>4</v>
      </c>
      <c r="K52" s="337">
        <f t="shared" si="2"/>
        <v>40</v>
      </c>
      <c r="L52" s="1160">
        <v>4</v>
      </c>
      <c r="M52" s="1161"/>
      <c r="N52" s="1161">
        <v>2</v>
      </c>
      <c r="O52" s="1161">
        <v>2</v>
      </c>
      <c r="P52" s="1161">
        <v>2</v>
      </c>
      <c r="Q52" s="1161"/>
      <c r="R52" s="337">
        <f t="shared" si="3"/>
        <v>10</v>
      </c>
      <c r="S52" s="1160"/>
      <c r="T52" s="1161"/>
      <c r="U52" s="1161"/>
      <c r="V52" s="1161"/>
      <c r="W52" s="1161"/>
      <c r="X52" s="1161"/>
      <c r="Y52" s="337">
        <f t="shared" si="4"/>
        <v>0</v>
      </c>
      <c r="Z52" s="1162">
        <f t="shared" si="11"/>
        <v>50</v>
      </c>
      <c r="AA52" s="1162">
        <f t="shared" si="6"/>
        <v>50</v>
      </c>
      <c r="AD52" s="1163">
        <f t="shared" si="7"/>
        <v>0.2857142857142857</v>
      </c>
      <c r="AE52" s="1164">
        <f t="shared" si="7"/>
        <v>0</v>
      </c>
      <c r="AF52" s="1165">
        <f t="shared" si="8"/>
        <v>0.13333333333333333</v>
      </c>
      <c r="AG52" s="1165">
        <f t="shared" si="8"/>
        <v>0</v>
      </c>
      <c r="AH52" s="1165">
        <f t="shared" si="9"/>
        <v>0.15384615384615385</v>
      </c>
      <c r="AI52" s="1165">
        <f t="shared" si="9"/>
        <v>0.66666666666666663</v>
      </c>
      <c r="AJ52" s="1166">
        <f t="shared" si="10"/>
        <v>0.2</v>
      </c>
    </row>
    <row r="53" spans="1:36">
      <c r="A53" s="738" t="s">
        <v>121</v>
      </c>
      <c r="B53" s="627" t="s">
        <v>122</v>
      </c>
      <c r="C53" s="666" t="s">
        <v>271</v>
      </c>
      <c r="E53" s="1160">
        <v>14</v>
      </c>
      <c r="F53" s="1161">
        <v>4</v>
      </c>
      <c r="G53" s="1161">
        <v>13</v>
      </c>
      <c r="H53" s="1161"/>
      <c r="I53" s="1161">
        <v>13</v>
      </c>
      <c r="J53" s="1161">
        <v>3</v>
      </c>
      <c r="K53" s="337">
        <f t="shared" si="2"/>
        <v>47</v>
      </c>
      <c r="L53" s="1160">
        <v>2</v>
      </c>
      <c r="M53" s="1161"/>
      <c r="N53" s="1161">
        <v>4</v>
      </c>
      <c r="O53" s="1161"/>
      <c r="P53" s="1161">
        <v>8</v>
      </c>
      <c r="Q53" s="1161"/>
      <c r="R53" s="337">
        <f t="shared" si="3"/>
        <v>14</v>
      </c>
      <c r="S53" s="1160"/>
      <c r="T53" s="1161"/>
      <c r="U53" s="1161"/>
      <c r="V53" s="1161"/>
      <c r="W53" s="1161"/>
      <c r="X53" s="1161"/>
      <c r="Y53" s="337">
        <f t="shared" si="4"/>
        <v>0</v>
      </c>
      <c r="Z53" s="1162">
        <f t="shared" si="11"/>
        <v>61</v>
      </c>
      <c r="AA53" s="1162">
        <f t="shared" si="6"/>
        <v>61</v>
      </c>
      <c r="AD53" s="1163">
        <f t="shared" si="7"/>
        <v>0.125</v>
      </c>
      <c r="AE53" s="1164">
        <f t="shared" si="7"/>
        <v>0</v>
      </c>
      <c r="AF53" s="1165">
        <f t="shared" si="8"/>
        <v>0.38095238095238093</v>
      </c>
      <c r="AG53" s="1165">
        <f t="shared" si="8"/>
        <v>0</v>
      </c>
      <c r="AH53" s="1165">
        <f t="shared" si="9"/>
        <v>0.23529411764705882</v>
      </c>
      <c r="AI53" s="1165" t="str">
        <f t="shared" si="9"/>
        <v>NA</v>
      </c>
      <c r="AJ53" s="1166">
        <f t="shared" si="10"/>
        <v>0.22950819672131148</v>
      </c>
    </row>
    <row r="54" spans="1:36">
      <c r="A54" s="738" t="s">
        <v>123</v>
      </c>
      <c r="B54" s="627" t="s">
        <v>278</v>
      </c>
      <c r="C54" s="666" t="s">
        <v>273</v>
      </c>
      <c r="E54" s="1160">
        <v>3</v>
      </c>
      <c r="F54" s="1161">
        <v>1</v>
      </c>
      <c r="G54" s="1161">
        <v>5</v>
      </c>
      <c r="H54" s="1161"/>
      <c r="I54" s="1161">
        <v>3</v>
      </c>
      <c r="J54" s="1161">
        <v>1</v>
      </c>
      <c r="K54" s="337">
        <f t="shared" si="2"/>
        <v>13</v>
      </c>
      <c r="L54" s="1160"/>
      <c r="M54" s="1161"/>
      <c r="N54" s="1161">
        <v>3</v>
      </c>
      <c r="O54" s="1161"/>
      <c r="P54" s="1161">
        <v>2</v>
      </c>
      <c r="Q54" s="1161"/>
      <c r="R54" s="337">
        <f t="shared" si="3"/>
        <v>5</v>
      </c>
      <c r="S54" s="1160"/>
      <c r="T54" s="1161"/>
      <c r="U54" s="1161"/>
      <c r="V54" s="1161"/>
      <c r="W54" s="1161"/>
      <c r="X54" s="1161"/>
      <c r="Y54" s="337">
        <f t="shared" si="4"/>
        <v>0</v>
      </c>
      <c r="Z54" s="1162">
        <f t="shared" si="11"/>
        <v>18</v>
      </c>
      <c r="AA54" s="1162">
        <f t="shared" si="6"/>
        <v>18</v>
      </c>
      <c r="AD54" s="1163">
        <f t="shared" si="7"/>
        <v>0</v>
      </c>
      <c r="AE54" s="1164">
        <f t="shared" si="7"/>
        <v>0</v>
      </c>
      <c r="AF54" s="1165">
        <f t="shared" si="8"/>
        <v>0.4</v>
      </c>
      <c r="AG54" s="1165">
        <f t="shared" si="8"/>
        <v>0</v>
      </c>
      <c r="AH54" s="1165">
        <f t="shared" si="9"/>
        <v>0.375</v>
      </c>
      <c r="AI54" s="1165" t="str">
        <f t="shared" si="9"/>
        <v>NA</v>
      </c>
      <c r="AJ54" s="1166">
        <f t="shared" si="10"/>
        <v>0.27777777777777779</v>
      </c>
    </row>
    <row r="55" spans="1:36">
      <c r="A55" s="738" t="s">
        <v>125</v>
      </c>
      <c r="B55" s="627" t="s">
        <v>126</v>
      </c>
      <c r="C55" s="666" t="s">
        <v>274</v>
      </c>
      <c r="E55" s="1160">
        <v>7</v>
      </c>
      <c r="F55" s="1161">
        <v>2</v>
      </c>
      <c r="G55" s="1161">
        <v>4</v>
      </c>
      <c r="H55" s="1161"/>
      <c r="I55" s="1161">
        <v>5</v>
      </c>
      <c r="J55" s="1161"/>
      <c r="K55" s="337">
        <f t="shared" si="2"/>
        <v>18</v>
      </c>
      <c r="L55" s="1160">
        <v>2</v>
      </c>
      <c r="M55" s="1161"/>
      <c r="N55" s="1161"/>
      <c r="O55" s="1161">
        <v>2</v>
      </c>
      <c r="P55" s="1161">
        <v>1</v>
      </c>
      <c r="Q55" s="1161"/>
      <c r="R55" s="337">
        <f t="shared" si="3"/>
        <v>5</v>
      </c>
      <c r="S55" s="1160"/>
      <c r="T55" s="1161"/>
      <c r="U55" s="1161"/>
      <c r="V55" s="1161"/>
      <c r="W55" s="1161"/>
      <c r="X55" s="1161"/>
      <c r="Y55" s="337">
        <f t="shared" si="4"/>
        <v>0</v>
      </c>
      <c r="Z55" s="1162">
        <f t="shared" si="11"/>
        <v>23</v>
      </c>
      <c r="AA55" s="1162">
        <f t="shared" si="6"/>
        <v>23</v>
      </c>
      <c r="AD55" s="1163">
        <f t="shared" si="7"/>
        <v>0.22222222222222221</v>
      </c>
      <c r="AE55" s="1164">
        <f t="shared" si="7"/>
        <v>0</v>
      </c>
      <c r="AF55" s="1165">
        <f t="shared" si="8"/>
        <v>0.16666666666666666</v>
      </c>
      <c r="AG55" s="1165" t="str">
        <f t="shared" si="8"/>
        <v>NA</v>
      </c>
      <c r="AH55" s="1165">
        <f t="shared" si="9"/>
        <v>0</v>
      </c>
      <c r="AI55" s="1165">
        <f t="shared" si="9"/>
        <v>1</v>
      </c>
      <c r="AJ55" s="1166">
        <f t="shared" si="10"/>
        <v>0.21739130434782608</v>
      </c>
    </row>
    <row r="56" spans="1:36">
      <c r="A56" s="738" t="s">
        <v>127</v>
      </c>
      <c r="B56" s="627" t="s">
        <v>128</v>
      </c>
      <c r="C56" s="666" t="s">
        <v>273</v>
      </c>
      <c r="E56" s="1160">
        <v>5</v>
      </c>
      <c r="F56" s="1161">
        <v>1</v>
      </c>
      <c r="G56" s="1161">
        <v>5</v>
      </c>
      <c r="H56" s="1161"/>
      <c r="I56" s="1161">
        <v>3</v>
      </c>
      <c r="J56" s="1161">
        <v>1</v>
      </c>
      <c r="K56" s="337">
        <f t="shared" si="2"/>
        <v>15</v>
      </c>
      <c r="L56" s="1160"/>
      <c r="M56" s="1161"/>
      <c r="N56" s="1161">
        <v>1</v>
      </c>
      <c r="O56" s="1161"/>
      <c r="P56" s="1161"/>
      <c r="Q56" s="1161"/>
      <c r="R56" s="337">
        <f t="shared" si="3"/>
        <v>1</v>
      </c>
      <c r="S56" s="1160"/>
      <c r="T56" s="1161"/>
      <c r="U56" s="1161"/>
      <c r="V56" s="1161"/>
      <c r="W56" s="1161"/>
      <c r="X56" s="1161"/>
      <c r="Y56" s="337">
        <f t="shared" si="4"/>
        <v>0</v>
      </c>
      <c r="Z56" s="1162">
        <f t="shared" si="11"/>
        <v>16</v>
      </c>
      <c r="AA56" s="1162">
        <f t="shared" si="6"/>
        <v>16</v>
      </c>
      <c r="AD56" s="1163">
        <f t="shared" si="7"/>
        <v>0</v>
      </c>
      <c r="AE56" s="1164">
        <f t="shared" si="7"/>
        <v>0</v>
      </c>
      <c r="AF56" s="1165">
        <f t="shared" si="8"/>
        <v>0</v>
      </c>
      <c r="AG56" s="1165">
        <f t="shared" si="8"/>
        <v>0</v>
      </c>
      <c r="AH56" s="1165">
        <f t="shared" si="9"/>
        <v>0.16666666666666666</v>
      </c>
      <c r="AI56" s="1165" t="str">
        <f t="shared" si="9"/>
        <v>NA</v>
      </c>
      <c r="AJ56" s="1166">
        <f t="shared" si="10"/>
        <v>6.25E-2</v>
      </c>
    </row>
    <row r="57" spans="1:36">
      <c r="A57" s="738" t="s">
        <v>129</v>
      </c>
      <c r="B57" s="627" t="s">
        <v>130</v>
      </c>
      <c r="C57" s="666" t="s">
        <v>273</v>
      </c>
      <c r="E57" s="1160">
        <v>6</v>
      </c>
      <c r="F57" s="1161">
        <v>1</v>
      </c>
      <c r="G57" s="1161">
        <v>5</v>
      </c>
      <c r="H57" s="1161"/>
      <c r="I57" s="1161">
        <v>3</v>
      </c>
      <c r="J57" s="1161">
        <v>1</v>
      </c>
      <c r="K57" s="337">
        <f t="shared" si="2"/>
        <v>16</v>
      </c>
      <c r="L57" s="1160">
        <v>4</v>
      </c>
      <c r="M57" s="1161"/>
      <c r="N57" s="1161">
        <v>2</v>
      </c>
      <c r="O57" s="1161"/>
      <c r="P57" s="1161">
        <v>2</v>
      </c>
      <c r="Q57" s="1161"/>
      <c r="R57" s="337">
        <f t="shared" si="3"/>
        <v>8</v>
      </c>
      <c r="S57" s="1160"/>
      <c r="T57" s="1161"/>
      <c r="U57" s="1161"/>
      <c r="V57" s="1161"/>
      <c r="W57" s="1161"/>
      <c r="X57" s="1161"/>
      <c r="Y57" s="337">
        <f t="shared" si="4"/>
        <v>0</v>
      </c>
      <c r="Z57" s="1162">
        <f t="shared" si="11"/>
        <v>24</v>
      </c>
      <c r="AA57" s="1162">
        <f t="shared" si="6"/>
        <v>24</v>
      </c>
      <c r="AD57" s="1163">
        <f t="shared" si="7"/>
        <v>0.4</v>
      </c>
      <c r="AE57" s="1164">
        <f t="shared" si="7"/>
        <v>0</v>
      </c>
      <c r="AF57" s="1165">
        <f t="shared" si="8"/>
        <v>0.4</v>
      </c>
      <c r="AG57" s="1165">
        <f t="shared" si="8"/>
        <v>0</v>
      </c>
      <c r="AH57" s="1165">
        <f t="shared" si="9"/>
        <v>0.2857142857142857</v>
      </c>
      <c r="AI57" s="1165" t="str">
        <f t="shared" si="9"/>
        <v>NA</v>
      </c>
      <c r="AJ57" s="1166">
        <f t="shared" si="10"/>
        <v>0.33333333333333331</v>
      </c>
    </row>
    <row r="58" spans="1:36">
      <c r="A58" s="738" t="s">
        <v>131</v>
      </c>
      <c r="B58" s="627" t="s">
        <v>132</v>
      </c>
      <c r="C58" s="666" t="s">
        <v>275</v>
      </c>
      <c r="E58" s="1160">
        <v>19</v>
      </c>
      <c r="F58" s="1161">
        <v>2</v>
      </c>
      <c r="G58" s="1161">
        <v>9</v>
      </c>
      <c r="H58" s="1161"/>
      <c r="I58" s="1161">
        <v>15</v>
      </c>
      <c r="J58" s="1161">
        <v>5</v>
      </c>
      <c r="K58" s="337">
        <f t="shared" si="2"/>
        <v>50</v>
      </c>
      <c r="L58" s="1160">
        <v>3</v>
      </c>
      <c r="M58" s="1161"/>
      <c r="N58" s="1161">
        <v>2</v>
      </c>
      <c r="O58" s="1161"/>
      <c r="P58" s="1161">
        <v>8</v>
      </c>
      <c r="Q58" s="1161"/>
      <c r="R58" s="337">
        <f t="shared" si="3"/>
        <v>13</v>
      </c>
      <c r="S58" s="1160"/>
      <c r="T58" s="1161"/>
      <c r="U58" s="1161"/>
      <c r="V58" s="1161"/>
      <c r="W58" s="1161"/>
      <c r="X58" s="1161"/>
      <c r="Y58" s="337">
        <f t="shared" si="4"/>
        <v>0</v>
      </c>
      <c r="Z58" s="1162">
        <f t="shared" si="11"/>
        <v>63</v>
      </c>
      <c r="AA58" s="1162">
        <f t="shared" si="6"/>
        <v>63</v>
      </c>
      <c r="AD58" s="1163">
        <f t="shared" si="7"/>
        <v>0.13636363636363635</v>
      </c>
      <c r="AE58" s="1164">
        <f t="shared" si="7"/>
        <v>0</v>
      </c>
      <c r="AF58" s="1165">
        <f t="shared" si="8"/>
        <v>0.34782608695652173</v>
      </c>
      <c r="AG58" s="1165">
        <f t="shared" si="8"/>
        <v>0</v>
      </c>
      <c r="AH58" s="1165">
        <f t="shared" si="9"/>
        <v>0.18181818181818182</v>
      </c>
      <c r="AI58" s="1165" t="str">
        <f t="shared" si="9"/>
        <v>NA</v>
      </c>
      <c r="AJ58" s="1166">
        <f t="shared" si="10"/>
        <v>0.20634920634920634</v>
      </c>
    </row>
    <row r="59" spans="1:36">
      <c r="A59" s="738" t="s">
        <v>133</v>
      </c>
      <c r="B59" s="627" t="s">
        <v>134</v>
      </c>
      <c r="C59" s="666" t="s">
        <v>274</v>
      </c>
      <c r="E59" s="1160">
        <v>22</v>
      </c>
      <c r="F59" s="1161">
        <v>5</v>
      </c>
      <c r="G59" s="1161">
        <v>25</v>
      </c>
      <c r="H59" s="1161"/>
      <c r="I59" s="1161">
        <v>54</v>
      </c>
      <c r="J59" s="1161">
        <v>9</v>
      </c>
      <c r="K59" s="337">
        <f t="shared" si="2"/>
        <v>115</v>
      </c>
      <c r="L59" s="1160">
        <v>6</v>
      </c>
      <c r="M59" s="1161">
        <v>1</v>
      </c>
      <c r="N59" s="1161"/>
      <c r="O59" s="1161"/>
      <c r="P59" s="1161">
        <v>6</v>
      </c>
      <c r="Q59" s="1161">
        <v>1</v>
      </c>
      <c r="R59" s="337">
        <f t="shared" si="3"/>
        <v>14</v>
      </c>
      <c r="S59" s="1160"/>
      <c r="T59" s="1161"/>
      <c r="U59" s="1161"/>
      <c r="V59" s="1161"/>
      <c r="W59" s="1161"/>
      <c r="X59" s="1161"/>
      <c r="Y59" s="337">
        <f t="shared" si="4"/>
        <v>0</v>
      </c>
      <c r="Z59" s="1162">
        <f t="shared" si="11"/>
        <v>129</v>
      </c>
      <c r="AA59" s="1162">
        <f t="shared" si="6"/>
        <v>129</v>
      </c>
      <c r="AD59" s="1163">
        <f t="shared" si="7"/>
        <v>0.21428571428571427</v>
      </c>
      <c r="AE59" s="1164">
        <f t="shared" si="7"/>
        <v>0.16666666666666666</v>
      </c>
      <c r="AF59" s="1165">
        <f t="shared" si="8"/>
        <v>0.1</v>
      </c>
      <c r="AG59" s="1165">
        <f t="shared" si="8"/>
        <v>0.1</v>
      </c>
      <c r="AH59" s="1165">
        <f t="shared" si="9"/>
        <v>0</v>
      </c>
      <c r="AI59" s="1165" t="str">
        <f t="shared" si="9"/>
        <v>NA</v>
      </c>
      <c r="AJ59" s="1166">
        <f t="shared" si="10"/>
        <v>0.10852713178294573</v>
      </c>
    </row>
    <row r="60" spans="1:36">
      <c r="A60" s="738" t="s">
        <v>135</v>
      </c>
      <c r="B60" s="627" t="s">
        <v>136</v>
      </c>
      <c r="C60" s="666" t="s">
        <v>274</v>
      </c>
      <c r="E60" s="1160">
        <v>16</v>
      </c>
      <c r="F60" s="1161">
        <v>2</v>
      </c>
      <c r="G60" s="1161">
        <v>9</v>
      </c>
      <c r="H60" s="1161"/>
      <c r="I60" s="1161">
        <v>14</v>
      </c>
      <c r="J60" s="1161">
        <v>1</v>
      </c>
      <c r="K60" s="337">
        <f t="shared" si="2"/>
        <v>42</v>
      </c>
      <c r="L60" s="1160">
        <v>1</v>
      </c>
      <c r="M60" s="1161"/>
      <c r="N60" s="1161">
        <v>6</v>
      </c>
      <c r="O60" s="1161">
        <v>4</v>
      </c>
      <c r="P60" s="1161">
        <v>6</v>
      </c>
      <c r="Q60" s="1161">
        <v>2</v>
      </c>
      <c r="R60" s="337">
        <f t="shared" si="3"/>
        <v>19</v>
      </c>
      <c r="S60" s="1160"/>
      <c r="T60" s="1161"/>
      <c r="U60" s="1161"/>
      <c r="V60" s="1161"/>
      <c r="W60" s="1161"/>
      <c r="X60" s="1161"/>
      <c r="Y60" s="337">
        <f t="shared" si="4"/>
        <v>0</v>
      </c>
      <c r="Z60" s="1162">
        <f t="shared" si="11"/>
        <v>61</v>
      </c>
      <c r="AA60" s="1162">
        <f t="shared" si="6"/>
        <v>61</v>
      </c>
      <c r="AD60" s="1163">
        <f t="shared" si="7"/>
        <v>5.8823529411764705E-2</v>
      </c>
      <c r="AE60" s="1164">
        <f t="shared" si="7"/>
        <v>0</v>
      </c>
      <c r="AF60" s="1165">
        <f t="shared" si="8"/>
        <v>0.3</v>
      </c>
      <c r="AG60" s="1165">
        <f t="shared" si="8"/>
        <v>0.66666666666666663</v>
      </c>
      <c r="AH60" s="1165">
        <f t="shared" si="9"/>
        <v>0.4</v>
      </c>
      <c r="AI60" s="1165">
        <f t="shared" si="9"/>
        <v>1</v>
      </c>
      <c r="AJ60" s="1166">
        <f t="shared" si="10"/>
        <v>0.31147540983606559</v>
      </c>
    </row>
    <row r="61" spans="1:36">
      <c r="A61" s="738" t="s">
        <v>137</v>
      </c>
      <c r="B61" s="627" t="s">
        <v>138</v>
      </c>
      <c r="C61" s="666" t="s">
        <v>273</v>
      </c>
      <c r="E61" s="1160">
        <v>5</v>
      </c>
      <c r="F61" s="1161">
        <v>1</v>
      </c>
      <c r="G61" s="1161">
        <v>6</v>
      </c>
      <c r="H61" s="1161"/>
      <c r="I61" s="1161">
        <v>3</v>
      </c>
      <c r="J61" s="1161">
        <v>1</v>
      </c>
      <c r="K61" s="337">
        <f t="shared" si="2"/>
        <v>16</v>
      </c>
      <c r="L61" s="1160">
        <v>1</v>
      </c>
      <c r="M61" s="1161"/>
      <c r="N61" s="1161"/>
      <c r="O61" s="1161"/>
      <c r="P61" s="1161">
        <v>1</v>
      </c>
      <c r="Q61" s="1161"/>
      <c r="R61" s="337">
        <f t="shared" si="3"/>
        <v>2</v>
      </c>
      <c r="S61" s="1160"/>
      <c r="T61" s="1161"/>
      <c r="U61" s="1161"/>
      <c r="V61" s="1161"/>
      <c r="W61" s="1161"/>
      <c r="X61" s="1161"/>
      <c r="Y61" s="337">
        <f t="shared" si="4"/>
        <v>0</v>
      </c>
      <c r="Z61" s="1162">
        <f t="shared" si="11"/>
        <v>18</v>
      </c>
      <c r="AA61" s="1162">
        <f t="shared" si="6"/>
        <v>18</v>
      </c>
      <c r="AD61" s="1163">
        <f t="shared" si="7"/>
        <v>0.16666666666666666</v>
      </c>
      <c r="AE61" s="1164">
        <f t="shared" si="7"/>
        <v>0</v>
      </c>
      <c r="AF61" s="1165">
        <f t="shared" si="8"/>
        <v>0.25</v>
      </c>
      <c r="AG61" s="1165">
        <f t="shared" si="8"/>
        <v>0</v>
      </c>
      <c r="AH61" s="1165">
        <f t="shared" si="9"/>
        <v>0</v>
      </c>
      <c r="AI61" s="1165" t="str">
        <f t="shared" si="9"/>
        <v>NA</v>
      </c>
      <c r="AJ61" s="1166">
        <f t="shared" si="10"/>
        <v>0.1111111111111111</v>
      </c>
    </row>
    <row r="62" spans="1:36">
      <c r="A62" s="738" t="s">
        <v>141</v>
      </c>
      <c r="B62" s="627" t="s">
        <v>142</v>
      </c>
      <c r="C62" s="666" t="s">
        <v>274</v>
      </c>
      <c r="E62" s="1160">
        <v>8</v>
      </c>
      <c r="F62" s="1161"/>
      <c r="G62" s="1161">
        <v>5</v>
      </c>
      <c r="H62" s="1161">
        <v>1</v>
      </c>
      <c r="I62" s="1161">
        <v>6</v>
      </c>
      <c r="J62" s="1161"/>
      <c r="K62" s="337">
        <f t="shared" si="2"/>
        <v>20</v>
      </c>
      <c r="L62" s="1160"/>
      <c r="M62" s="1161"/>
      <c r="N62" s="1161">
        <v>1</v>
      </c>
      <c r="O62" s="1161"/>
      <c r="P62" s="1161"/>
      <c r="Q62" s="1161"/>
      <c r="R62" s="337">
        <f t="shared" si="3"/>
        <v>1</v>
      </c>
      <c r="S62" s="1160"/>
      <c r="T62" s="1161"/>
      <c r="U62" s="1161"/>
      <c r="V62" s="1161"/>
      <c r="W62" s="1161"/>
      <c r="X62" s="1161"/>
      <c r="Y62" s="337">
        <f t="shared" si="4"/>
        <v>0</v>
      </c>
      <c r="Z62" s="1162">
        <f t="shared" si="11"/>
        <v>21</v>
      </c>
      <c r="AA62" s="1162">
        <f t="shared" si="6"/>
        <v>21</v>
      </c>
      <c r="AD62" s="1163">
        <f t="shared" si="7"/>
        <v>0</v>
      </c>
      <c r="AE62" s="1164" t="str">
        <f t="shared" si="7"/>
        <v>NA</v>
      </c>
      <c r="AF62" s="1165">
        <f t="shared" si="8"/>
        <v>0</v>
      </c>
      <c r="AG62" s="1165" t="str">
        <f t="shared" si="8"/>
        <v>NA</v>
      </c>
      <c r="AH62" s="1165">
        <f t="shared" si="9"/>
        <v>0.16666666666666666</v>
      </c>
      <c r="AI62" s="1165">
        <f t="shared" si="9"/>
        <v>0</v>
      </c>
      <c r="AJ62" s="1166">
        <f t="shared" si="10"/>
        <v>4.7619047619047616E-2</v>
      </c>
    </row>
    <row r="63" spans="1:36">
      <c r="A63" s="738" t="s">
        <v>147</v>
      </c>
      <c r="B63" s="627" t="s">
        <v>148</v>
      </c>
      <c r="C63" s="666" t="s">
        <v>271</v>
      </c>
      <c r="E63" s="1160">
        <v>5</v>
      </c>
      <c r="F63" s="1161"/>
      <c r="G63" s="1161">
        <v>4</v>
      </c>
      <c r="H63" s="1161"/>
      <c r="I63" s="1161">
        <v>3</v>
      </c>
      <c r="J63" s="1161">
        <v>1</v>
      </c>
      <c r="K63" s="337">
        <f t="shared" si="2"/>
        <v>13</v>
      </c>
      <c r="L63" s="1160"/>
      <c r="M63" s="1161"/>
      <c r="N63" s="1161"/>
      <c r="O63" s="1161"/>
      <c r="P63" s="1161">
        <v>1</v>
      </c>
      <c r="Q63" s="1161"/>
      <c r="R63" s="337">
        <f t="shared" si="3"/>
        <v>1</v>
      </c>
      <c r="S63" s="1160"/>
      <c r="T63" s="1161"/>
      <c r="U63" s="1161"/>
      <c r="V63" s="1161"/>
      <c r="W63" s="1161"/>
      <c r="X63" s="1161"/>
      <c r="Y63" s="337">
        <f t="shared" si="4"/>
        <v>0</v>
      </c>
      <c r="Z63" s="1162">
        <f t="shared" si="11"/>
        <v>14</v>
      </c>
      <c r="AA63" s="1162">
        <f t="shared" si="6"/>
        <v>14</v>
      </c>
      <c r="AD63" s="1163">
        <f t="shared" si="7"/>
        <v>0</v>
      </c>
      <c r="AE63" s="1164" t="str">
        <f t="shared" si="7"/>
        <v>NA</v>
      </c>
      <c r="AF63" s="1165">
        <f t="shared" si="8"/>
        <v>0.25</v>
      </c>
      <c r="AG63" s="1165">
        <f t="shared" si="8"/>
        <v>0</v>
      </c>
      <c r="AH63" s="1165">
        <f t="shared" si="9"/>
        <v>0</v>
      </c>
      <c r="AI63" s="1165" t="str">
        <f t="shared" si="9"/>
        <v>NA</v>
      </c>
      <c r="AJ63" s="1166">
        <f t="shared" si="10"/>
        <v>7.1428571428571425E-2</v>
      </c>
    </row>
    <row r="64" spans="1:36">
      <c r="A64" s="738" t="s">
        <v>149</v>
      </c>
      <c r="B64" s="627" t="s">
        <v>150</v>
      </c>
      <c r="C64" s="666" t="s">
        <v>272</v>
      </c>
      <c r="E64" s="1160">
        <v>14</v>
      </c>
      <c r="F64" s="1161">
        <v>2</v>
      </c>
      <c r="G64" s="1161">
        <v>10</v>
      </c>
      <c r="H64" s="1161"/>
      <c r="I64" s="1161">
        <v>9</v>
      </c>
      <c r="J64" s="1161">
        <v>1</v>
      </c>
      <c r="K64" s="337">
        <f t="shared" si="2"/>
        <v>36</v>
      </c>
      <c r="L64" s="1160">
        <v>3</v>
      </c>
      <c r="M64" s="1161"/>
      <c r="N64" s="1161"/>
      <c r="O64" s="1161"/>
      <c r="P64" s="1161">
        <v>1</v>
      </c>
      <c r="Q64" s="1161"/>
      <c r="R64" s="337">
        <f t="shared" si="3"/>
        <v>4</v>
      </c>
      <c r="S64" s="1160"/>
      <c r="T64" s="1161"/>
      <c r="U64" s="1161"/>
      <c r="V64" s="1161"/>
      <c r="W64" s="1161"/>
      <c r="X64" s="1161"/>
      <c r="Y64" s="337">
        <f t="shared" si="4"/>
        <v>0</v>
      </c>
      <c r="Z64" s="1162">
        <f t="shared" si="11"/>
        <v>40</v>
      </c>
      <c r="AA64" s="1162">
        <f t="shared" si="6"/>
        <v>40</v>
      </c>
      <c r="AD64" s="1163">
        <f t="shared" si="7"/>
        <v>0.17647058823529413</v>
      </c>
      <c r="AE64" s="1164">
        <f t="shared" si="7"/>
        <v>0</v>
      </c>
      <c r="AF64" s="1165">
        <f t="shared" si="8"/>
        <v>0.1</v>
      </c>
      <c r="AG64" s="1165">
        <f t="shared" si="8"/>
        <v>0</v>
      </c>
      <c r="AH64" s="1165">
        <f t="shared" si="9"/>
        <v>0</v>
      </c>
      <c r="AI64" s="1165" t="str">
        <f t="shared" si="9"/>
        <v>NA</v>
      </c>
      <c r="AJ64" s="1166">
        <f t="shared" si="10"/>
        <v>0.1</v>
      </c>
    </row>
    <row r="65" spans="1:36">
      <c r="A65" s="738" t="s">
        <v>151</v>
      </c>
      <c r="B65" s="627" t="s">
        <v>152</v>
      </c>
      <c r="C65" s="666" t="s">
        <v>273</v>
      </c>
      <c r="E65" s="1160">
        <v>4</v>
      </c>
      <c r="F65" s="1161">
        <v>1</v>
      </c>
      <c r="G65" s="1161">
        <v>3</v>
      </c>
      <c r="H65" s="1161"/>
      <c r="I65" s="1161">
        <v>3</v>
      </c>
      <c r="J65" s="1161">
        <v>2</v>
      </c>
      <c r="K65" s="337">
        <f t="shared" si="2"/>
        <v>13</v>
      </c>
      <c r="L65" s="1160"/>
      <c r="M65" s="1161"/>
      <c r="N65" s="1161">
        <v>3</v>
      </c>
      <c r="O65" s="1161"/>
      <c r="P65" s="1161">
        <v>1</v>
      </c>
      <c r="Q65" s="1161"/>
      <c r="R65" s="337">
        <f t="shared" si="3"/>
        <v>4</v>
      </c>
      <c r="S65" s="1160"/>
      <c r="T65" s="1161"/>
      <c r="U65" s="1161"/>
      <c r="V65" s="1161"/>
      <c r="W65" s="1161"/>
      <c r="X65" s="1161"/>
      <c r="Y65" s="337">
        <f t="shared" si="4"/>
        <v>0</v>
      </c>
      <c r="Z65" s="1162">
        <f t="shared" si="11"/>
        <v>17</v>
      </c>
      <c r="AA65" s="1162">
        <f t="shared" si="6"/>
        <v>17</v>
      </c>
      <c r="AD65" s="1163">
        <f t="shared" si="7"/>
        <v>0</v>
      </c>
      <c r="AE65" s="1164">
        <f t="shared" si="7"/>
        <v>0</v>
      </c>
      <c r="AF65" s="1165">
        <f t="shared" si="8"/>
        <v>0.25</v>
      </c>
      <c r="AG65" s="1165">
        <f t="shared" si="8"/>
        <v>0</v>
      </c>
      <c r="AH65" s="1165">
        <f t="shared" si="9"/>
        <v>0.5</v>
      </c>
      <c r="AI65" s="1165" t="str">
        <f t="shared" si="9"/>
        <v>NA</v>
      </c>
      <c r="AJ65" s="1166">
        <f t="shared" si="10"/>
        <v>0.23529411764705882</v>
      </c>
    </row>
    <row r="66" spans="1:36">
      <c r="A66" s="738" t="s">
        <v>153</v>
      </c>
      <c r="B66" s="627" t="s">
        <v>154</v>
      </c>
      <c r="C66" s="666" t="s">
        <v>275</v>
      </c>
      <c r="E66" s="1160">
        <v>26</v>
      </c>
      <c r="F66" s="1161">
        <v>1</v>
      </c>
      <c r="G66" s="1161">
        <v>10</v>
      </c>
      <c r="H66" s="1161"/>
      <c r="I66" s="1161">
        <v>18</v>
      </c>
      <c r="J66" s="1161">
        <v>4</v>
      </c>
      <c r="K66" s="337">
        <f t="shared" si="2"/>
        <v>59</v>
      </c>
      <c r="L66" s="1160">
        <v>6</v>
      </c>
      <c r="M66" s="1161">
        <v>1</v>
      </c>
      <c r="N66" s="1161">
        <v>8</v>
      </c>
      <c r="O66" s="1161"/>
      <c r="P66" s="1161">
        <v>4</v>
      </c>
      <c r="Q66" s="1161"/>
      <c r="R66" s="337">
        <f t="shared" si="3"/>
        <v>19</v>
      </c>
      <c r="S66" s="1160"/>
      <c r="T66" s="1161"/>
      <c r="U66" s="1161"/>
      <c r="V66" s="1161"/>
      <c r="W66" s="1161"/>
      <c r="X66" s="1161"/>
      <c r="Y66" s="337">
        <f t="shared" si="4"/>
        <v>0</v>
      </c>
      <c r="Z66" s="1162">
        <f t="shared" si="11"/>
        <v>78</v>
      </c>
      <c r="AA66" s="1162">
        <f t="shared" si="6"/>
        <v>78</v>
      </c>
      <c r="AD66" s="1163">
        <f t="shared" si="7"/>
        <v>0.1875</v>
      </c>
      <c r="AE66" s="1164">
        <f t="shared" si="7"/>
        <v>0.5</v>
      </c>
      <c r="AF66" s="1165">
        <f t="shared" si="8"/>
        <v>0.18181818181818182</v>
      </c>
      <c r="AG66" s="1165">
        <f t="shared" si="8"/>
        <v>0</v>
      </c>
      <c r="AH66" s="1165">
        <f t="shared" si="9"/>
        <v>0.44444444444444442</v>
      </c>
      <c r="AI66" s="1165" t="str">
        <f t="shared" si="9"/>
        <v>NA</v>
      </c>
      <c r="AJ66" s="1166">
        <f t="shared" si="10"/>
        <v>0.24358974358974358</v>
      </c>
    </row>
    <row r="67" spans="1:36">
      <c r="A67" s="738" t="s">
        <v>155</v>
      </c>
      <c r="B67" s="627" t="s">
        <v>156</v>
      </c>
      <c r="C67" s="666" t="s">
        <v>272</v>
      </c>
      <c r="E67" s="1160">
        <v>6</v>
      </c>
      <c r="F67" s="1161">
        <v>1</v>
      </c>
      <c r="G67" s="1161">
        <v>3</v>
      </c>
      <c r="H67" s="1161"/>
      <c r="I67" s="1161">
        <v>4</v>
      </c>
      <c r="J67" s="1161"/>
      <c r="K67" s="337">
        <f t="shared" si="2"/>
        <v>14</v>
      </c>
      <c r="L67" s="1160">
        <v>2</v>
      </c>
      <c r="M67" s="1161"/>
      <c r="N67" s="1161">
        <v>2</v>
      </c>
      <c r="O67" s="1161"/>
      <c r="P67" s="1161"/>
      <c r="Q67" s="1161"/>
      <c r="R67" s="337">
        <f t="shared" si="3"/>
        <v>4</v>
      </c>
      <c r="S67" s="1160"/>
      <c r="T67" s="1161"/>
      <c r="U67" s="1161"/>
      <c r="V67" s="1161"/>
      <c r="W67" s="1161"/>
      <c r="X67" s="1161"/>
      <c r="Y67" s="337">
        <f t="shared" si="4"/>
        <v>0</v>
      </c>
      <c r="Z67" s="1162">
        <f t="shared" si="11"/>
        <v>18</v>
      </c>
      <c r="AA67" s="1162">
        <f t="shared" si="6"/>
        <v>18</v>
      </c>
      <c r="AD67" s="1163">
        <f t="shared" si="7"/>
        <v>0.25</v>
      </c>
      <c r="AE67" s="1164">
        <f t="shared" si="7"/>
        <v>0</v>
      </c>
      <c r="AF67" s="1165">
        <f t="shared" si="8"/>
        <v>0</v>
      </c>
      <c r="AG67" s="1165" t="str">
        <f t="shared" si="8"/>
        <v>NA</v>
      </c>
      <c r="AH67" s="1165">
        <f t="shared" si="9"/>
        <v>0.4</v>
      </c>
      <c r="AI67" s="1165" t="str">
        <f t="shared" si="9"/>
        <v>NA</v>
      </c>
      <c r="AJ67" s="1166">
        <f t="shared" si="10"/>
        <v>0.22222222222222221</v>
      </c>
    </row>
    <row r="68" spans="1:36">
      <c r="A68" s="738" t="s">
        <v>157</v>
      </c>
      <c r="B68" s="627" t="s">
        <v>158</v>
      </c>
      <c r="C68" s="666" t="s">
        <v>273</v>
      </c>
      <c r="E68" s="1160">
        <v>5</v>
      </c>
      <c r="F68" s="1161">
        <v>1</v>
      </c>
      <c r="G68" s="1161">
        <v>3</v>
      </c>
      <c r="H68" s="1161"/>
      <c r="I68" s="1161">
        <v>4</v>
      </c>
      <c r="J68" s="1161">
        <v>1</v>
      </c>
      <c r="K68" s="337">
        <f t="shared" si="2"/>
        <v>14</v>
      </c>
      <c r="L68" s="1160">
        <v>1</v>
      </c>
      <c r="M68" s="1161">
        <v>1</v>
      </c>
      <c r="N68" s="1161">
        <v>1</v>
      </c>
      <c r="O68" s="1161">
        <v>4</v>
      </c>
      <c r="P68" s="1161"/>
      <c r="Q68" s="1161"/>
      <c r="R68" s="337">
        <f t="shared" si="3"/>
        <v>7</v>
      </c>
      <c r="S68" s="1160"/>
      <c r="T68" s="1161"/>
      <c r="U68" s="1161"/>
      <c r="V68" s="1161"/>
      <c r="W68" s="1161"/>
      <c r="X68" s="1161"/>
      <c r="Y68" s="337">
        <f t="shared" si="4"/>
        <v>0</v>
      </c>
      <c r="Z68" s="1162">
        <f t="shared" si="11"/>
        <v>21</v>
      </c>
      <c r="AA68" s="1162">
        <f t="shared" si="6"/>
        <v>21</v>
      </c>
      <c r="AD68" s="1163">
        <f t="shared" si="7"/>
        <v>0.16666666666666666</v>
      </c>
      <c r="AE68" s="1164">
        <f t="shared" si="7"/>
        <v>0.5</v>
      </c>
      <c r="AF68" s="1165">
        <f t="shared" si="8"/>
        <v>0</v>
      </c>
      <c r="AG68" s="1165">
        <f t="shared" si="8"/>
        <v>0</v>
      </c>
      <c r="AH68" s="1165">
        <f t="shared" si="9"/>
        <v>0.25</v>
      </c>
      <c r="AI68" s="1165">
        <f t="shared" si="9"/>
        <v>1</v>
      </c>
      <c r="AJ68" s="1166">
        <f t="shared" si="10"/>
        <v>0.33333333333333331</v>
      </c>
    </row>
    <row r="69" spans="1:36">
      <c r="A69" s="738" t="s">
        <v>163</v>
      </c>
      <c r="B69" s="627" t="s">
        <v>164</v>
      </c>
      <c r="C69" s="666" t="s">
        <v>271</v>
      </c>
      <c r="E69" s="1160">
        <v>13</v>
      </c>
      <c r="F69" s="1161">
        <v>1</v>
      </c>
      <c r="G69" s="1161">
        <v>7</v>
      </c>
      <c r="H69" s="1161"/>
      <c r="I69" s="1161">
        <v>9</v>
      </c>
      <c r="J69" s="1161">
        <v>1</v>
      </c>
      <c r="K69" s="337">
        <f t="shared" si="2"/>
        <v>31</v>
      </c>
      <c r="L69" s="1160">
        <v>3</v>
      </c>
      <c r="M69" s="1161">
        <v>1</v>
      </c>
      <c r="N69" s="1161">
        <v>3</v>
      </c>
      <c r="O69" s="1161"/>
      <c r="P69" s="1161">
        <v>2</v>
      </c>
      <c r="Q69" s="1161"/>
      <c r="R69" s="337">
        <f t="shared" si="3"/>
        <v>9</v>
      </c>
      <c r="S69" s="1160"/>
      <c r="T69" s="1161"/>
      <c r="U69" s="1161"/>
      <c r="V69" s="1161"/>
      <c r="W69" s="1161"/>
      <c r="X69" s="1161"/>
      <c r="Y69" s="337">
        <f t="shared" si="4"/>
        <v>0</v>
      </c>
      <c r="Z69" s="1162">
        <f t="shared" si="11"/>
        <v>40</v>
      </c>
      <c r="AA69" s="1162">
        <f t="shared" si="6"/>
        <v>40</v>
      </c>
      <c r="AD69" s="1163">
        <f t="shared" si="7"/>
        <v>0.1875</v>
      </c>
      <c r="AE69" s="1164">
        <f t="shared" si="7"/>
        <v>0.5</v>
      </c>
      <c r="AF69" s="1165">
        <f t="shared" si="8"/>
        <v>0.18181818181818182</v>
      </c>
      <c r="AG69" s="1165">
        <f t="shared" si="8"/>
        <v>0</v>
      </c>
      <c r="AH69" s="1165">
        <f t="shared" si="9"/>
        <v>0.3</v>
      </c>
      <c r="AI69" s="1165" t="str">
        <f t="shared" si="9"/>
        <v>NA</v>
      </c>
      <c r="AJ69" s="1166">
        <f t="shared" si="10"/>
        <v>0.22500000000000001</v>
      </c>
    </row>
    <row r="70" spans="1:36">
      <c r="A70" s="738" t="s">
        <v>165</v>
      </c>
      <c r="B70" s="627" t="s">
        <v>166</v>
      </c>
      <c r="C70" s="666" t="s">
        <v>273</v>
      </c>
      <c r="E70" s="1160">
        <v>4</v>
      </c>
      <c r="F70" s="1161">
        <v>1</v>
      </c>
      <c r="G70" s="1161">
        <v>4</v>
      </c>
      <c r="H70" s="1161"/>
      <c r="I70" s="1161">
        <v>6</v>
      </c>
      <c r="J70" s="1161"/>
      <c r="K70" s="337">
        <f t="shared" si="2"/>
        <v>15</v>
      </c>
      <c r="L70" s="1160">
        <v>4</v>
      </c>
      <c r="M70" s="1161"/>
      <c r="N70" s="1161">
        <v>1</v>
      </c>
      <c r="O70" s="1161"/>
      <c r="P70" s="1161">
        <v>1</v>
      </c>
      <c r="Q70" s="1161">
        <v>1</v>
      </c>
      <c r="R70" s="337">
        <f t="shared" si="3"/>
        <v>7</v>
      </c>
      <c r="S70" s="1160"/>
      <c r="T70" s="1161"/>
      <c r="U70" s="1161"/>
      <c r="V70" s="1161"/>
      <c r="W70" s="1161"/>
      <c r="X70" s="1161"/>
      <c r="Y70" s="337">
        <f t="shared" si="4"/>
        <v>0</v>
      </c>
      <c r="Z70" s="1162">
        <f t="shared" si="11"/>
        <v>22</v>
      </c>
      <c r="AA70" s="1162">
        <f t="shared" si="6"/>
        <v>22</v>
      </c>
      <c r="AD70" s="1163">
        <f t="shared" si="7"/>
        <v>0.5</v>
      </c>
      <c r="AE70" s="1164">
        <f t="shared" si="7"/>
        <v>0</v>
      </c>
      <c r="AF70" s="1165">
        <f t="shared" si="8"/>
        <v>0.14285714285714285</v>
      </c>
      <c r="AG70" s="1165">
        <f t="shared" si="8"/>
        <v>1</v>
      </c>
      <c r="AH70" s="1165">
        <f t="shared" si="9"/>
        <v>0.2</v>
      </c>
      <c r="AI70" s="1165" t="str">
        <f t="shared" si="9"/>
        <v>NA</v>
      </c>
      <c r="AJ70" s="1166">
        <f t="shared" si="10"/>
        <v>0.31818181818181818</v>
      </c>
    </row>
    <row r="71" spans="1:36">
      <c r="A71" s="738" t="s">
        <v>169</v>
      </c>
      <c r="B71" s="627" t="s">
        <v>170</v>
      </c>
      <c r="C71" s="666" t="s">
        <v>273</v>
      </c>
      <c r="E71" s="1160">
        <v>10</v>
      </c>
      <c r="F71" s="1161">
        <v>2</v>
      </c>
      <c r="G71" s="1161">
        <v>7</v>
      </c>
      <c r="H71" s="1161"/>
      <c r="I71" s="1161">
        <v>5</v>
      </c>
      <c r="J71" s="1161">
        <v>1</v>
      </c>
      <c r="K71" s="337">
        <f t="shared" ref="K71:K126" si="12">SUM(E71:J71)</f>
        <v>25</v>
      </c>
      <c r="L71" s="1160">
        <v>1</v>
      </c>
      <c r="M71" s="1161"/>
      <c r="N71" s="1161">
        <v>1</v>
      </c>
      <c r="O71" s="1161"/>
      <c r="P71" s="1161"/>
      <c r="Q71" s="1161"/>
      <c r="R71" s="337">
        <f t="shared" ref="R71:R126" si="13">SUM(L71:Q71)</f>
        <v>2</v>
      </c>
      <c r="S71" s="1160"/>
      <c r="T71" s="1161"/>
      <c r="U71" s="1161"/>
      <c r="V71" s="1161"/>
      <c r="W71" s="1161"/>
      <c r="X71" s="1161"/>
      <c r="Y71" s="337">
        <f t="shared" ref="Y71:Y126" si="14">SUM(S71:X71)</f>
        <v>0</v>
      </c>
      <c r="Z71" s="1162">
        <f t="shared" si="11"/>
        <v>27</v>
      </c>
      <c r="AA71" s="1162">
        <f t="shared" ref="AA71:AA126" si="15">K71+R71</f>
        <v>27</v>
      </c>
      <c r="AD71" s="1163">
        <f t="shared" ref="AD71:AE126" si="16">IF((E71+L71)=0,"NA",(L71/(E71+L71)))</f>
        <v>9.0909090909090912E-2</v>
      </c>
      <c r="AE71" s="1164">
        <f t="shared" si="16"/>
        <v>0</v>
      </c>
      <c r="AF71" s="1165">
        <f t="shared" ref="AF71:AG126" si="17">IF((I71+P71)=0,"NA",(P71/(I71+P71)))</f>
        <v>0</v>
      </c>
      <c r="AG71" s="1165">
        <f t="shared" si="17"/>
        <v>0</v>
      </c>
      <c r="AH71" s="1165">
        <f t="shared" ref="AH71:AI126" si="18">IF((G71+N71)=0,"NA",(N71/(G71+N71)))</f>
        <v>0.125</v>
      </c>
      <c r="AI71" s="1165" t="str">
        <f t="shared" si="18"/>
        <v>NA</v>
      </c>
      <c r="AJ71" s="1166">
        <f t="shared" ref="AJ71:AJ126" si="19">IF((K71+R71)=0,"NA",(R71/(K71+R71)))</f>
        <v>7.407407407407407E-2</v>
      </c>
    </row>
    <row r="72" spans="1:36">
      <c r="A72" s="738" t="s">
        <v>171</v>
      </c>
      <c r="B72" s="627" t="s">
        <v>172</v>
      </c>
      <c r="C72" s="666" t="s">
        <v>274</v>
      </c>
      <c r="E72" s="1160">
        <v>11</v>
      </c>
      <c r="F72" s="1161">
        <v>3</v>
      </c>
      <c r="G72" s="1161">
        <v>6</v>
      </c>
      <c r="H72" s="1161"/>
      <c r="I72" s="1161">
        <v>7</v>
      </c>
      <c r="J72" s="1161">
        <v>1</v>
      </c>
      <c r="K72" s="337">
        <f t="shared" si="12"/>
        <v>28</v>
      </c>
      <c r="L72" s="1160">
        <v>5</v>
      </c>
      <c r="M72" s="1161">
        <v>2</v>
      </c>
      <c r="N72" s="1161">
        <v>3</v>
      </c>
      <c r="O72" s="1161"/>
      <c r="P72" s="1161">
        <v>6</v>
      </c>
      <c r="Q72" s="1161">
        <v>1</v>
      </c>
      <c r="R72" s="337">
        <f t="shared" si="13"/>
        <v>17</v>
      </c>
      <c r="S72" s="1160"/>
      <c r="T72" s="1161"/>
      <c r="U72" s="1161"/>
      <c r="V72" s="1161"/>
      <c r="W72" s="1161"/>
      <c r="X72" s="1161"/>
      <c r="Y72" s="337">
        <f t="shared" si="14"/>
        <v>0</v>
      </c>
      <c r="Z72" s="1162">
        <f t="shared" si="11"/>
        <v>45</v>
      </c>
      <c r="AA72" s="1162">
        <f t="shared" si="15"/>
        <v>45</v>
      </c>
      <c r="AD72" s="1163">
        <f t="shared" si="16"/>
        <v>0.3125</v>
      </c>
      <c r="AE72" s="1164">
        <f t="shared" si="16"/>
        <v>0.4</v>
      </c>
      <c r="AF72" s="1165">
        <f t="shared" si="17"/>
        <v>0.46153846153846156</v>
      </c>
      <c r="AG72" s="1165">
        <f t="shared" si="17"/>
        <v>0.5</v>
      </c>
      <c r="AH72" s="1165">
        <f t="shared" si="18"/>
        <v>0.33333333333333331</v>
      </c>
      <c r="AI72" s="1165" t="str">
        <f t="shared" si="18"/>
        <v>NA</v>
      </c>
      <c r="AJ72" s="1166">
        <f t="shared" si="19"/>
        <v>0.37777777777777777</v>
      </c>
    </row>
    <row r="73" spans="1:36">
      <c r="A73" s="738" t="s">
        <v>173</v>
      </c>
      <c r="B73" s="627" t="s">
        <v>174</v>
      </c>
      <c r="C73" s="666" t="s">
        <v>274</v>
      </c>
      <c r="E73" s="1160">
        <v>9</v>
      </c>
      <c r="F73" s="1161">
        <v>1</v>
      </c>
      <c r="G73" s="1161">
        <v>6</v>
      </c>
      <c r="H73" s="1161"/>
      <c r="I73" s="1161">
        <v>7</v>
      </c>
      <c r="J73" s="1161"/>
      <c r="K73" s="337">
        <f t="shared" si="12"/>
        <v>23</v>
      </c>
      <c r="L73" s="1160">
        <v>1</v>
      </c>
      <c r="M73" s="1161"/>
      <c r="N73" s="1161">
        <v>1</v>
      </c>
      <c r="O73" s="1161"/>
      <c r="P73" s="1161">
        <v>2</v>
      </c>
      <c r="Q73" s="1161"/>
      <c r="R73" s="337">
        <f t="shared" si="13"/>
        <v>4</v>
      </c>
      <c r="S73" s="1160"/>
      <c r="T73" s="1161"/>
      <c r="U73" s="1161"/>
      <c r="V73" s="1161"/>
      <c r="W73" s="1161"/>
      <c r="X73" s="1161"/>
      <c r="Y73" s="337">
        <f t="shared" si="14"/>
        <v>0</v>
      </c>
      <c r="Z73" s="1162">
        <f t="shared" si="11"/>
        <v>27</v>
      </c>
      <c r="AA73" s="1162">
        <f t="shared" si="15"/>
        <v>27</v>
      </c>
      <c r="AD73" s="1163">
        <f t="shared" si="16"/>
        <v>0.1</v>
      </c>
      <c r="AE73" s="1164">
        <f t="shared" si="16"/>
        <v>0</v>
      </c>
      <c r="AF73" s="1165">
        <f t="shared" si="17"/>
        <v>0.22222222222222221</v>
      </c>
      <c r="AG73" s="1165" t="str">
        <f t="shared" si="17"/>
        <v>NA</v>
      </c>
      <c r="AH73" s="1165">
        <f t="shared" si="18"/>
        <v>0.14285714285714285</v>
      </c>
      <c r="AI73" s="1165" t="str">
        <f t="shared" si="18"/>
        <v>NA</v>
      </c>
      <c r="AJ73" s="1166">
        <f t="shared" si="19"/>
        <v>0.14814814814814814</v>
      </c>
    </row>
    <row r="74" spans="1:36">
      <c r="A74" s="738" t="s">
        <v>175</v>
      </c>
      <c r="B74" s="627" t="s">
        <v>176</v>
      </c>
      <c r="C74" s="666" t="s">
        <v>275</v>
      </c>
      <c r="E74" s="1160">
        <v>10</v>
      </c>
      <c r="F74" s="1161">
        <v>1</v>
      </c>
      <c r="G74" s="1161">
        <v>4</v>
      </c>
      <c r="H74" s="1161"/>
      <c r="I74" s="1161">
        <v>7</v>
      </c>
      <c r="J74" s="1161">
        <v>1</v>
      </c>
      <c r="K74" s="337">
        <f t="shared" si="12"/>
        <v>23</v>
      </c>
      <c r="L74" s="1160">
        <v>3</v>
      </c>
      <c r="M74" s="1161"/>
      <c r="N74" s="1161">
        <v>2</v>
      </c>
      <c r="O74" s="1161"/>
      <c r="P74" s="1161">
        <v>2</v>
      </c>
      <c r="Q74" s="1161"/>
      <c r="R74" s="337">
        <f t="shared" si="13"/>
        <v>7</v>
      </c>
      <c r="S74" s="1160"/>
      <c r="T74" s="1161"/>
      <c r="U74" s="1161"/>
      <c r="V74" s="1161"/>
      <c r="W74" s="1161"/>
      <c r="X74" s="1161"/>
      <c r="Y74" s="337">
        <f t="shared" si="14"/>
        <v>0</v>
      </c>
      <c r="Z74" s="1162">
        <f t="shared" si="11"/>
        <v>30</v>
      </c>
      <c r="AA74" s="1162">
        <f t="shared" si="15"/>
        <v>30</v>
      </c>
      <c r="AD74" s="1163">
        <f t="shared" si="16"/>
        <v>0.23076923076923078</v>
      </c>
      <c r="AE74" s="1164">
        <f t="shared" si="16"/>
        <v>0</v>
      </c>
      <c r="AF74" s="1165">
        <f t="shared" si="17"/>
        <v>0.22222222222222221</v>
      </c>
      <c r="AG74" s="1165">
        <f t="shared" si="17"/>
        <v>0</v>
      </c>
      <c r="AH74" s="1165">
        <f t="shared" si="18"/>
        <v>0.33333333333333331</v>
      </c>
      <c r="AI74" s="1165" t="str">
        <f t="shared" si="18"/>
        <v>NA</v>
      </c>
      <c r="AJ74" s="1166">
        <f t="shared" si="19"/>
        <v>0.23333333333333334</v>
      </c>
    </row>
    <row r="75" spans="1:36">
      <c r="A75" s="738" t="s">
        <v>179</v>
      </c>
      <c r="B75" s="627" t="s">
        <v>180</v>
      </c>
      <c r="C75" s="666" t="s">
        <v>272</v>
      </c>
      <c r="E75" s="1160">
        <v>25</v>
      </c>
      <c r="F75" s="1161">
        <v>5</v>
      </c>
      <c r="G75" s="1161">
        <v>12</v>
      </c>
      <c r="H75" s="1161"/>
      <c r="I75" s="1161">
        <v>18</v>
      </c>
      <c r="J75" s="1161">
        <v>3</v>
      </c>
      <c r="K75" s="337">
        <f t="shared" si="12"/>
        <v>63</v>
      </c>
      <c r="L75" s="1160">
        <v>3</v>
      </c>
      <c r="M75" s="1161"/>
      <c r="N75" s="1161">
        <v>2</v>
      </c>
      <c r="O75" s="1161"/>
      <c r="P75" s="1161">
        <v>5</v>
      </c>
      <c r="Q75" s="1161">
        <v>1</v>
      </c>
      <c r="R75" s="337">
        <f t="shared" si="13"/>
        <v>11</v>
      </c>
      <c r="S75" s="1160"/>
      <c r="T75" s="1161"/>
      <c r="U75" s="1161"/>
      <c r="V75" s="1161"/>
      <c r="W75" s="1161"/>
      <c r="X75" s="1161"/>
      <c r="Y75" s="337">
        <f t="shared" si="14"/>
        <v>0</v>
      </c>
      <c r="Z75" s="1162">
        <f t="shared" si="11"/>
        <v>74</v>
      </c>
      <c r="AA75" s="1162">
        <f t="shared" si="15"/>
        <v>74</v>
      </c>
      <c r="AD75" s="1163">
        <f t="shared" si="16"/>
        <v>0.10714285714285714</v>
      </c>
      <c r="AE75" s="1164">
        <f t="shared" si="16"/>
        <v>0</v>
      </c>
      <c r="AF75" s="1165">
        <f t="shared" si="17"/>
        <v>0.21739130434782608</v>
      </c>
      <c r="AG75" s="1165">
        <f t="shared" si="17"/>
        <v>0.25</v>
      </c>
      <c r="AH75" s="1165">
        <f t="shared" si="18"/>
        <v>0.14285714285714285</v>
      </c>
      <c r="AI75" s="1165" t="str">
        <f t="shared" si="18"/>
        <v>NA</v>
      </c>
      <c r="AJ75" s="1166">
        <f t="shared" si="19"/>
        <v>0.14864864864864866</v>
      </c>
    </row>
    <row r="76" spans="1:36">
      <c r="A76" s="738" t="s">
        <v>183</v>
      </c>
      <c r="B76" s="627" t="s">
        <v>184</v>
      </c>
      <c r="C76" s="666" t="s">
        <v>273</v>
      </c>
      <c r="E76" s="1160">
        <v>6</v>
      </c>
      <c r="F76" s="1161">
        <v>1</v>
      </c>
      <c r="G76" s="1161">
        <v>5</v>
      </c>
      <c r="H76" s="1161"/>
      <c r="I76" s="1161">
        <v>6</v>
      </c>
      <c r="J76" s="1161"/>
      <c r="K76" s="337">
        <f t="shared" si="12"/>
        <v>18</v>
      </c>
      <c r="L76" s="1160"/>
      <c r="M76" s="1161"/>
      <c r="N76" s="1161"/>
      <c r="O76" s="1161">
        <v>2</v>
      </c>
      <c r="P76" s="1161">
        <v>4</v>
      </c>
      <c r="Q76" s="1161">
        <v>1</v>
      </c>
      <c r="R76" s="337">
        <f t="shared" si="13"/>
        <v>7</v>
      </c>
      <c r="S76" s="1160"/>
      <c r="T76" s="1161"/>
      <c r="U76" s="1161"/>
      <c r="V76" s="1161"/>
      <c r="W76" s="1161"/>
      <c r="X76" s="1161"/>
      <c r="Y76" s="337">
        <f t="shared" si="14"/>
        <v>0</v>
      </c>
      <c r="Z76" s="1162">
        <f t="shared" si="11"/>
        <v>25</v>
      </c>
      <c r="AA76" s="1162">
        <f t="shared" si="15"/>
        <v>25</v>
      </c>
      <c r="AD76" s="1163">
        <f t="shared" si="16"/>
        <v>0</v>
      </c>
      <c r="AE76" s="1164">
        <f t="shared" si="16"/>
        <v>0</v>
      </c>
      <c r="AF76" s="1165">
        <f t="shared" si="17"/>
        <v>0.4</v>
      </c>
      <c r="AG76" s="1165">
        <f t="shared" si="17"/>
        <v>1</v>
      </c>
      <c r="AH76" s="1165">
        <f t="shared" si="18"/>
        <v>0</v>
      </c>
      <c r="AI76" s="1165">
        <f t="shared" si="18"/>
        <v>1</v>
      </c>
      <c r="AJ76" s="1166">
        <f t="shared" si="19"/>
        <v>0.28000000000000003</v>
      </c>
    </row>
    <row r="77" spans="1:36">
      <c r="A77" s="738" t="s">
        <v>185</v>
      </c>
      <c r="B77" s="627" t="s">
        <v>186</v>
      </c>
      <c r="C77" s="666" t="s">
        <v>273</v>
      </c>
      <c r="E77" s="1160">
        <v>15</v>
      </c>
      <c r="F77" s="1161">
        <v>1</v>
      </c>
      <c r="G77" s="1161">
        <v>7</v>
      </c>
      <c r="H77" s="1161"/>
      <c r="I77" s="1161">
        <v>7</v>
      </c>
      <c r="J77" s="1161">
        <v>2</v>
      </c>
      <c r="K77" s="337">
        <f t="shared" si="12"/>
        <v>32</v>
      </c>
      <c r="L77" s="1160">
        <v>2</v>
      </c>
      <c r="M77" s="1161"/>
      <c r="N77" s="1161">
        <v>3</v>
      </c>
      <c r="O77" s="1161"/>
      <c r="P77" s="1161">
        <v>4</v>
      </c>
      <c r="Q77" s="1161"/>
      <c r="R77" s="337">
        <f t="shared" si="13"/>
        <v>9</v>
      </c>
      <c r="S77" s="1160"/>
      <c r="T77" s="1161"/>
      <c r="U77" s="1161"/>
      <c r="V77" s="1161"/>
      <c r="W77" s="1161"/>
      <c r="X77" s="1161"/>
      <c r="Y77" s="337">
        <f t="shared" si="14"/>
        <v>0</v>
      </c>
      <c r="Z77" s="1162">
        <f t="shared" si="11"/>
        <v>41</v>
      </c>
      <c r="AA77" s="1162">
        <f t="shared" si="15"/>
        <v>41</v>
      </c>
      <c r="AD77" s="1163">
        <f t="shared" si="16"/>
        <v>0.11764705882352941</v>
      </c>
      <c r="AE77" s="1164">
        <f t="shared" si="16"/>
        <v>0</v>
      </c>
      <c r="AF77" s="1165">
        <f t="shared" si="17"/>
        <v>0.36363636363636365</v>
      </c>
      <c r="AG77" s="1165">
        <f t="shared" si="17"/>
        <v>0</v>
      </c>
      <c r="AH77" s="1165">
        <f t="shared" si="18"/>
        <v>0.3</v>
      </c>
      <c r="AI77" s="1165" t="str">
        <f t="shared" si="18"/>
        <v>NA</v>
      </c>
      <c r="AJ77" s="1166">
        <f t="shared" si="19"/>
        <v>0.21951219512195122</v>
      </c>
    </row>
    <row r="78" spans="1:36">
      <c r="A78" s="738" t="s">
        <v>187</v>
      </c>
      <c r="B78" s="627" t="s">
        <v>188</v>
      </c>
      <c r="C78" s="666" t="s">
        <v>271</v>
      </c>
      <c r="E78" s="1160">
        <v>5</v>
      </c>
      <c r="F78" s="1161">
        <v>1</v>
      </c>
      <c r="G78" s="1161">
        <v>6</v>
      </c>
      <c r="H78" s="1161">
        <v>1</v>
      </c>
      <c r="I78" s="1161">
        <v>8</v>
      </c>
      <c r="J78" s="1161">
        <v>1</v>
      </c>
      <c r="K78" s="337">
        <f t="shared" si="12"/>
        <v>22</v>
      </c>
      <c r="L78" s="1160"/>
      <c r="M78" s="1161"/>
      <c r="N78" s="1161">
        <v>3</v>
      </c>
      <c r="O78" s="1161">
        <v>2</v>
      </c>
      <c r="P78" s="1161">
        <v>1</v>
      </c>
      <c r="Q78" s="1161"/>
      <c r="R78" s="337">
        <f t="shared" si="13"/>
        <v>6</v>
      </c>
      <c r="S78" s="1160"/>
      <c r="T78" s="1161"/>
      <c r="U78" s="1161"/>
      <c r="V78" s="1161"/>
      <c r="W78" s="1161"/>
      <c r="X78" s="1161"/>
      <c r="Y78" s="337">
        <f t="shared" si="14"/>
        <v>0</v>
      </c>
      <c r="Z78" s="1162">
        <f t="shared" si="11"/>
        <v>28</v>
      </c>
      <c r="AA78" s="1162">
        <f t="shared" si="15"/>
        <v>28</v>
      </c>
      <c r="AD78" s="1163">
        <f t="shared" si="16"/>
        <v>0</v>
      </c>
      <c r="AE78" s="1164">
        <f t="shared" si="16"/>
        <v>0</v>
      </c>
      <c r="AF78" s="1165">
        <f t="shared" si="17"/>
        <v>0.1111111111111111</v>
      </c>
      <c r="AG78" s="1165">
        <f t="shared" si="17"/>
        <v>0</v>
      </c>
      <c r="AH78" s="1165">
        <f t="shared" si="18"/>
        <v>0.33333333333333331</v>
      </c>
      <c r="AI78" s="1165">
        <f t="shared" si="18"/>
        <v>0.66666666666666663</v>
      </c>
      <c r="AJ78" s="1166">
        <f t="shared" si="19"/>
        <v>0.21428571428571427</v>
      </c>
    </row>
    <row r="79" spans="1:36">
      <c r="A79" s="738" t="s">
        <v>189</v>
      </c>
      <c r="B79" s="627" t="s">
        <v>190</v>
      </c>
      <c r="C79" s="666" t="s">
        <v>274</v>
      </c>
      <c r="E79" s="1160">
        <v>91</v>
      </c>
      <c r="F79" s="1161">
        <v>15</v>
      </c>
      <c r="G79" s="1161">
        <v>31</v>
      </c>
      <c r="H79" s="1161">
        <v>2</v>
      </c>
      <c r="I79" s="1161">
        <v>81</v>
      </c>
      <c r="J79" s="1161">
        <v>14</v>
      </c>
      <c r="K79" s="337">
        <f t="shared" si="12"/>
        <v>234</v>
      </c>
      <c r="L79" s="1160">
        <v>24</v>
      </c>
      <c r="M79" s="1161"/>
      <c r="N79" s="1161">
        <v>29</v>
      </c>
      <c r="O79" s="1161"/>
      <c r="P79" s="1161">
        <v>19</v>
      </c>
      <c r="Q79" s="1161">
        <v>1</v>
      </c>
      <c r="R79" s="337">
        <f t="shared" si="13"/>
        <v>73</v>
      </c>
      <c r="S79" s="1160"/>
      <c r="T79" s="1161"/>
      <c r="U79" s="1161"/>
      <c r="V79" s="1161"/>
      <c r="W79" s="1161"/>
      <c r="X79" s="1161"/>
      <c r="Y79" s="337">
        <f t="shared" si="14"/>
        <v>0</v>
      </c>
      <c r="Z79" s="1162">
        <f t="shared" si="11"/>
        <v>307</v>
      </c>
      <c r="AA79" s="1162">
        <f t="shared" si="15"/>
        <v>307</v>
      </c>
      <c r="AD79" s="1163">
        <f t="shared" si="16"/>
        <v>0.20869565217391303</v>
      </c>
      <c r="AE79" s="1164">
        <f t="shared" si="16"/>
        <v>0</v>
      </c>
      <c r="AF79" s="1165">
        <f t="shared" si="17"/>
        <v>0.19</v>
      </c>
      <c r="AG79" s="1165">
        <f t="shared" si="17"/>
        <v>6.6666666666666666E-2</v>
      </c>
      <c r="AH79" s="1165">
        <f t="shared" si="18"/>
        <v>0.48333333333333334</v>
      </c>
      <c r="AI79" s="1165">
        <f t="shared" si="18"/>
        <v>0</v>
      </c>
      <c r="AJ79" s="1166">
        <f t="shared" si="19"/>
        <v>0.23778501628664495</v>
      </c>
    </row>
    <row r="80" spans="1:36">
      <c r="A80" s="738" t="s">
        <v>191</v>
      </c>
      <c r="B80" s="627" t="s">
        <v>192</v>
      </c>
      <c r="C80" s="666" t="s">
        <v>275</v>
      </c>
      <c r="E80" s="1160">
        <v>23</v>
      </c>
      <c r="F80" s="1161">
        <v>4</v>
      </c>
      <c r="G80" s="1161">
        <v>10</v>
      </c>
      <c r="H80" s="1161"/>
      <c r="I80" s="1161">
        <v>18</v>
      </c>
      <c r="J80" s="1161">
        <v>5</v>
      </c>
      <c r="K80" s="337">
        <f t="shared" si="12"/>
        <v>60</v>
      </c>
      <c r="L80" s="1160">
        <v>2</v>
      </c>
      <c r="M80" s="1161"/>
      <c r="N80" s="1161"/>
      <c r="O80" s="1161"/>
      <c r="P80" s="1161">
        <v>3</v>
      </c>
      <c r="Q80" s="1161">
        <v>1</v>
      </c>
      <c r="R80" s="337">
        <f t="shared" si="13"/>
        <v>6</v>
      </c>
      <c r="S80" s="1160"/>
      <c r="T80" s="1161"/>
      <c r="U80" s="1161"/>
      <c r="V80" s="1161"/>
      <c r="W80" s="1161"/>
      <c r="X80" s="1161"/>
      <c r="Y80" s="337">
        <f t="shared" si="14"/>
        <v>0</v>
      </c>
      <c r="Z80" s="1162">
        <f t="shared" si="11"/>
        <v>66</v>
      </c>
      <c r="AA80" s="1162">
        <f t="shared" si="15"/>
        <v>66</v>
      </c>
      <c r="AD80" s="1163">
        <f t="shared" si="16"/>
        <v>0.08</v>
      </c>
      <c r="AE80" s="1164">
        <f t="shared" si="16"/>
        <v>0</v>
      </c>
      <c r="AF80" s="1165">
        <f t="shared" si="17"/>
        <v>0.14285714285714285</v>
      </c>
      <c r="AG80" s="1165">
        <f t="shared" si="17"/>
        <v>0.16666666666666666</v>
      </c>
      <c r="AH80" s="1165">
        <f t="shared" si="18"/>
        <v>0</v>
      </c>
      <c r="AI80" s="1165" t="str">
        <f t="shared" si="18"/>
        <v>NA</v>
      </c>
      <c r="AJ80" s="1166">
        <f t="shared" si="19"/>
        <v>9.0909090909090912E-2</v>
      </c>
    </row>
    <row r="81" spans="1:36">
      <c r="A81" s="738" t="s">
        <v>195</v>
      </c>
      <c r="B81" s="627" t="s">
        <v>196</v>
      </c>
      <c r="C81" s="666" t="s">
        <v>274</v>
      </c>
      <c r="E81" s="1160">
        <v>3</v>
      </c>
      <c r="F81" s="1161"/>
      <c r="G81" s="1161">
        <v>3</v>
      </c>
      <c r="H81" s="1161"/>
      <c r="I81" s="1161">
        <v>3</v>
      </c>
      <c r="J81" s="1161"/>
      <c r="K81" s="337">
        <f t="shared" si="12"/>
        <v>9</v>
      </c>
      <c r="L81" s="1160">
        <v>1</v>
      </c>
      <c r="M81" s="1161"/>
      <c r="N81" s="1161">
        <v>1</v>
      </c>
      <c r="O81" s="1161"/>
      <c r="P81" s="1161"/>
      <c r="Q81" s="1161"/>
      <c r="R81" s="337">
        <f t="shared" si="13"/>
        <v>2</v>
      </c>
      <c r="S81" s="1160"/>
      <c r="T81" s="1161"/>
      <c r="U81" s="1161"/>
      <c r="V81" s="1161"/>
      <c r="W81" s="1161"/>
      <c r="X81" s="1161"/>
      <c r="Y81" s="337">
        <f t="shared" si="14"/>
        <v>0</v>
      </c>
      <c r="Z81" s="1162">
        <f t="shared" si="11"/>
        <v>11</v>
      </c>
      <c r="AA81" s="1162">
        <f t="shared" si="15"/>
        <v>11</v>
      </c>
      <c r="AD81" s="1163">
        <f t="shared" si="16"/>
        <v>0.25</v>
      </c>
      <c r="AE81" s="1164" t="str">
        <f t="shared" si="16"/>
        <v>NA</v>
      </c>
      <c r="AF81" s="1165">
        <f t="shared" si="17"/>
        <v>0</v>
      </c>
      <c r="AG81" s="1165" t="str">
        <f t="shared" si="17"/>
        <v>NA</v>
      </c>
      <c r="AH81" s="1165">
        <f t="shared" si="18"/>
        <v>0.25</v>
      </c>
      <c r="AI81" s="1165" t="str">
        <f t="shared" si="18"/>
        <v>NA</v>
      </c>
      <c r="AJ81" s="1166">
        <f t="shared" si="19"/>
        <v>0.18181818181818182</v>
      </c>
    </row>
    <row r="82" spans="1:36">
      <c r="A82" s="738" t="s">
        <v>199</v>
      </c>
      <c r="B82" s="627" t="s">
        <v>200</v>
      </c>
      <c r="C82" s="666" t="s">
        <v>273</v>
      </c>
      <c r="E82" s="1160">
        <v>5</v>
      </c>
      <c r="F82" s="1161"/>
      <c r="G82" s="1161">
        <v>4</v>
      </c>
      <c r="H82" s="1161"/>
      <c r="I82" s="1161">
        <v>1</v>
      </c>
      <c r="J82" s="1161">
        <v>1</v>
      </c>
      <c r="K82" s="337">
        <f t="shared" si="12"/>
        <v>11</v>
      </c>
      <c r="L82" s="1160">
        <v>1</v>
      </c>
      <c r="M82" s="1161">
        <v>1</v>
      </c>
      <c r="N82" s="1161">
        <v>1</v>
      </c>
      <c r="O82" s="1161"/>
      <c r="P82" s="1161">
        <v>4</v>
      </c>
      <c r="Q82" s="1161"/>
      <c r="R82" s="337">
        <f t="shared" si="13"/>
        <v>7</v>
      </c>
      <c r="S82" s="1160"/>
      <c r="T82" s="1161"/>
      <c r="U82" s="1161"/>
      <c r="V82" s="1161"/>
      <c r="W82" s="1161"/>
      <c r="X82" s="1161"/>
      <c r="Y82" s="337">
        <f t="shared" si="14"/>
        <v>0</v>
      </c>
      <c r="Z82" s="1162">
        <f t="shared" si="11"/>
        <v>18</v>
      </c>
      <c r="AA82" s="1162">
        <f t="shared" si="15"/>
        <v>18</v>
      </c>
      <c r="AD82" s="1163">
        <f t="shared" si="16"/>
        <v>0.16666666666666666</v>
      </c>
      <c r="AE82" s="1164">
        <f t="shared" si="16"/>
        <v>1</v>
      </c>
      <c r="AF82" s="1165">
        <f t="shared" si="17"/>
        <v>0.8</v>
      </c>
      <c r="AG82" s="1165">
        <f t="shared" si="17"/>
        <v>0</v>
      </c>
      <c r="AH82" s="1165">
        <f t="shared" si="18"/>
        <v>0.2</v>
      </c>
      <c r="AI82" s="1165" t="str">
        <f t="shared" si="18"/>
        <v>NA</v>
      </c>
      <c r="AJ82" s="1166">
        <f t="shared" si="19"/>
        <v>0.3888888888888889</v>
      </c>
    </row>
    <row r="83" spans="1:36">
      <c r="A83" s="738" t="s">
        <v>203</v>
      </c>
      <c r="B83" s="627" t="s">
        <v>805</v>
      </c>
      <c r="C83" s="666" t="s">
        <v>272</v>
      </c>
      <c r="E83" s="1160">
        <v>29</v>
      </c>
      <c r="F83" s="1161">
        <v>4</v>
      </c>
      <c r="G83" s="1161">
        <v>12</v>
      </c>
      <c r="H83" s="1161"/>
      <c r="I83" s="1161">
        <v>38</v>
      </c>
      <c r="J83" s="1161">
        <v>5</v>
      </c>
      <c r="K83" s="337">
        <f t="shared" si="12"/>
        <v>88</v>
      </c>
      <c r="L83" s="1160">
        <v>7</v>
      </c>
      <c r="M83" s="1161"/>
      <c r="N83" s="1161"/>
      <c r="O83" s="1161"/>
      <c r="P83" s="1161">
        <v>3</v>
      </c>
      <c r="Q83" s="1161"/>
      <c r="R83" s="337">
        <f t="shared" si="13"/>
        <v>10</v>
      </c>
      <c r="S83" s="1160"/>
      <c r="T83" s="1161"/>
      <c r="U83" s="1161"/>
      <c r="V83" s="1161"/>
      <c r="W83" s="1161"/>
      <c r="X83" s="1161"/>
      <c r="Y83" s="337">
        <f t="shared" si="14"/>
        <v>0</v>
      </c>
      <c r="Z83" s="1162">
        <f t="shared" si="11"/>
        <v>98</v>
      </c>
      <c r="AA83" s="1162">
        <f t="shared" si="15"/>
        <v>98</v>
      </c>
      <c r="AD83" s="1163">
        <f t="shared" si="16"/>
        <v>0.19444444444444445</v>
      </c>
      <c r="AE83" s="1164">
        <f t="shared" si="16"/>
        <v>0</v>
      </c>
      <c r="AF83" s="1165">
        <f t="shared" si="17"/>
        <v>7.3170731707317069E-2</v>
      </c>
      <c r="AG83" s="1165">
        <f t="shared" si="17"/>
        <v>0</v>
      </c>
      <c r="AH83" s="1165">
        <f t="shared" si="18"/>
        <v>0</v>
      </c>
      <c r="AI83" s="1165" t="str">
        <f t="shared" si="18"/>
        <v>NA</v>
      </c>
      <c r="AJ83" s="1166">
        <f t="shared" si="19"/>
        <v>0.10204081632653061</v>
      </c>
    </row>
    <row r="84" spans="1:36">
      <c r="A84" s="738" t="s">
        <v>205</v>
      </c>
      <c r="B84" s="627" t="s">
        <v>303</v>
      </c>
      <c r="C84" s="666" t="s">
        <v>272</v>
      </c>
      <c r="E84" s="1160">
        <v>14</v>
      </c>
      <c r="F84" s="1161">
        <v>1</v>
      </c>
      <c r="G84" s="1161">
        <v>6</v>
      </c>
      <c r="H84" s="1161"/>
      <c r="I84" s="1161">
        <v>8</v>
      </c>
      <c r="J84" s="1161">
        <v>1</v>
      </c>
      <c r="K84" s="337">
        <f t="shared" si="12"/>
        <v>30</v>
      </c>
      <c r="L84" s="1160"/>
      <c r="M84" s="1161"/>
      <c r="N84" s="1161">
        <v>1</v>
      </c>
      <c r="O84" s="1161"/>
      <c r="P84" s="1161">
        <v>3</v>
      </c>
      <c r="Q84" s="1161"/>
      <c r="R84" s="337">
        <f t="shared" si="13"/>
        <v>4</v>
      </c>
      <c r="S84" s="1160"/>
      <c r="T84" s="1161"/>
      <c r="U84" s="1161"/>
      <c r="V84" s="1161"/>
      <c r="W84" s="1161"/>
      <c r="X84" s="1161"/>
      <c r="Y84" s="337">
        <f t="shared" si="14"/>
        <v>0</v>
      </c>
      <c r="Z84" s="1162">
        <f t="shared" si="11"/>
        <v>34</v>
      </c>
      <c r="AA84" s="1162">
        <f t="shared" si="15"/>
        <v>34</v>
      </c>
      <c r="AD84" s="1163">
        <f t="shared" si="16"/>
        <v>0</v>
      </c>
      <c r="AE84" s="1164">
        <f t="shared" si="16"/>
        <v>0</v>
      </c>
      <c r="AF84" s="1165">
        <f t="shared" si="17"/>
        <v>0.27272727272727271</v>
      </c>
      <c r="AG84" s="1165">
        <f t="shared" si="17"/>
        <v>0</v>
      </c>
      <c r="AH84" s="1165">
        <f t="shared" si="18"/>
        <v>0.14285714285714285</v>
      </c>
      <c r="AI84" s="1165" t="str">
        <f t="shared" si="18"/>
        <v>NA</v>
      </c>
      <c r="AJ84" s="1166">
        <f t="shared" si="19"/>
        <v>0.11764705882352941</v>
      </c>
    </row>
    <row r="85" spans="1:36">
      <c r="A85" s="738" t="s">
        <v>207</v>
      </c>
      <c r="B85" s="627" t="s">
        <v>304</v>
      </c>
      <c r="C85" s="666" t="s">
        <v>274</v>
      </c>
      <c r="E85" s="1160">
        <v>38</v>
      </c>
      <c r="F85" s="1161">
        <v>4</v>
      </c>
      <c r="G85" s="1161">
        <v>9</v>
      </c>
      <c r="H85" s="1161"/>
      <c r="I85" s="1161">
        <v>40</v>
      </c>
      <c r="J85" s="1161">
        <v>12</v>
      </c>
      <c r="K85" s="337">
        <f t="shared" si="12"/>
        <v>103</v>
      </c>
      <c r="L85" s="1160">
        <v>3</v>
      </c>
      <c r="M85" s="1161">
        <v>2</v>
      </c>
      <c r="N85" s="1161">
        <v>1</v>
      </c>
      <c r="O85" s="1161"/>
      <c r="P85" s="1161">
        <v>7</v>
      </c>
      <c r="Q85" s="1161">
        <v>2</v>
      </c>
      <c r="R85" s="337">
        <f t="shared" si="13"/>
        <v>15</v>
      </c>
      <c r="S85" s="1160"/>
      <c r="T85" s="1161"/>
      <c r="U85" s="1161"/>
      <c r="V85" s="1161"/>
      <c r="W85" s="1161"/>
      <c r="X85" s="1161"/>
      <c r="Y85" s="337">
        <f t="shared" si="14"/>
        <v>0</v>
      </c>
      <c r="Z85" s="1162">
        <f t="shared" ref="Z85:Z126" si="20">K85+R85+Y85</f>
        <v>118</v>
      </c>
      <c r="AA85" s="1162">
        <f t="shared" si="15"/>
        <v>118</v>
      </c>
      <c r="AD85" s="1163">
        <f t="shared" si="16"/>
        <v>7.3170731707317069E-2</v>
      </c>
      <c r="AE85" s="1164">
        <f t="shared" si="16"/>
        <v>0.33333333333333331</v>
      </c>
      <c r="AF85" s="1165">
        <f t="shared" si="17"/>
        <v>0.14893617021276595</v>
      </c>
      <c r="AG85" s="1165">
        <f t="shared" si="17"/>
        <v>0.14285714285714285</v>
      </c>
      <c r="AH85" s="1165">
        <f t="shared" si="18"/>
        <v>0.1</v>
      </c>
      <c r="AI85" s="1165" t="str">
        <f t="shared" si="18"/>
        <v>NA</v>
      </c>
      <c r="AJ85" s="1166">
        <f t="shared" si="19"/>
        <v>0.1271186440677966</v>
      </c>
    </row>
    <row r="86" spans="1:36">
      <c r="A86" s="738" t="s">
        <v>209</v>
      </c>
      <c r="B86" s="627" t="s">
        <v>210</v>
      </c>
      <c r="C86" s="666" t="s">
        <v>275</v>
      </c>
      <c r="E86" s="1160">
        <v>17</v>
      </c>
      <c r="F86" s="1161">
        <v>3</v>
      </c>
      <c r="G86" s="1161">
        <v>7</v>
      </c>
      <c r="H86" s="1161"/>
      <c r="I86" s="1161">
        <v>10</v>
      </c>
      <c r="J86" s="1161">
        <v>4</v>
      </c>
      <c r="K86" s="337">
        <f t="shared" si="12"/>
        <v>41</v>
      </c>
      <c r="L86" s="1160"/>
      <c r="M86" s="1161"/>
      <c r="N86" s="1161">
        <v>7</v>
      </c>
      <c r="O86" s="1161">
        <v>1</v>
      </c>
      <c r="P86" s="1161">
        <v>13</v>
      </c>
      <c r="Q86" s="1161"/>
      <c r="R86" s="337">
        <f t="shared" si="13"/>
        <v>21</v>
      </c>
      <c r="S86" s="1160"/>
      <c r="T86" s="1161"/>
      <c r="U86" s="1161"/>
      <c r="V86" s="1161"/>
      <c r="W86" s="1161"/>
      <c r="X86" s="1161"/>
      <c r="Y86" s="337">
        <f t="shared" si="14"/>
        <v>0</v>
      </c>
      <c r="Z86" s="1162">
        <f t="shared" si="20"/>
        <v>62</v>
      </c>
      <c r="AA86" s="1162">
        <f t="shared" si="15"/>
        <v>62</v>
      </c>
      <c r="AD86" s="1163">
        <f t="shared" si="16"/>
        <v>0</v>
      </c>
      <c r="AE86" s="1164">
        <f t="shared" si="16"/>
        <v>0</v>
      </c>
      <c r="AF86" s="1165">
        <f t="shared" si="17"/>
        <v>0.56521739130434778</v>
      </c>
      <c r="AG86" s="1165">
        <f t="shared" si="17"/>
        <v>0</v>
      </c>
      <c r="AH86" s="1165">
        <f t="shared" si="18"/>
        <v>0.5</v>
      </c>
      <c r="AI86" s="1165">
        <f t="shared" si="18"/>
        <v>1</v>
      </c>
      <c r="AJ86" s="1166">
        <f t="shared" si="19"/>
        <v>0.33870967741935482</v>
      </c>
    </row>
    <row r="87" spans="1:36">
      <c r="A87" s="738" t="s">
        <v>211</v>
      </c>
      <c r="B87" s="627" t="s">
        <v>212</v>
      </c>
      <c r="C87" s="666" t="s">
        <v>275</v>
      </c>
      <c r="E87" s="1160">
        <v>16</v>
      </c>
      <c r="F87" s="1161">
        <v>2</v>
      </c>
      <c r="G87" s="1161">
        <v>5</v>
      </c>
      <c r="H87" s="1161"/>
      <c r="I87" s="1161">
        <v>10</v>
      </c>
      <c r="J87" s="1161">
        <v>2</v>
      </c>
      <c r="K87" s="337">
        <f t="shared" si="12"/>
        <v>35</v>
      </c>
      <c r="L87" s="1160">
        <v>2</v>
      </c>
      <c r="M87" s="1161"/>
      <c r="N87" s="1161">
        <v>3</v>
      </c>
      <c r="O87" s="1161"/>
      <c r="P87" s="1161">
        <v>3</v>
      </c>
      <c r="Q87" s="1161"/>
      <c r="R87" s="337">
        <f t="shared" si="13"/>
        <v>8</v>
      </c>
      <c r="S87" s="1160"/>
      <c r="T87" s="1161"/>
      <c r="U87" s="1161"/>
      <c r="V87" s="1161"/>
      <c r="W87" s="1161"/>
      <c r="X87" s="1161"/>
      <c r="Y87" s="337">
        <f t="shared" si="14"/>
        <v>0</v>
      </c>
      <c r="Z87" s="1162">
        <f t="shared" si="20"/>
        <v>43</v>
      </c>
      <c r="AA87" s="1162">
        <f t="shared" si="15"/>
        <v>43</v>
      </c>
      <c r="AD87" s="1163">
        <f t="shared" si="16"/>
        <v>0.1111111111111111</v>
      </c>
      <c r="AE87" s="1164">
        <f t="shared" si="16"/>
        <v>0</v>
      </c>
      <c r="AF87" s="1165">
        <f t="shared" si="17"/>
        <v>0.23076923076923078</v>
      </c>
      <c r="AG87" s="1165">
        <f t="shared" si="17"/>
        <v>0</v>
      </c>
      <c r="AH87" s="1165">
        <f t="shared" si="18"/>
        <v>0.375</v>
      </c>
      <c r="AI87" s="1165" t="str">
        <f t="shared" si="18"/>
        <v>NA</v>
      </c>
      <c r="AJ87" s="1166">
        <f t="shared" si="19"/>
        <v>0.18604651162790697</v>
      </c>
    </row>
    <row r="88" spans="1:36">
      <c r="A88" s="738" t="s">
        <v>213</v>
      </c>
      <c r="B88" s="627" t="s">
        <v>214</v>
      </c>
      <c r="C88" s="666" t="s">
        <v>274</v>
      </c>
      <c r="E88" s="1160">
        <v>13</v>
      </c>
      <c r="F88" s="1161"/>
      <c r="G88" s="1161">
        <v>3</v>
      </c>
      <c r="H88" s="1161">
        <v>5</v>
      </c>
      <c r="I88" s="1161">
        <v>10</v>
      </c>
      <c r="J88" s="1161">
        <v>2</v>
      </c>
      <c r="K88" s="337">
        <f t="shared" si="12"/>
        <v>33</v>
      </c>
      <c r="L88" s="1160">
        <v>1</v>
      </c>
      <c r="M88" s="1161">
        <v>3</v>
      </c>
      <c r="N88" s="1161">
        <v>3</v>
      </c>
      <c r="O88" s="1161">
        <v>1</v>
      </c>
      <c r="P88" s="1161">
        <v>5</v>
      </c>
      <c r="Q88" s="1161"/>
      <c r="R88" s="337">
        <f t="shared" si="13"/>
        <v>13</v>
      </c>
      <c r="S88" s="1160"/>
      <c r="T88" s="1161"/>
      <c r="U88" s="1161"/>
      <c r="V88" s="1161"/>
      <c r="W88" s="1161"/>
      <c r="X88" s="1161"/>
      <c r="Y88" s="337">
        <f t="shared" si="14"/>
        <v>0</v>
      </c>
      <c r="Z88" s="1162">
        <f t="shared" si="20"/>
        <v>46</v>
      </c>
      <c r="AA88" s="1162">
        <f t="shared" si="15"/>
        <v>46</v>
      </c>
      <c r="AD88" s="1163">
        <f t="shared" si="16"/>
        <v>7.1428571428571425E-2</v>
      </c>
      <c r="AE88" s="1164">
        <f t="shared" si="16"/>
        <v>1</v>
      </c>
      <c r="AF88" s="1165">
        <f t="shared" si="17"/>
        <v>0.33333333333333331</v>
      </c>
      <c r="AG88" s="1165">
        <f t="shared" si="17"/>
        <v>0</v>
      </c>
      <c r="AH88" s="1165">
        <f t="shared" si="18"/>
        <v>0.5</v>
      </c>
      <c r="AI88" s="1165">
        <f t="shared" si="18"/>
        <v>0.16666666666666666</v>
      </c>
      <c r="AJ88" s="1166">
        <f t="shared" si="19"/>
        <v>0.28260869565217389</v>
      </c>
    </row>
    <row r="89" spans="1:36">
      <c r="A89" s="738" t="s">
        <v>215</v>
      </c>
      <c r="B89" s="627" t="s">
        <v>216</v>
      </c>
      <c r="C89" s="666" t="s">
        <v>275</v>
      </c>
      <c r="E89" s="1160">
        <v>22</v>
      </c>
      <c r="F89" s="1161">
        <v>3</v>
      </c>
      <c r="G89" s="1161">
        <v>10</v>
      </c>
      <c r="H89" s="1161">
        <v>1</v>
      </c>
      <c r="I89" s="1161">
        <v>15</v>
      </c>
      <c r="J89" s="1161">
        <v>3</v>
      </c>
      <c r="K89" s="337">
        <f t="shared" si="12"/>
        <v>54</v>
      </c>
      <c r="L89" s="1160">
        <v>3</v>
      </c>
      <c r="M89" s="1161"/>
      <c r="N89" s="1161">
        <v>4</v>
      </c>
      <c r="O89" s="1161"/>
      <c r="P89" s="1161">
        <v>5</v>
      </c>
      <c r="Q89" s="1161">
        <v>1</v>
      </c>
      <c r="R89" s="337">
        <f t="shared" si="13"/>
        <v>13</v>
      </c>
      <c r="S89" s="1160"/>
      <c r="T89" s="1161"/>
      <c r="U89" s="1161"/>
      <c r="V89" s="1161"/>
      <c r="W89" s="1161"/>
      <c r="X89" s="1161"/>
      <c r="Y89" s="337">
        <f t="shared" si="14"/>
        <v>0</v>
      </c>
      <c r="Z89" s="1162">
        <f t="shared" si="20"/>
        <v>67</v>
      </c>
      <c r="AA89" s="1162">
        <f t="shared" si="15"/>
        <v>67</v>
      </c>
      <c r="AD89" s="1163">
        <f t="shared" si="16"/>
        <v>0.12</v>
      </c>
      <c r="AE89" s="1164">
        <f t="shared" si="16"/>
        <v>0</v>
      </c>
      <c r="AF89" s="1165">
        <f t="shared" si="17"/>
        <v>0.25</v>
      </c>
      <c r="AG89" s="1165">
        <f t="shared" si="17"/>
        <v>0.25</v>
      </c>
      <c r="AH89" s="1165">
        <f t="shared" si="18"/>
        <v>0.2857142857142857</v>
      </c>
      <c r="AI89" s="1165">
        <f t="shared" si="18"/>
        <v>0</v>
      </c>
      <c r="AJ89" s="1166">
        <f t="shared" si="19"/>
        <v>0.19402985074626866</v>
      </c>
    </row>
    <row r="90" spans="1:36">
      <c r="A90" s="738" t="s">
        <v>217</v>
      </c>
      <c r="B90" s="627" t="s">
        <v>218</v>
      </c>
      <c r="C90" s="666" t="s">
        <v>271</v>
      </c>
      <c r="E90" s="1160">
        <v>8</v>
      </c>
      <c r="F90" s="1161">
        <v>2</v>
      </c>
      <c r="G90" s="1161">
        <v>7</v>
      </c>
      <c r="H90" s="1161">
        <v>2</v>
      </c>
      <c r="I90" s="1161">
        <v>8</v>
      </c>
      <c r="J90" s="1161">
        <v>2</v>
      </c>
      <c r="K90" s="337">
        <f t="shared" si="12"/>
        <v>29</v>
      </c>
      <c r="L90" s="1160">
        <v>6</v>
      </c>
      <c r="M90" s="1161"/>
      <c r="N90" s="1161">
        <v>2</v>
      </c>
      <c r="O90" s="1161">
        <v>1</v>
      </c>
      <c r="P90" s="1161">
        <v>1</v>
      </c>
      <c r="Q90" s="1161"/>
      <c r="R90" s="337">
        <f t="shared" si="13"/>
        <v>10</v>
      </c>
      <c r="S90" s="1160"/>
      <c r="T90" s="1161"/>
      <c r="U90" s="1161"/>
      <c r="V90" s="1161"/>
      <c r="W90" s="1161"/>
      <c r="X90" s="1161"/>
      <c r="Y90" s="337">
        <f t="shared" si="14"/>
        <v>0</v>
      </c>
      <c r="Z90" s="1162">
        <f t="shared" si="20"/>
        <v>39</v>
      </c>
      <c r="AA90" s="1162">
        <f t="shared" si="15"/>
        <v>39</v>
      </c>
      <c r="AD90" s="1163">
        <f t="shared" si="16"/>
        <v>0.42857142857142855</v>
      </c>
      <c r="AE90" s="1164">
        <f t="shared" si="16"/>
        <v>0</v>
      </c>
      <c r="AF90" s="1165">
        <f t="shared" si="17"/>
        <v>0.1111111111111111</v>
      </c>
      <c r="AG90" s="1165">
        <f t="shared" si="17"/>
        <v>0</v>
      </c>
      <c r="AH90" s="1165">
        <f t="shared" si="18"/>
        <v>0.22222222222222221</v>
      </c>
      <c r="AI90" s="1165">
        <f t="shared" si="18"/>
        <v>0.33333333333333331</v>
      </c>
      <c r="AJ90" s="1166">
        <f t="shared" si="19"/>
        <v>0.25641025641025639</v>
      </c>
    </row>
    <row r="91" spans="1:36">
      <c r="A91" s="738" t="s">
        <v>219</v>
      </c>
      <c r="B91" s="627" t="s">
        <v>220</v>
      </c>
      <c r="C91" s="666" t="s">
        <v>274</v>
      </c>
      <c r="E91" s="1160">
        <v>28</v>
      </c>
      <c r="F91" s="1161">
        <v>4</v>
      </c>
      <c r="G91" s="1161">
        <v>12</v>
      </c>
      <c r="H91" s="1161">
        <v>4</v>
      </c>
      <c r="I91" s="1161">
        <v>30</v>
      </c>
      <c r="J91" s="1161">
        <v>5</v>
      </c>
      <c r="K91" s="337">
        <f t="shared" si="12"/>
        <v>83</v>
      </c>
      <c r="L91" s="1160">
        <v>4</v>
      </c>
      <c r="M91" s="1161">
        <v>1</v>
      </c>
      <c r="N91" s="1161">
        <v>2</v>
      </c>
      <c r="O91" s="1161">
        <v>1</v>
      </c>
      <c r="P91" s="1161">
        <v>1</v>
      </c>
      <c r="Q91" s="1161">
        <v>1</v>
      </c>
      <c r="R91" s="337">
        <f t="shared" si="13"/>
        <v>10</v>
      </c>
      <c r="S91" s="1160"/>
      <c r="T91" s="1161"/>
      <c r="U91" s="1161"/>
      <c r="V91" s="1161"/>
      <c r="W91" s="1161"/>
      <c r="X91" s="1161"/>
      <c r="Y91" s="337">
        <f t="shared" si="14"/>
        <v>0</v>
      </c>
      <c r="Z91" s="1162">
        <f t="shared" si="20"/>
        <v>93</v>
      </c>
      <c r="AA91" s="1162">
        <f t="shared" si="15"/>
        <v>93</v>
      </c>
      <c r="AD91" s="1163">
        <f t="shared" si="16"/>
        <v>0.125</v>
      </c>
      <c r="AE91" s="1164">
        <f t="shared" si="16"/>
        <v>0.2</v>
      </c>
      <c r="AF91" s="1165">
        <f t="shared" si="17"/>
        <v>3.2258064516129031E-2</v>
      </c>
      <c r="AG91" s="1165">
        <f t="shared" si="17"/>
        <v>0.16666666666666666</v>
      </c>
      <c r="AH91" s="1165">
        <f t="shared" si="18"/>
        <v>0.14285714285714285</v>
      </c>
      <c r="AI91" s="1165">
        <f t="shared" si="18"/>
        <v>0.2</v>
      </c>
      <c r="AJ91" s="1166">
        <f t="shared" si="19"/>
        <v>0.10752688172043011</v>
      </c>
    </row>
    <row r="92" spans="1:36">
      <c r="A92" s="738" t="s">
        <v>221</v>
      </c>
      <c r="B92" s="627" t="s">
        <v>222</v>
      </c>
      <c r="C92" s="666" t="s">
        <v>274</v>
      </c>
      <c r="E92" s="1160">
        <v>22</v>
      </c>
      <c r="F92" s="1161">
        <v>4</v>
      </c>
      <c r="G92" s="1161">
        <v>8</v>
      </c>
      <c r="H92" s="1161">
        <v>1</v>
      </c>
      <c r="I92" s="1161">
        <v>21</v>
      </c>
      <c r="J92" s="1161">
        <v>3</v>
      </c>
      <c r="K92" s="337">
        <f t="shared" si="12"/>
        <v>59</v>
      </c>
      <c r="L92" s="1160">
        <v>2</v>
      </c>
      <c r="M92" s="1161"/>
      <c r="N92" s="1161">
        <v>1</v>
      </c>
      <c r="O92" s="1161"/>
      <c r="P92" s="1161">
        <v>4</v>
      </c>
      <c r="Q92" s="1161"/>
      <c r="R92" s="337">
        <f t="shared" si="13"/>
        <v>7</v>
      </c>
      <c r="S92" s="1160"/>
      <c r="T92" s="1161"/>
      <c r="U92" s="1161"/>
      <c r="V92" s="1161"/>
      <c r="W92" s="1161"/>
      <c r="X92" s="1161"/>
      <c r="Y92" s="337">
        <f t="shared" si="14"/>
        <v>0</v>
      </c>
      <c r="Z92" s="1162">
        <f t="shared" si="20"/>
        <v>66</v>
      </c>
      <c r="AA92" s="1162">
        <f t="shared" si="15"/>
        <v>66</v>
      </c>
      <c r="AD92" s="1163">
        <f t="shared" si="16"/>
        <v>8.3333333333333329E-2</v>
      </c>
      <c r="AE92" s="1164">
        <f t="shared" si="16"/>
        <v>0</v>
      </c>
      <c r="AF92" s="1165">
        <f t="shared" si="17"/>
        <v>0.16</v>
      </c>
      <c r="AG92" s="1165">
        <f t="shared" si="17"/>
        <v>0</v>
      </c>
      <c r="AH92" s="1165">
        <f t="shared" si="18"/>
        <v>0.1111111111111111</v>
      </c>
      <c r="AI92" s="1165">
        <f t="shared" si="18"/>
        <v>0</v>
      </c>
      <c r="AJ92" s="1166">
        <f t="shared" si="19"/>
        <v>0.10606060606060606</v>
      </c>
    </row>
    <row r="93" spans="1:36">
      <c r="A93" s="738" t="s">
        <v>225</v>
      </c>
      <c r="B93" s="627" t="s">
        <v>226</v>
      </c>
      <c r="C93" s="666" t="s">
        <v>271</v>
      </c>
      <c r="E93" s="1160">
        <v>8</v>
      </c>
      <c r="F93" s="1161">
        <v>1</v>
      </c>
      <c r="G93" s="1161">
        <v>6</v>
      </c>
      <c r="H93" s="1161"/>
      <c r="I93" s="1161">
        <v>7</v>
      </c>
      <c r="J93" s="1161">
        <v>1</v>
      </c>
      <c r="K93" s="337">
        <f t="shared" si="12"/>
        <v>23</v>
      </c>
      <c r="L93" s="1160">
        <v>1</v>
      </c>
      <c r="M93" s="1161"/>
      <c r="N93" s="1161"/>
      <c r="O93" s="1161"/>
      <c r="P93" s="1161"/>
      <c r="Q93" s="1161">
        <v>1</v>
      </c>
      <c r="R93" s="337">
        <f t="shared" si="13"/>
        <v>2</v>
      </c>
      <c r="S93" s="1160"/>
      <c r="T93" s="1161"/>
      <c r="U93" s="1161"/>
      <c r="V93" s="1161"/>
      <c r="W93" s="1161"/>
      <c r="X93" s="1161"/>
      <c r="Y93" s="337">
        <f t="shared" si="14"/>
        <v>0</v>
      </c>
      <c r="Z93" s="1162">
        <f t="shared" si="20"/>
        <v>25</v>
      </c>
      <c r="AA93" s="1162">
        <f t="shared" si="15"/>
        <v>25</v>
      </c>
      <c r="AD93" s="1163">
        <f t="shared" si="16"/>
        <v>0.1111111111111111</v>
      </c>
      <c r="AE93" s="1164">
        <f t="shared" si="16"/>
        <v>0</v>
      </c>
      <c r="AF93" s="1165">
        <f t="shared" si="17"/>
        <v>0</v>
      </c>
      <c r="AG93" s="1165">
        <f t="shared" si="17"/>
        <v>0.5</v>
      </c>
      <c r="AH93" s="1165">
        <f t="shared" si="18"/>
        <v>0</v>
      </c>
      <c r="AI93" s="1165" t="str">
        <f t="shared" si="18"/>
        <v>NA</v>
      </c>
      <c r="AJ93" s="1166">
        <f t="shared" si="19"/>
        <v>0.08</v>
      </c>
    </row>
    <row r="94" spans="1:36">
      <c r="A94" s="738" t="s">
        <v>227</v>
      </c>
      <c r="B94" s="627" t="s">
        <v>228</v>
      </c>
      <c r="C94" s="666" t="s">
        <v>271</v>
      </c>
      <c r="E94" s="1160">
        <v>13</v>
      </c>
      <c r="F94" s="1161">
        <v>2</v>
      </c>
      <c r="G94" s="1161">
        <v>6</v>
      </c>
      <c r="H94" s="1161"/>
      <c r="I94" s="1161">
        <v>7</v>
      </c>
      <c r="J94" s="1161">
        <v>1</v>
      </c>
      <c r="K94" s="337">
        <f t="shared" si="12"/>
        <v>29</v>
      </c>
      <c r="L94" s="1160">
        <v>2</v>
      </c>
      <c r="M94" s="1161"/>
      <c r="N94" s="1161"/>
      <c r="O94" s="1161"/>
      <c r="P94" s="1161">
        <v>1</v>
      </c>
      <c r="Q94" s="1161"/>
      <c r="R94" s="337">
        <f t="shared" si="13"/>
        <v>3</v>
      </c>
      <c r="S94" s="1160"/>
      <c r="T94" s="1161"/>
      <c r="U94" s="1161"/>
      <c r="V94" s="1161"/>
      <c r="W94" s="1161"/>
      <c r="X94" s="1161"/>
      <c r="Y94" s="337">
        <f t="shared" si="14"/>
        <v>0</v>
      </c>
      <c r="Z94" s="1162">
        <f t="shared" si="20"/>
        <v>32</v>
      </c>
      <c r="AA94" s="1162">
        <f t="shared" si="15"/>
        <v>32</v>
      </c>
      <c r="AD94" s="1163">
        <f t="shared" si="16"/>
        <v>0.13333333333333333</v>
      </c>
      <c r="AE94" s="1164">
        <f t="shared" si="16"/>
        <v>0</v>
      </c>
      <c r="AF94" s="1165">
        <f t="shared" si="17"/>
        <v>0.125</v>
      </c>
      <c r="AG94" s="1165">
        <f t="shared" si="17"/>
        <v>0</v>
      </c>
      <c r="AH94" s="1165">
        <f t="shared" si="18"/>
        <v>0</v>
      </c>
      <c r="AI94" s="1165" t="str">
        <f t="shared" si="18"/>
        <v>NA</v>
      </c>
      <c r="AJ94" s="1166">
        <f t="shared" si="19"/>
        <v>9.375E-2</v>
      </c>
    </row>
    <row r="95" spans="1:36">
      <c r="A95" s="738" t="s">
        <v>229</v>
      </c>
      <c r="B95" s="627" t="s">
        <v>230</v>
      </c>
      <c r="C95" s="666" t="s">
        <v>275</v>
      </c>
      <c r="E95" s="1160">
        <v>28</v>
      </c>
      <c r="F95" s="1161">
        <v>3</v>
      </c>
      <c r="G95" s="1161">
        <v>14</v>
      </c>
      <c r="H95" s="1161">
        <v>1</v>
      </c>
      <c r="I95" s="1161">
        <v>24</v>
      </c>
      <c r="J95" s="1161">
        <v>4</v>
      </c>
      <c r="K95" s="337">
        <f t="shared" si="12"/>
        <v>74</v>
      </c>
      <c r="L95" s="1160">
        <v>3</v>
      </c>
      <c r="M95" s="1161"/>
      <c r="N95" s="1161">
        <v>6</v>
      </c>
      <c r="O95" s="1161">
        <v>1</v>
      </c>
      <c r="P95" s="1161">
        <v>6</v>
      </c>
      <c r="Q95" s="1161"/>
      <c r="R95" s="337">
        <f t="shared" si="13"/>
        <v>16</v>
      </c>
      <c r="S95" s="1160"/>
      <c r="T95" s="1161"/>
      <c r="U95" s="1161"/>
      <c r="V95" s="1161"/>
      <c r="W95" s="1161"/>
      <c r="X95" s="1161"/>
      <c r="Y95" s="337">
        <f t="shared" si="14"/>
        <v>0</v>
      </c>
      <c r="Z95" s="1162">
        <f t="shared" si="20"/>
        <v>90</v>
      </c>
      <c r="AA95" s="1162">
        <f t="shared" si="15"/>
        <v>90</v>
      </c>
      <c r="AD95" s="1163">
        <f t="shared" si="16"/>
        <v>9.6774193548387094E-2</v>
      </c>
      <c r="AE95" s="1164">
        <f t="shared" si="16"/>
        <v>0</v>
      </c>
      <c r="AF95" s="1165">
        <f t="shared" si="17"/>
        <v>0.2</v>
      </c>
      <c r="AG95" s="1165">
        <f t="shared" si="17"/>
        <v>0</v>
      </c>
      <c r="AH95" s="1165">
        <f t="shared" si="18"/>
        <v>0.3</v>
      </c>
      <c r="AI95" s="1165">
        <f t="shared" si="18"/>
        <v>0.5</v>
      </c>
      <c r="AJ95" s="1166">
        <f t="shared" si="19"/>
        <v>0.17777777777777778</v>
      </c>
    </row>
    <row r="96" spans="1:36">
      <c r="A96" s="738" t="s">
        <v>233</v>
      </c>
      <c r="B96" s="627" t="s">
        <v>234</v>
      </c>
      <c r="C96" s="666" t="s">
        <v>274</v>
      </c>
      <c r="E96" s="1160">
        <v>10</v>
      </c>
      <c r="F96" s="1161">
        <v>2</v>
      </c>
      <c r="G96" s="1161">
        <v>5</v>
      </c>
      <c r="H96" s="1161"/>
      <c r="I96" s="1161">
        <v>9</v>
      </c>
      <c r="J96" s="1161">
        <v>3</v>
      </c>
      <c r="K96" s="337">
        <f t="shared" si="12"/>
        <v>29</v>
      </c>
      <c r="L96" s="1160">
        <v>3</v>
      </c>
      <c r="M96" s="1161"/>
      <c r="N96" s="1161">
        <v>2</v>
      </c>
      <c r="O96" s="1161"/>
      <c r="P96" s="1161">
        <v>7</v>
      </c>
      <c r="Q96" s="1161"/>
      <c r="R96" s="337">
        <f t="shared" si="13"/>
        <v>12</v>
      </c>
      <c r="S96" s="1160"/>
      <c r="T96" s="1161"/>
      <c r="U96" s="1161"/>
      <c r="V96" s="1161"/>
      <c r="W96" s="1161"/>
      <c r="X96" s="1161"/>
      <c r="Y96" s="337">
        <f t="shared" si="14"/>
        <v>0</v>
      </c>
      <c r="Z96" s="1162">
        <f t="shared" si="20"/>
        <v>41</v>
      </c>
      <c r="AA96" s="1162">
        <f t="shared" si="15"/>
        <v>41</v>
      </c>
      <c r="AD96" s="1163">
        <f t="shared" si="16"/>
        <v>0.23076923076923078</v>
      </c>
      <c r="AE96" s="1164">
        <f t="shared" si="16"/>
        <v>0</v>
      </c>
      <c r="AF96" s="1165">
        <f t="shared" si="17"/>
        <v>0.4375</v>
      </c>
      <c r="AG96" s="1165">
        <f t="shared" si="17"/>
        <v>0</v>
      </c>
      <c r="AH96" s="1165">
        <f t="shared" si="18"/>
        <v>0.2857142857142857</v>
      </c>
      <c r="AI96" s="1165" t="str">
        <f t="shared" si="18"/>
        <v>NA</v>
      </c>
      <c r="AJ96" s="1166">
        <f t="shared" si="19"/>
        <v>0.29268292682926828</v>
      </c>
    </row>
    <row r="97" spans="1:36">
      <c r="A97" s="738" t="s">
        <v>235</v>
      </c>
      <c r="B97" s="627" t="s">
        <v>236</v>
      </c>
      <c r="C97" s="666" t="s">
        <v>275</v>
      </c>
      <c r="E97" s="1160">
        <v>20</v>
      </c>
      <c r="F97" s="1161">
        <v>4</v>
      </c>
      <c r="G97" s="1161">
        <v>6</v>
      </c>
      <c r="H97" s="1161"/>
      <c r="I97" s="1161">
        <v>22</v>
      </c>
      <c r="J97" s="1161">
        <v>3</v>
      </c>
      <c r="K97" s="337">
        <f t="shared" si="12"/>
        <v>55</v>
      </c>
      <c r="L97" s="1160">
        <v>7</v>
      </c>
      <c r="M97" s="1161">
        <v>1</v>
      </c>
      <c r="N97" s="1161">
        <v>4</v>
      </c>
      <c r="O97" s="1161"/>
      <c r="P97" s="1161">
        <v>5</v>
      </c>
      <c r="Q97" s="1161"/>
      <c r="R97" s="337">
        <f t="shared" si="13"/>
        <v>17</v>
      </c>
      <c r="S97" s="1160"/>
      <c r="T97" s="1161"/>
      <c r="U97" s="1161"/>
      <c r="V97" s="1161"/>
      <c r="W97" s="1161"/>
      <c r="X97" s="1161"/>
      <c r="Y97" s="337">
        <f t="shared" si="14"/>
        <v>0</v>
      </c>
      <c r="Z97" s="1162">
        <f t="shared" si="20"/>
        <v>72</v>
      </c>
      <c r="AA97" s="1162">
        <f t="shared" si="15"/>
        <v>72</v>
      </c>
      <c r="AD97" s="1163">
        <f t="shared" si="16"/>
        <v>0.25925925925925924</v>
      </c>
      <c r="AE97" s="1164">
        <f t="shared" si="16"/>
        <v>0.2</v>
      </c>
      <c r="AF97" s="1165">
        <f t="shared" si="17"/>
        <v>0.18518518518518517</v>
      </c>
      <c r="AG97" s="1165">
        <f t="shared" si="17"/>
        <v>0</v>
      </c>
      <c r="AH97" s="1165">
        <f t="shared" si="18"/>
        <v>0.4</v>
      </c>
      <c r="AI97" s="1165" t="str">
        <f t="shared" si="18"/>
        <v>NA</v>
      </c>
      <c r="AJ97" s="1166">
        <f t="shared" si="19"/>
        <v>0.2361111111111111</v>
      </c>
    </row>
    <row r="98" spans="1:36">
      <c r="A98" s="738" t="s">
        <v>237</v>
      </c>
      <c r="B98" s="627" t="s">
        <v>238</v>
      </c>
      <c r="C98" s="666" t="s">
        <v>273</v>
      </c>
      <c r="E98" s="1160">
        <v>9</v>
      </c>
      <c r="F98" s="1161">
        <v>1</v>
      </c>
      <c r="G98" s="1161">
        <v>8</v>
      </c>
      <c r="H98" s="1161"/>
      <c r="I98" s="1161">
        <v>6</v>
      </c>
      <c r="J98" s="1161">
        <v>1</v>
      </c>
      <c r="K98" s="337">
        <f t="shared" si="12"/>
        <v>25</v>
      </c>
      <c r="L98" s="1160">
        <v>2</v>
      </c>
      <c r="M98" s="1161"/>
      <c r="N98" s="1161"/>
      <c r="O98" s="1161"/>
      <c r="P98" s="1161">
        <v>1</v>
      </c>
      <c r="Q98" s="1161"/>
      <c r="R98" s="337">
        <f t="shared" si="13"/>
        <v>3</v>
      </c>
      <c r="S98" s="1160"/>
      <c r="T98" s="1161"/>
      <c r="U98" s="1161"/>
      <c r="V98" s="1161"/>
      <c r="W98" s="1161"/>
      <c r="X98" s="1161"/>
      <c r="Y98" s="337">
        <f t="shared" si="14"/>
        <v>0</v>
      </c>
      <c r="Z98" s="1162">
        <f t="shared" si="20"/>
        <v>28</v>
      </c>
      <c r="AA98" s="1162">
        <f t="shared" si="15"/>
        <v>28</v>
      </c>
      <c r="AD98" s="1163">
        <f t="shared" si="16"/>
        <v>0.18181818181818182</v>
      </c>
      <c r="AE98" s="1164">
        <f t="shared" si="16"/>
        <v>0</v>
      </c>
      <c r="AF98" s="1165">
        <f t="shared" si="17"/>
        <v>0.14285714285714285</v>
      </c>
      <c r="AG98" s="1165">
        <f t="shared" si="17"/>
        <v>0</v>
      </c>
      <c r="AH98" s="1165">
        <f t="shared" si="18"/>
        <v>0</v>
      </c>
      <c r="AI98" s="1165" t="str">
        <f t="shared" si="18"/>
        <v>NA</v>
      </c>
      <c r="AJ98" s="1166">
        <f t="shared" si="19"/>
        <v>0.10714285714285714</v>
      </c>
    </row>
    <row r="99" spans="1:36">
      <c r="A99" s="738" t="s">
        <v>243</v>
      </c>
      <c r="B99" s="627" t="s">
        <v>244</v>
      </c>
      <c r="C99" s="666" t="s">
        <v>275</v>
      </c>
      <c r="E99" s="1160">
        <v>28</v>
      </c>
      <c r="F99" s="1161">
        <v>2</v>
      </c>
      <c r="G99" s="1161">
        <v>15</v>
      </c>
      <c r="H99" s="1161"/>
      <c r="I99" s="1161">
        <v>29</v>
      </c>
      <c r="J99" s="1161">
        <v>3</v>
      </c>
      <c r="K99" s="337">
        <f t="shared" si="12"/>
        <v>77</v>
      </c>
      <c r="L99" s="1160">
        <v>1</v>
      </c>
      <c r="M99" s="1161">
        <v>1</v>
      </c>
      <c r="N99" s="1161">
        <v>5</v>
      </c>
      <c r="O99" s="1161">
        <v>3</v>
      </c>
      <c r="P99" s="1161">
        <v>5</v>
      </c>
      <c r="Q99" s="1161"/>
      <c r="R99" s="337">
        <f t="shared" si="13"/>
        <v>15</v>
      </c>
      <c r="S99" s="1160"/>
      <c r="T99" s="1161"/>
      <c r="U99" s="1161"/>
      <c r="V99" s="1161"/>
      <c r="W99" s="1161"/>
      <c r="X99" s="1161"/>
      <c r="Y99" s="337">
        <f t="shared" si="14"/>
        <v>0</v>
      </c>
      <c r="Z99" s="1162">
        <f t="shared" si="20"/>
        <v>92</v>
      </c>
      <c r="AA99" s="1162">
        <f t="shared" si="15"/>
        <v>92</v>
      </c>
      <c r="AD99" s="1163">
        <f t="shared" si="16"/>
        <v>3.4482758620689655E-2</v>
      </c>
      <c r="AE99" s="1164">
        <f t="shared" si="16"/>
        <v>0.33333333333333331</v>
      </c>
      <c r="AF99" s="1165">
        <f t="shared" si="17"/>
        <v>0.14705882352941177</v>
      </c>
      <c r="AG99" s="1165">
        <f t="shared" si="17"/>
        <v>0</v>
      </c>
      <c r="AH99" s="1165">
        <f t="shared" si="18"/>
        <v>0.25</v>
      </c>
      <c r="AI99" s="1165">
        <f t="shared" si="18"/>
        <v>1</v>
      </c>
      <c r="AJ99" s="1166">
        <f t="shared" si="19"/>
        <v>0.16304347826086957</v>
      </c>
    </row>
    <row r="100" spans="1:36">
      <c r="A100" s="738" t="s">
        <v>245</v>
      </c>
      <c r="B100" s="627" t="s">
        <v>246</v>
      </c>
      <c r="C100" s="666" t="s">
        <v>275</v>
      </c>
      <c r="E100" s="1160">
        <v>19</v>
      </c>
      <c r="F100" s="1161">
        <v>2</v>
      </c>
      <c r="G100" s="1161">
        <v>7</v>
      </c>
      <c r="H100" s="1161">
        <v>1</v>
      </c>
      <c r="I100" s="1161">
        <v>14</v>
      </c>
      <c r="J100" s="1161">
        <v>2</v>
      </c>
      <c r="K100" s="337">
        <f t="shared" si="12"/>
        <v>45</v>
      </c>
      <c r="L100" s="1160">
        <v>3</v>
      </c>
      <c r="M100" s="1161"/>
      <c r="N100" s="1161"/>
      <c r="O100" s="1161">
        <v>1</v>
      </c>
      <c r="P100" s="1161"/>
      <c r="Q100" s="1161"/>
      <c r="R100" s="337">
        <f t="shared" si="13"/>
        <v>4</v>
      </c>
      <c r="S100" s="1160"/>
      <c r="T100" s="1161"/>
      <c r="U100" s="1161"/>
      <c r="V100" s="1161"/>
      <c r="W100" s="1161"/>
      <c r="X100" s="1161"/>
      <c r="Y100" s="337">
        <f t="shared" si="14"/>
        <v>0</v>
      </c>
      <c r="Z100" s="1162">
        <f t="shared" si="20"/>
        <v>49</v>
      </c>
      <c r="AA100" s="1162">
        <f t="shared" si="15"/>
        <v>49</v>
      </c>
      <c r="AD100" s="1163">
        <f t="shared" si="16"/>
        <v>0.13636363636363635</v>
      </c>
      <c r="AE100" s="1164">
        <f t="shared" si="16"/>
        <v>0</v>
      </c>
      <c r="AF100" s="1165">
        <f t="shared" si="17"/>
        <v>0</v>
      </c>
      <c r="AG100" s="1165">
        <f t="shared" si="17"/>
        <v>0</v>
      </c>
      <c r="AH100" s="1165">
        <f t="shared" si="18"/>
        <v>0</v>
      </c>
      <c r="AI100" s="1165">
        <f t="shared" si="18"/>
        <v>0.5</v>
      </c>
      <c r="AJ100" s="1166">
        <f t="shared" si="19"/>
        <v>8.1632653061224483E-2</v>
      </c>
    </row>
    <row r="101" spans="1:36">
      <c r="A101" s="738" t="s">
        <v>247</v>
      </c>
      <c r="B101" s="627" t="s">
        <v>248</v>
      </c>
      <c r="C101" s="666" t="s">
        <v>271</v>
      </c>
      <c r="E101" s="1160">
        <v>12</v>
      </c>
      <c r="F101" s="1161">
        <v>6</v>
      </c>
      <c r="G101" s="1161">
        <v>13</v>
      </c>
      <c r="H101" s="1161"/>
      <c r="I101" s="1161">
        <v>20</v>
      </c>
      <c r="J101" s="1161">
        <v>4</v>
      </c>
      <c r="K101" s="337">
        <f t="shared" si="12"/>
        <v>55</v>
      </c>
      <c r="L101" s="1160">
        <v>3</v>
      </c>
      <c r="M101" s="1161"/>
      <c r="N101" s="1161">
        <v>6</v>
      </c>
      <c r="O101" s="1161"/>
      <c r="P101" s="1161">
        <v>20</v>
      </c>
      <c r="Q101" s="1161">
        <v>2</v>
      </c>
      <c r="R101" s="337">
        <f t="shared" si="13"/>
        <v>31</v>
      </c>
      <c r="S101" s="1160"/>
      <c r="T101" s="1161"/>
      <c r="U101" s="1161"/>
      <c r="V101" s="1161"/>
      <c r="W101" s="1161">
        <v>1</v>
      </c>
      <c r="X101" s="1161"/>
      <c r="Y101" s="337">
        <f t="shared" si="14"/>
        <v>1</v>
      </c>
      <c r="Z101" s="1162">
        <f t="shared" si="20"/>
        <v>87</v>
      </c>
      <c r="AA101" s="1162">
        <f t="shared" si="15"/>
        <v>86</v>
      </c>
      <c r="AD101" s="1163">
        <f t="shared" si="16"/>
        <v>0.2</v>
      </c>
      <c r="AE101" s="1164">
        <f t="shared" si="16"/>
        <v>0</v>
      </c>
      <c r="AF101" s="1165">
        <f t="shared" si="17"/>
        <v>0.5</v>
      </c>
      <c r="AG101" s="1165">
        <f t="shared" si="17"/>
        <v>0.33333333333333331</v>
      </c>
      <c r="AH101" s="1165">
        <f t="shared" si="18"/>
        <v>0.31578947368421051</v>
      </c>
      <c r="AI101" s="1165" t="str">
        <f t="shared" si="18"/>
        <v>NA</v>
      </c>
      <c r="AJ101" s="1166">
        <f t="shared" si="19"/>
        <v>0.36046511627906974</v>
      </c>
    </row>
    <row r="102" spans="1:36">
      <c r="A102" s="738" t="s">
        <v>14</v>
      </c>
      <c r="B102" s="627" t="s">
        <v>15</v>
      </c>
      <c r="C102" s="666" t="s">
        <v>274</v>
      </c>
      <c r="E102" s="1160">
        <v>38</v>
      </c>
      <c r="F102" s="1161">
        <v>7</v>
      </c>
      <c r="G102" s="1161">
        <v>43</v>
      </c>
      <c r="H102" s="1161">
        <v>18</v>
      </c>
      <c r="I102" s="1161">
        <v>66</v>
      </c>
      <c r="J102" s="1161">
        <v>27</v>
      </c>
      <c r="K102" s="337">
        <f t="shared" si="12"/>
        <v>199</v>
      </c>
      <c r="L102" s="1160">
        <v>13</v>
      </c>
      <c r="M102" s="1161"/>
      <c r="N102" s="1161">
        <v>11</v>
      </c>
      <c r="O102" s="1161">
        <v>6</v>
      </c>
      <c r="P102" s="1161">
        <v>16</v>
      </c>
      <c r="Q102" s="1161">
        <v>2</v>
      </c>
      <c r="R102" s="337">
        <f t="shared" si="13"/>
        <v>48</v>
      </c>
      <c r="S102" s="1160"/>
      <c r="T102" s="1161"/>
      <c r="U102" s="1161"/>
      <c r="V102" s="1161"/>
      <c r="W102" s="1161"/>
      <c r="X102" s="1161"/>
      <c r="Y102" s="337">
        <f t="shared" si="14"/>
        <v>0</v>
      </c>
      <c r="Z102" s="1162">
        <f t="shared" si="20"/>
        <v>247</v>
      </c>
      <c r="AA102" s="1162">
        <f t="shared" si="15"/>
        <v>247</v>
      </c>
      <c r="AD102" s="1163">
        <f t="shared" si="16"/>
        <v>0.25490196078431371</v>
      </c>
      <c r="AE102" s="1164">
        <f t="shared" si="16"/>
        <v>0</v>
      </c>
      <c r="AF102" s="1165">
        <f t="shared" si="17"/>
        <v>0.1951219512195122</v>
      </c>
      <c r="AG102" s="1165">
        <f t="shared" si="17"/>
        <v>6.8965517241379309E-2</v>
      </c>
      <c r="AH102" s="1165">
        <f t="shared" si="18"/>
        <v>0.20370370370370369</v>
      </c>
      <c r="AI102" s="1165">
        <f t="shared" si="18"/>
        <v>0.25</v>
      </c>
      <c r="AJ102" s="1166">
        <f t="shared" si="19"/>
        <v>0.19433198380566802</v>
      </c>
    </row>
    <row r="103" spans="1:36">
      <c r="A103" s="738" t="s">
        <v>35</v>
      </c>
      <c r="B103" s="627" t="s">
        <v>36</v>
      </c>
      <c r="C103" s="666" t="s">
        <v>275</v>
      </c>
      <c r="E103" s="1160">
        <v>16</v>
      </c>
      <c r="F103" s="1161">
        <v>3</v>
      </c>
      <c r="G103" s="1161">
        <v>9</v>
      </c>
      <c r="H103" s="1161"/>
      <c r="I103" s="1161">
        <v>13</v>
      </c>
      <c r="J103" s="1161">
        <v>3</v>
      </c>
      <c r="K103" s="337">
        <f t="shared" si="12"/>
        <v>44</v>
      </c>
      <c r="L103" s="1160">
        <v>3</v>
      </c>
      <c r="M103" s="1161"/>
      <c r="N103" s="1161">
        <v>3</v>
      </c>
      <c r="O103" s="1161"/>
      <c r="P103" s="1161">
        <v>9</v>
      </c>
      <c r="Q103" s="1161"/>
      <c r="R103" s="337">
        <f t="shared" si="13"/>
        <v>15</v>
      </c>
      <c r="S103" s="1160"/>
      <c r="T103" s="1161"/>
      <c r="U103" s="1161"/>
      <c r="V103" s="1161"/>
      <c r="W103" s="1161"/>
      <c r="X103" s="1161"/>
      <c r="Y103" s="337">
        <f t="shared" si="14"/>
        <v>0</v>
      </c>
      <c r="Z103" s="1162">
        <f t="shared" si="20"/>
        <v>59</v>
      </c>
      <c r="AA103" s="1162">
        <f t="shared" si="15"/>
        <v>59</v>
      </c>
      <c r="AD103" s="1163">
        <f t="shared" si="16"/>
        <v>0.15789473684210525</v>
      </c>
      <c r="AE103" s="1164">
        <f t="shared" si="16"/>
        <v>0</v>
      </c>
      <c r="AF103" s="1165">
        <f t="shared" si="17"/>
        <v>0.40909090909090912</v>
      </c>
      <c r="AG103" s="1165">
        <f t="shared" si="17"/>
        <v>0</v>
      </c>
      <c r="AH103" s="1165">
        <f t="shared" si="18"/>
        <v>0.25</v>
      </c>
      <c r="AI103" s="1165" t="str">
        <f t="shared" si="18"/>
        <v>NA</v>
      </c>
      <c r="AJ103" s="1166">
        <f t="shared" si="19"/>
        <v>0.25423728813559321</v>
      </c>
    </row>
    <row r="104" spans="1:36">
      <c r="A104" s="738" t="s">
        <v>53</v>
      </c>
      <c r="B104" s="627" t="s">
        <v>54</v>
      </c>
      <c r="C104" s="666" t="s">
        <v>272</v>
      </c>
      <c r="E104" s="1160">
        <v>29</v>
      </c>
      <c r="F104" s="1161">
        <v>6</v>
      </c>
      <c r="G104" s="1161">
        <v>12</v>
      </c>
      <c r="H104" s="1161">
        <v>5</v>
      </c>
      <c r="I104" s="1161">
        <v>38</v>
      </c>
      <c r="J104" s="1161">
        <v>11</v>
      </c>
      <c r="K104" s="337">
        <f t="shared" si="12"/>
        <v>101</v>
      </c>
      <c r="L104" s="1160">
        <v>1</v>
      </c>
      <c r="M104" s="1161">
        <v>1</v>
      </c>
      <c r="N104" s="1161">
        <v>1</v>
      </c>
      <c r="O104" s="1161">
        <v>3</v>
      </c>
      <c r="P104" s="1161">
        <v>2</v>
      </c>
      <c r="Q104" s="1161">
        <v>1</v>
      </c>
      <c r="R104" s="337">
        <f t="shared" si="13"/>
        <v>9</v>
      </c>
      <c r="S104" s="1160"/>
      <c r="T104" s="1161"/>
      <c r="U104" s="1161"/>
      <c r="V104" s="1161"/>
      <c r="W104" s="1161"/>
      <c r="X104" s="1161"/>
      <c r="Y104" s="337">
        <f t="shared" si="14"/>
        <v>0</v>
      </c>
      <c r="Z104" s="1162">
        <f t="shared" si="20"/>
        <v>110</v>
      </c>
      <c r="AA104" s="1162">
        <f t="shared" si="15"/>
        <v>110</v>
      </c>
      <c r="AD104" s="1163">
        <f t="shared" si="16"/>
        <v>3.3333333333333333E-2</v>
      </c>
      <c r="AE104" s="1164">
        <f t="shared" si="16"/>
        <v>0.14285714285714285</v>
      </c>
      <c r="AF104" s="1165">
        <f t="shared" si="17"/>
        <v>0.05</v>
      </c>
      <c r="AG104" s="1165">
        <f t="shared" si="17"/>
        <v>8.3333333333333329E-2</v>
      </c>
      <c r="AH104" s="1165">
        <f t="shared" si="18"/>
        <v>7.6923076923076927E-2</v>
      </c>
      <c r="AI104" s="1165">
        <f t="shared" si="18"/>
        <v>0.375</v>
      </c>
      <c r="AJ104" s="1166">
        <f t="shared" si="19"/>
        <v>8.1818181818181818E-2</v>
      </c>
    </row>
    <row r="105" spans="1:36">
      <c r="A105" s="738" t="s">
        <v>55</v>
      </c>
      <c r="B105" s="627" t="s">
        <v>56</v>
      </c>
      <c r="C105" s="666" t="s">
        <v>271</v>
      </c>
      <c r="E105" s="1160">
        <v>77</v>
      </c>
      <c r="F105" s="1161">
        <v>14</v>
      </c>
      <c r="G105" s="1161">
        <v>39</v>
      </c>
      <c r="H105" s="1161">
        <v>1</v>
      </c>
      <c r="I105" s="1161">
        <v>66</v>
      </c>
      <c r="J105" s="1161">
        <v>20</v>
      </c>
      <c r="K105" s="337">
        <f t="shared" si="12"/>
        <v>217</v>
      </c>
      <c r="L105" s="1160">
        <v>12</v>
      </c>
      <c r="M105" s="1161">
        <v>2</v>
      </c>
      <c r="N105" s="1161">
        <v>7</v>
      </c>
      <c r="O105" s="1161"/>
      <c r="P105" s="1161">
        <v>21</v>
      </c>
      <c r="Q105" s="1161"/>
      <c r="R105" s="337">
        <f t="shared" si="13"/>
        <v>42</v>
      </c>
      <c r="S105" s="1160"/>
      <c r="T105" s="1161"/>
      <c r="U105" s="1161"/>
      <c r="V105" s="1161"/>
      <c r="W105" s="1161"/>
      <c r="X105" s="1161"/>
      <c r="Y105" s="337">
        <f t="shared" si="14"/>
        <v>0</v>
      </c>
      <c r="Z105" s="1162">
        <f t="shared" si="20"/>
        <v>259</v>
      </c>
      <c r="AA105" s="1162">
        <f t="shared" si="15"/>
        <v>259</v>
      </c>
      <c r="AD105" s="1163">
        <f t="shared" si="16"/>
        <v>0.1348314606741573</v>
      </c>
      <c r="AE105" s="1164">
        <f t="shared" si="16"/>
        <v>0.125</v>
      </c>
      <c r="AF105" s="1165">
        <f t="shared" si="17"/>
        <v>0.2413793103448276</v>
      </c>
      <c r="AG105" s="1165">
        <f t="shared" si="17"/>
        <v>0</v>
      </c>
      <c r="AH105" s="1165">
        <f t="shared" si="18"/>
        <v>0.15217391304347827</v>
      </c>
      <c r="AI105" s="1165">
        <f t="shared" si="18"/>
        <v>0</v>
      </c>
      <c r="AJ105" s="1166">
        <f t="shared" si="19"/>
        <v>0.16216216216216217</v>
      </c>
    </row>
    <row r="106" spans="1:36">
      <c r="A106" s="738" t="s">
        <v>67</v>
      </c>
      <c r="B106" s="627" t="s">
        <v>68</v>
      </c>
      <c r="C106" s="666" t="s">
        <v>272</v>
      </c>
      <c r="E106" s="1160">
        <v>36</v>
      </c>
      <c r="F106" s="1161">
        <v>7</v>
      </c>
      <c r="G106" s="1161">
        <v>9</v>
      </c>
      <c r="H106" s="1161"/>
      <c r="I106" s="1161">
        <v>29</v>
      </c>
      <c r="J106" s="1161">
        <v>8</v>
      </c>
      <c r="K106" s="337">
        <f t="shared" si="12"/>
        <v>89</v>
      </c>
      <c r="L106" s="1160">
        <v>5</v>
      </c>
      <c r="M106" s="1161">
        <v>1</v>
      </c>
      <c r="N106" s="1161">
        <v>1</v>
      </c>
      <c r="O106" s="1161"/>
      <c r="P106" s="1161">
        <v>8</v>
      </c>
      <c r="Q106" s="1161">
        <v>1</v>
      </c>
      <c r="R106" s="337">
        <f t="shared" si="13"/>
        <v>16</v>
      </c>
      <c r="S106" s="1160"/>
      <c r="T106" s="1161"/>
      <c r="U106" s="1161"/>
      <c r="V106" s="1161"/>
      <c r="W106" s="1161"/>
      <c r="X106" s="1161"/>
      <c r="Y106" s="337">
        <f t="shared" si="14"/>
        <v>0</v>
      </c>
      <c r="Z106" s="1162">
        <f t="shared" si="20"/>
        <v>105</v>
      </c>
      <c r="AA106" s="1162">
        <f t="shared" si="15"/>
        <v>105</v>
      </c>
      <c r="AD106" s="1163">
        <f t="shared" si="16"/>
        <v>0.12195121951219512</v>
      </c>
      <c r="AE106" s="1164">
        <f t="shared" si="16"/>
        <v>0.125</v>
      </c>
      <c r="AF106" s="1165">
        <f t="shared" si="17"/>
        <v>0.21621621621621623</v>
      </c>
      <c r="AG106" s="1165">
        <f t="shared" si="17"/>
        <v>0.1111111111111111</v>
      </c>
      <c r="AH106" s="1165">
        <f t="shared" si="18"/>
        <v>0.1</v>
      </c>
      <c r="AI106" s="1165" t="str">
        <f t="shared" si="18"/>
        <v>NA</v>
      </c>
      <c r="AJ106" s="1166">
        <f t="shared" si="19"/>
        <v>0.15238095238095239</v>
      </c>
    </row>
    <row r="107" spans="1:36">
      <c r="A107" s="738" t="s">
        <v>83</v>
      </c>
      <c r="B107" s="627" t="s">
        <v>333</v>
      </c>
      <c r="C107" s="666" t="s">
        <v>271</v>
      </c>
      <c r="E107" s="1160">
        <v>8</v>
      </c>
      <c r="F107" s="1161">
        <v>1</v>
      </c>
      <c r="G107" s="1161">
        <v>5</v>
      </c>
      <c r="H107" s="1161"/>
      <c r="I107" s="1161">
        <v>5</v>
      </c>
      <c r="J107" s="1161">
        <v>1</v>
      </c>
      <c r="K107" s="337">
        <f t="shared" si="12"/>
        <v>20</v>
      </c>
      <c r="L107" s="1160">
        <v>4</v>
      </c>
      <c r="M107" s="1161"/>
      <c r="N107" s="1161"/>
      <c r="O107" s="1161"/>
      <c r="P107" s="1161">
        <v>3</v>
      </c>
      <c r="Q107" s="1161"/>
      <c r="R107" s="337">
        <f t="shared" si="13"/>
        <v>7</v>
      </c>
      <c r="S107" s="1160"/>
      <c r="T107" s="1161"/>
      <c r="U107" s="1161"/>
      <c r="V107" s="1161"/>
      <c r="W107" s="1161"/>
      <c r="X107" s="1161"/>
      <c r="Y107" s="337">
        <f t="shared" si="14"/>
        <v>0</v>
      </c>
      <c r="Z107" s="1162">
        <f t="shared" si="20"/>
        <v>27</v>
      </c>
      <c r="AA107" s="1162">
        <f t="shared" si="15"/>
        <v>27</v>
      </c>
      <c r="AD107" s="1163">
        <f t="shared" si="16"/>
        <v>0.33333333333333331</v>
      </c>
      <c r="AE107" s="1164">
        <f t="shared" si="16"/>
        <v>0</v>
      </c>
      <c r="AF107" s="1165">
        <f t="shared" si="17"/>
        <v>0.375</v>
      </c>
      <c r="AG107" s="1165">
        <f t="shared" si="17"/>
        <v>0</v>
      </c>
      <c r="AH107" s="1165">
        <f t="shared" si="18"/>
        <v>0</v>
      </c>
      <c r="AI107" s="1165" t="str">
        <f t="shared" si="18"/>
        <v>NA</v>
      </c>
      <c r="AJ107" s="1166">
        <f t="shared" si="19"/>
        <v>0.25925925925925924</v>
      </c>
    </row>
    <row r="108" spans="1:36">
      <c r="A108" s="738" t="s">
        <v>89</v>
      </c>
      <c r="B108" s="627" t="s">
        <v>90</v>
      </c>
      <c r="C108" s="666" t="s">
        <v>274</v>
      </c>
      <c r="E108" s="1160">
        <v>11</v>
      </c>
      <c r="F108" s="1161">
        <v>1</v>
      </c>
      <c r="G108" s="1161">
        <v>6</v>
      </c>
      <c r="H108" s="1161"/>
      <c r="I108" s="1161">
        <v>10</v>
      </c>
      <c r="J108" s="1161">
        <v>3</v>
      </c>
      <c r="K108" s="337">
        <f t="shared" si="12"/>
        <v>31</v>
      </c>
      <c r="L108" s="1160">
        <v>5</v>
      </c>
      <c r="M108" s="1161"/>
      <c r="N108" s="1161">
        <v>2</v>
      </c>
      <c r="O108" s="1161">
        <v>2</v>
      </c>
      <c r="P108" s="1161">
        <v>1</v>
      </c>
      <c r="Q108" s="1161">
        <v>1</v>
      </c>
      <c r="R108" s="337">
        <f t="shared" si="13"/>
        <v>11</v>
      </c>
      <c r="S108" s="1160"/>
      <c r="T108" s="1161"/>
      <c r="U108" s="1161"/>
      <c r="V108" s="1161"/>
      <c r="W108" s="1161">
        <v>1</v>
      </c>
      <c r="X108" s="1161"/>
      <c r="Y108" s="337">
        <f t="shared" si="14"/>
        <v>1</v>
      </c>
      <c r="Z108" s="1162">
        <f t="shared" si="20"/>
        <v>43</v>
      </c>
      <c r="AA108" s="1162">
        <f t="shared" si="15"/>
        <v>42</v>
      </c>
      <c r="AD108" s="1163">
        <f t="shared" si="16"/>
        <v>0.3125</v>
      </c>
      <c r="AE108" s="1164">
        <f t="shared" si="16"/>
        <v>0</v>
      </c>
      <c r="AF108" s="1165">
        <f t="shared" si="17"/>
        <v>9.0909090909090912E-2</v>
      </c>
      <c r="AG108" s="1165">
        <f t="shared" si="17"/>
        <v>0.25</v>
      </c>
      <c r="AH108" s="1165">
        <f t="shared" si="18"/>
        <v>0.25</v>
      </c>
      <c r="AI108" s="1165">
        <f t="shared" si="18"/>
        <v>1</v>
      </c>
      <c r="AJ108" s="1166">
        <f t="shared" si="19"/>
        <v>0.26190476190476192</v>
      </c>
    </row>
    <row r="109" spans="1:36">
      <c r="A109" s="738" t="s">
        <v>91</v>
      </c>
      <c r="B109" s="627" t="s">
        <v>92</v>
      </c>
      <c r="C109" s="666" t="s">
        <v>275</v>
      </c>
      <c r="E109" s="1160">
        <v>7</v>
      </c>
      <c r="F109" s="1161">
        <v>1</v>
      </c>
      <c r="G109" s="1161">
        <v>4</v>
      </c>
      <c r="H109" s="1161"/>
      <c r="I109" s="1161">
        <v>4</v>
      </c>
      <c r="J109" s="1161">
        <v>1</v>
      </c>
      <c r="K109" s="337">
        <f t="shared" si="12"/>
        <v>17</v>
      </c>
      <c r="L109" s="1160">
        <v>1</v>
      </c>
      <c r="M109" s="1161"/>
      <c r="N109" s="1161"/>
      <c r="O109" s="1161"/>
      <c r="P109" s="1161"/>
      <c r="Q109" s="1161"/>
      <c r="R109" s="337">
        <f t="shared" si="13"/>
        <v>1</v>
      </c>
      <c r="S109" s="1160"/>
      <c r="T109" s="1161"/>
      <c r="U109" s="1161"/>
      <c r="V109" s="1161"/>
      <c r="W109" s="1161"/>
      <c r="X109" s="1161"/>
      <c r="Y109" s="337">
        <f t="shared" si="14"/>
        <v>0</v>
      </c>
      <c r="Z109" s="1162">
        <f t="shared" si="20"/>
        <v>18</v>
      </c>
      <c r="AA109" s="1162">
        <f t="shared" si="15"/>
        <v>18</v>
      </c>
      <c r="AD109" s="1163">
        <f t="shared" si="16"/>
        <v>0.125</v>
      </c>
      <c r="AE109" s="1164">
        <f t="shared" si="16"/>
        <v>0</v>
      </c>
      <c r="AF109" s="1165">
        <f t="shared" si="17"/>
        <v>0</v>
      </c>
      <c r="AG109" s="1165">
        <f t="shared" si="17"/>
        <v>0</v>
      </c>
      <c r="AH109" s="1165">
        <f t="shared" si="18"/>
        <v>0</v>
      </c>
      <c r="AI109" s="1165" t="str">
        <f t="shared" si="18"/>
        <v>NA</v>
      </c>
      <c r="AJ109" s="1166">
        <f t="shared" si="19"/>
        <v>5.5555555555555552E-2</v>
      </c>
    </row>
    <row r="110" spans="1:36">
      <c r="A110" s="738" t="s">
        <v>107</v>
      </c>
      <c r="B110" s="627" t="s">
        <v>108</v>
      </c>
      <c r="C110" s="666" t="s">
        <v>271</v>
      </c>
      <c r="E110" s="1160">
        <v>69</v>
      </c>
      <c r="F110" s="1161">
        <v>3</v>
      </c>
      <c r="G110" s="1161">
        <v>27</v>
      </c>
      <c r="H110" s="1161">
        <v>2</v>
      </c>
      <c r="I110" s="1161">
        <v>48</v>
      </c>
      <c r="J110" s="1161">
        <v>19</v>
      </c>
      <c r="K110" s="337">
        <f t="shared" si="12"/>
        <v>168</v>
      </c>
      <c r="L110" s="1160">
        <v>15</v>
      </c>
      <c r="M110" s="1161">
        <v>2</v>
      </c>
      <c r="N110" s="1161">
        <v>6</v>
      </c>
      <c r="O110" s="1161"/>
      <c r="P110" s="1161">
        <v>15</v>
      </c>
      <c r="Q110" s="1161">
        <v>2</v>
      </c>
      <c r="R110" s="337">
        <f t="shared" si="13"/>
        <v>40</v>
      </c>
      <c r="S110" s="1160"/>
      <c r="T110" s="1161"/>
      <c r="U110" s="1161"/>
      <c r="V110" s="1161"/>
      <c r="W110" s="1161"/>
      <c r="X110" s="1161"/>
      <c r="Y110" s="337">
        <f t="shared" si="14"/>
        <v>0</v>
      </c>
      <c r="Z110" s="1162">
        <f t="shared" si="20"/>
        <v>208</v>
      </c>
      <c r="AA110" s="1162">
        <f t="shared" si="15"/>
        <v>208</v>
      </c>
      <c r="AD110" s="1163">
        <f t="shared" si="16"/>
        <v>0.17857142857142858</v>
      </c>
      <c r="AE110" s="1164">
        <f t="shared" si="16"/>
        <v>0.4</v>
      </c>
      <c r="AF110" s="1165">
        <f t="shared" si="17"/>
        <v>0.23809523809523808</v>
      </c>
      <c r="AG110" s="1165">
        <f t="shared" si="17"/>
        <v>9.5238095238095233E-2</v>
      </c>
      <c r="AH110" s="1165">
        <f t="shared" si="18"/>
        <v>0.18181818181818182</v>
      </c>
      <c r="AI110" s="1165">
        <f t="shared" si="18"/>
        <v>0</v>
      </c>
      <c r="AJ110" s="1166">
        <f t="shared" si="19"/>
        <v>0.19230769230769232</v>
      </c>
    </row>
    <row r="111" spans="1:36">
      <c r="A111" s="738" t="s">
        <v>117</v>
      </c>
      <c r="B111" s="627" t="s">
        <v>118</v>
      </c>
      <c r="C111" s="666" t="s">
        <v>273</v>
      </c>
      <c r="E111" s="1160">
        <v>18</v>
      </c>
      <c r="F111" s="1161">
        <v>2</v>
      </c>
      <c r="G111" s="1161">
        <v>9</v>
      </c>
      <c r="H111" s="1161"/>
      <c r="I111" s="1161">
        <v>11</v>
      </c>
      <c r="J111" s="1161">
        <v>2</v>
      </c>
      <c r="K111" s="337">
        <f t="shared" si="12"/>
        <v>42</v>
      </c>
      <c r="L111" s="1160">
        <v>8</v>
      </c>
      <c r="M111" s="1161">
        <v>1</v>
      </c>
      <c r="N111" s="1161">
        <v>4</v>
      </c>
      <c r="O111" s="1161"/>
      <c r="P111" s="1161">
        <v>6</v>
      </c>
      <c r="Q111" s="1161"/>
      <c r="R111" s="337">
        <f t="shared" si="13"/>
        <v>19</v>
      </c>
      <c r="S111" s="1160">
        <v>1</v>
      </c>
      <c r="T111" s="1161"/>
      <c r="U111" s="1161"/>
      <c r="V111" s="1161"/>
      <c r="W111" s="1161"/>
      <c r="X111" s="1161"/>
      <c r="Y111" s="337">
        <f t="shared" si="14"/>
        <v>1</v>
      </c>
      <c r="Z111" s="1162">
        <f t="shared" si="20"/>
        <v>62</v>
      </c>
      <c r="AA111" s="1162">
        <f t="shared" si="15"/>
        <v>61</v>
      </c>
      <c r="AD111" s="1163">
        <f t="shared" si="16"/>
        <v>0.30769230769230771</v>
      </c>
      <c r="AE111" s="1164">
        <f t="shared" si="16"/>
        <v>0.33333333333333331</v>
      </c>
      <c r="AF111" s="1165">
        <f t="shared" si="17"/>
        <v>0.35294117647058826</v>
      </c>
      <c r="AG111" s="1165">
        <f t="shared" si="17"/>
        <v>0</v>
      </c>
      <c r="AH111" s="1165">
        <f t="shared" si="18"/>
        <v>0.30769230769230771</v>
      </c>
      <c r="AI111" s="1165" t="str">
        <f t="shared" si="18"/>
        <v>NA</v>
      </c>
      <c r="AJ111" s="1166">
        <f t="shared" si="19"/>
        <v>0.31147540983606559</v>
      </c>
    </row>
    <row r="112" spans="1:36">
      <c r="A112" s="738" t="s">
        <v>139</v>
      </c>
      <c r="B112" s="627" t="s">
        <v>140</v>
      </c>
      <c r="C112" s="666" t="s">
        <v>272</v>
      </c>
      <c r="E112" s="1160">
        <v>47</v>
      </c>
      <c r="F112" s="1161">
        <v>3</v>
      </c>
      <c r="G112" s="1161">
        <v>20</v>
      </c>
      <c r="H112" s="1161"/>
      <c r="I112" s="1161">
        <v>47</v>
      </c>
      <c r="J112" s="1161">
        <v>4</v>
      </c>
      <c r="K112" s="337">
        <f t="shared" si="12"/>
        <v>121</v>
      </c>
      <c r="L112" s="1160">
        <v>13</v>
      </c>
      <c r="M112" s="1161">
        <v>2</v>
      </c>
      <c r="N112" s="1161">
        <v>12</v>
      </c>
      <c r="O112" s="1161">
        <v>1</v>
      </c>
      <c r="P112" s="1161">
        <v>31</v>
      </c>
      <c r="Q112" s="1161">
        <v>4</v>
      </c>
      <c r="R112" s="337">
        <f t="shared" si="13"/>
        <v>63</v>
      </c>
      <c r="S112" s="1160"/>
      <c r="T112" s="1161"/>
      <c r="U112" s="1161"/>
      <c r="V112" s="1161"/>
      <c r="W112" s="1161"/>
      <c r="X112" s="1161"/>
      <c r="Y112" s="337">
        <f t="shared" si="14"/>
        <v>0</v>
      </c>
      <c r="Z112" s="1162">
        <f t="shared" si="20"/>
        <v>184</v>
      </c>
      <c r="AA112" s="1162">
        <f t="shared" si="15"/>
        <v>184</v>
      </c>
      <c r="AD112" s="1163">
        <f t="shared" si="16"/>
        <v>0.21666666666666667</v>
      </c>
      <c r="AE112" s="1164">
        <f t="shared" si="16"/>
        <v>0.4</v>
      </c>
      <c r="AF112" s="1165">
        <f t="shared" si="17"/>
        <v>0.39743589743589741</v>
      </c>
      <c r="AG112" s="1165">
        <f t="shared" si="17"/>
        <v>0.5</v>
      </c>
      <c r="AH112" s="1165">
        <f t="shared" si="18"/>
        <v>0.375</v>
      </c>
      <c r="AI112" s="1165">
        <f t="shared" si="18"/>
        <v>1</v>
      </c>
      <c r="AJ112" s="1166">
        <f t="shared" si="19"/>
        <v>0.34239130434782611</v>
      </c>
    </row>
    <row r="113" spans="1:36">
      <c r="A113" s="738" t="s">
        <v>143</v>
      </c>
      <c r="B113" s="627" t="s">
        <v>144</v>
      </c>
      <c r="C113" s="666" t="s">
        <v>274</v>
      </c>
      <c r="E113" s="1160">
        <v>9</v>
      </c>
      <c r="F113" s="1161">
        <v>4</v>
      </c>
      <c r="G113" s="1161">
        <v>5</v>
      </c>
      <c r="H113" s="1161"/>
      <c r="I113" s="1161">
        <v>10</v>
      </c>
      <c r="J113" s="1161">
        <v>2</v>
      </c>
      <c r="K113" s="337">
        <f t="shared" si="12"/>
        <v>30</v>
      </c>
      <c r="L113" s="1160">
        <v>3</v>
      </c>
      <c r="M113" s="1161"/>
      <c r="N113" s="1161">
        <v>1</v>
      </c>
      <c r="O113" s="1161">
        <v>1</v>
      </c>
      <c r="P113" s="1161">
        <v>2</v>
      </c>
      <c r="Q113" s="1161"/>
      <c r="R113" s="337">
        <f t="shared" si="13"/>
        <v>7</v>
      </c>
      <c r="S113" s="1160"/>
      <c r="T113" s="1161"/>
      <c r="U113" s="1161"/>
      <c r="V113" s="1161"/>
      <c r="W113" s="1161"/>
      <c r="X113" s="1161"/>
      <c r="Y113" s="337">
        <f t="shared" si="14"/>
        <v>0</v>
      </c>
      <c r="Z113" s="1162">
        <f t="shared" si="20"/>
        <v>37</v>
      </c>
      <c r="AA113" s="1162">
        <f t="shared" si="15"/>
        <v>37</v>
      </c>
      <c r="AD113" s="1163">
        <f t="shared" si="16"/>
        <v>0.25</v>
      </c>
      <c r="AE113" s="1164">
        <f t="shared" si="16"/>
        <v>0</v>
      </c>
      <c r="AF113" s="1165">
        <f t="shared" si="17"/>
        <v>0.16666666666666666</v>
      </c>
      <c r="AG113" s="1165">
        <f t="shared" si="17"/>
        <v>0</v>
      </c>
      <c r="AH113" s="1165">
        <f t="shared" si="18"/>
        <v>0.16666666666666666</v>
      </c>
      <c r="AI113" s="1165">
        <f t="shared" si="18"/>
        <v>1</v>
      </c>
      <c r="AJ113" s="1166">
        <f t="shared" si="19"/>
        <v>0.1891891891891892</v>
      </c>
    </row>
    <row r="114" spans="1:36">
      <c r="A114" s="738" t="s">
        <v>145</v>
      </c>
      <c r="B114" s="627" t="s">
        <v>146</v>
      </c>
      <c r="C114" s="666" t="s">
        <v>274</v>
      </c>
      <c r="E114" s="1160">
        <v>2</v>
      </c>
      <c r="F114" s="1161">
        <v>1</v>
      </c>
      <c r="G114" s="1161">
        <v>3</v>
      </c>
      <c r="H114" s="1161"/>
      <c r="I114" s="1161">
        <v>4</v>
      </c>
      <c r="J114" s="1161"/>
      <c r="K114" s="337">
        <f t="shared" si="12"/>
        <v>10</v>
      </c>
      <c r="L114" s="1160">
        <v>2</v>
      </c>
      <c r="M114" s="1161">
        <v>1</v>
      </c>
      <c r="N114" s="1161">
        <v>4</v>
      </c>
      <c r="O114" s="1161"/>
      <c r="P114" s="1161">
        <v>4</v>
      </c>
      <c r="Q114" s="1161">
        <v>1</v>
      </c>
      <c r="R114" s="337">
        <f t="shared" si="13"/>
        <v>12</v>
      </c>
      <c r="S114" s="1160"/>
      <c r="T114" s="1161"/>
      <c r="U114" s="1161"/>
      <c r="V114" s="1161"/>
      <c r="W114" s="1161"/>
      <c r="X114" s="1161"/>
      <c r="Y114" s="337">
        <f t="shared" si="14"/>
        <v>0</v>
      </c>
      <c r="Z114" s="1162">
        <f t="shared" si="20"/>
        <v>22</v>
      </c>
      <c r="AA114" s="1162">
        <f t="shared" si="15"/>
        <v>22</v>
      </c>
      <c r="AD114" s="1163">
        <f t="shared" si="16"/>
        <v>0.5</v>
      </c>
      <c r="AE114" s="1164">
        <f t="shared" si="16"/>
        <v>0.5</v>
      </c>
      <c r="AF114" s="1165">
        <f t="shared" si="17"/>
        <v>0.5</v>
      </c>
      <c r="AG114" s="1165">
        <f t="shared" si="17"/>
        <v>1</v>
      </c>
      <c r="AH114" s="1165">
        <f t="shared" si="18"/>
        <v>0.5714285714285714</v>
      </c>
      <c r="AI114" s="1165" t="str">
        <f t="shared" si="18"/>
        <v>NA</v>
      </c>
      <c r="AJ114" s="1166">
        <f t="shared" si="19"/>
        <v>0.54545454545454541</v>
      </c>
    </row>
    <row r="115" spans="1:36">
      <c r="A115" s="738" t="s">
        <v>159</v>
      </c>
      <c r="B115" s="627" t="s">
        <v>160</v>
      </c>
      <c r="C115" s="666" t="s">
        <v>271</v>
      </c>
      <c r="E115" s="1160">
        <v>69</v>
      </c>
      <c r="F115" s="1161">
        <v>10</v>
      </c>
      <c r="G115" s="1161">
        <v>81</v>
      </c>
      <c r="H115" s="1161">
        <v>3</v>
      </c>
      <c r="I115" s="1161">
        <v>109</v>
      </c>
      <c r="J115" s="1161">
        <v>24</v>
      </c>
      <c r="K115" s="337">
        <f t="shared" si="12"/>
        <v>296</v>
      </c>
      <c r="L115" s="1160">
        <v>40</v>
      </c>
      <c r="M115" s="1161">
        <v>7</v>
      </c>
      <c r="N115" s="1161">
        <v>26</v>
      </c>
      <c r="O115" s="1161"/>
      <c r="P115" s="1161">
        <v>24</v>
      </c>
      <c r="Q115" s="1161">
        <v>9</v>
      </c>
      <c r="R115" s="337">
        <f t="shared" si="13"/>
        <v>106</v>
      </c>
      <c r="S115" s="1160">
        <v>1</v>
      </c>
      <c r="T115" s="1161"/>
      <c r="U115" s="1161"/>
      <c r="V115" s="1161"/>
      <c r="W115" s="1161">
        <v>3</v>
      </c>
      <c r="X115" s="1161"/>
      <c r="Y115" s="337">
        <f t="shared" si="14"/>
        <v>4</v>
      </c>
      <c r="Z115" s="1162">
        <f t="shared" si="20"/>
        <v>406</v>
      </c>
      <c r="AA115" s="1162">
        <f t="shared" si="15"/>
        <v>402</v>
      </c>
      <c r="AD115" s="1163">
        <f t="shared" si="16"/>
        <v>0.3669724770642202</v>
      </c>
      <c r="AE115" s="1164">
        <f t="shared" si="16"/>
        <v>0.41176470588235292</v>
      </c>
      <c r="AF115" s="1165">
        <f t="shared" si="17"/>
        <v>0.18045112781954886</v>
      </c>
      <c r="AG115" s="1165">
        <f t="shared" si="17"/>
        <v>0.27272727272727271</v>
      </c>
      <c r="AH115" s="1165">
        <f t="shared" si="18"/>
        <v>0.24299065420560748</v>
      </c>
      <c r="AI115" s="1165">
        <f t="shared" si="18"/>
        <v>0</v>
      </c>
      <c r="AJ115" s="1166">
        <f t="shared" si="19"/>
        <v>0.26368159203980102</v>
      </c>
    </row>
    <row r="116" spans="1:36">
      <c r="A116" s="738" t="s">
        <v>161</v>
      </c>
      <c r="B116" s="627" t="s">
        <v>162</v>
      </c>
      <c r="C116" s="666" t="s">
        <v>271</v>
      </c>
      <c r="E116" s="1160">
        <v>142</v>
      </c>
      <c r="F116" s="1161">
        <v>24</v>
      </c>
      <c r="G116" s="1161">
        <v>73</v>
      </c>
      <c r="H116" s="1161">
        <v>3</v>
      </c>
      <c r="I116" s="1161">
        <v>64</v>
      </c>
      <c r="J116" s="1161">
        <v>14</v>
      </c>
      <c r="K116" s="337">
        <f t="shared" si="12"/>
        <v>320</v>
      </c>
      <c r="L116" s="1160">
        <v>105</v>
      </c>
      <c r="M116" s="1161">
        <v>9</v>
      </c>
      <c r="N116" s="1161">
        <v>88</v>
      </c>
      <c r="O116" s="1161">
        <v>7</v>
      </c>
      <c r="P116" s="1161">
        <v>93</v>
      </c>
      <c r="Q116" s="1161">
        <v>7</v>
      </c>
      <c r="R116" s="337">
        <f t="shared" si="13"/>
        <v>309</v>
      </c>
      <c r="S116" s="1160">
        <v>1</v>
      </c>
      <c r="T116" s="1161"/>
      <c r="U116" s="1161">
        <v>14</v>
      </c>
      <c r="V116" s="1161"/>
      <c r="W116" s="1161">
        <v>35</v>
      </c>
      <c r="X116" s="1161">
        <v>4</v>
      </c>
      <c r="Y116" s="337">
        <f t="shared" si="14"/>
        <v>54</v>
      </c>
      <c r="Z116" s="1162">
        <f t="shared" si="20"/>
        <v>683</v>
      </c>
      <c r="AA116" s="1162">
        <f t="shared" si="15"/>
        <v>629</v>
      </c>
      <c r="AD116" s="1163">
        <f t="shared" si="16"/>
        <v>0.4251012145748988</v>
      </c>
      <c r="AE116" s="1164">
        <f t="shared" si="16"/>
        <v>0.27272727272727271</v>
      </c>
      <c r="AF116" s="1165">
        <f t="shared" si="17"/>
        <v>0.59235668789808915</v>
      </c>
      <c r="AG116" s="1165">
        <f t="shared" si="17"/>
        <v>0.33333333333333331</v>
      </c>
      <c r="AH116" s="1165">
        <f t="shared" si="18"/>
        <v>0.54658385093167705</v>
      </c>
      <c r="AI116" s="1165">
        <f t="shared" si="18"/>
        <v>0.7</v>
      </c>
      <c r="AJ116" s="1166">
        <f t="shared" si="19"/>
        <v>0.49125596184419712</v>
      </c>
    </row>
    <row r="117" spans="1:36">
      <c r="A117" s="738" t="s">
        <v>167</v>
      </c>
      <c r="B117" s="627" t="s">
        <v>168</v>
      </c>
      <c r="C117" s="666" t="s">
        <v>275</v>
      </c>
      <c r="E117" s="1160">
        <v>5</v>
      </c>
      <c r="F117" s="1161">
        <v>1</v>
      </c>
      <c r="G117" s="1161">
        <v>4</v>
      </c>
      <c r="H117" s="1161"/>
      <c r="I117" s="1161">
        <v>5</v>
      </c>
      <c r="J117" s="1161"/>
      <c r="K117" s="337">
        <f t="shared" si="12"/>
        <v>15</v>
      </c>
      <c r="L117" s="1160"/>
      <c r="M117" s="1161"/>
      <c r="N117" s="1161"/>
      <c r="O117" s="1161"/>
      <c r="P117" s="1161"/>
      <c r="Q117" s="1161"/>
      <c r="R117" s="337">
        <f t="shared" si="13"/>
        <v>0</v>
      </c>
      <c r="S117" s="1160"/>
      <c r="T117" s="1161"/>
      <c r="U117" s="1161"/>
      <c r="V117" s="1161"/>
      <c r="W117" s="1161"/>
      <c r="X117" s="1161"/>
      <c r="Y117" s="337">
        <f t="shared" si="14"/>
        <v>0</v>
      </c>
      <c r="Z117" s="1162">
        <f t="shared" si="20"/>
        <v>15</v>
      </c>
      <c r="AA117" s="1162">
        <f t="shared" si="15"/>
        <v>15</v>
      </c>
      <c r="AD117" s="1163">
        <f t="shared" si="16"/>
        <v>0</v>
      </c>
      <c r="AE117" s="1164">
        <f t="shared" si="16"/>
        <v>0</v>
      </c>
      <c r="AF117" s="1165">
        <f t="shared" si="17"/>
        <v>0</v>
      </c>
      <c r="AG117" s="1165" t="str">
        <f t="shared" si="17"/>
        <v>NA</v>
      </c>
      <c r="AH117" s="1165">
        <f t="shared" si="18"/>
        <v>0</v>
      </c>
      <c r="AI117" s="1165" t="str">
        <f t="shared" si="18"/>
        <v>NA</v>
      </c>
      <c r="AJ117" s="1166">
        <f t="shared" si="19"/>
        <v>0</v>
      </c>
    </row>
    <row r="118" spans="1:36">
      <c r="A118" s="738" t="s">
        <v>177</v>
      </c>
      <c r="B118" s="627" t="s">
        <v>178</v>
      </c>
      <c r="C118" s="666" t="s">
        <v>273</v>
      </c>
      <c r="E118" s="1160">
        <v>34</v>
      </c>
      <c r="F118" s="1161">
        <v>6</v>
      </c>
      <c r="G118" s="1161">
        <v>25</v>
      </c>
      <c r="H118" s="1161"/>
      <c r="I118" s="1161">
        <v>34</v>
      </c>
      <c r="J118" s="1161">
        <v>6</v>
      </c>
      <c r="K118" s="337">
        <f t="shared" si="12"/>
        <v>105</v>
      </c>
      <c r="L118" s="1160">
        <v>16</v>
      </c>
      <c r="M118" s="1161">
        <v>2</v>
      </c>
      <c r="N118" s="1161">
        <v>8</v>
      </c>
      <c r="O118" s="1161"/>
      <c r="P118" s="1161">
        <v>19</v>
      </c>
      <c r="Q118" s="1161">
        <v>2</v>
      </c>
      <c r="R118" s="337">
        <f t="shared" si="13"/>
        <v>47</v>
      </c>
      <c r="S118" s="1160"/>
      <c r="T118" s="1161"/>
      <c r="U118" s="1161"/>
      <c r="V118" s="1161"/>
      <c r="W118" s="1161"/>
      <c r="X118" s="1161"/>
      <c r="Y118" s="337">
        <f t="shared" si="14"/>
        <v>0</v>
      </c>
      <c r="Z118" s="1162">
        <f t="shared" si="20"/>
        <v>152</v>
      </c>
      <c r="AA118" s="1162">
        <f t="shared" si="15"/>
        <v>152</v>
      </c>
      <c r="AD118" s="1163">
        <f t="shared" si="16"/>
        <v>0.32</v>
      </c>
      <c r="AE118" s="1164">
        <f t="shared" si="16"/>
        <v>0.25</v>
      </c>
      <c r="AF118" s="1165">
        <f t="shared" si="17"/>
        <v>0.35849056603773582</v>
      </c>
      <c r="AG118" s="1165">
        <f t="shared" si="17"/>
        <v>0.25</v>
      </c>
      <c r="AH118" s="1165">
        <f t="shared" si="18"/>
        <v>0.24242424242424243</v>
      </c>
      <c r="AI118" s="1165" t="str">
        <f t="shared" si="18"/>
        <v>NA</v>
      </c>
      <c r="AJ118" s="1166">
        <f t="shared" si="19"/>
        <v>0.30921052631578949</v>
      </c>
    </row>
    <row r="119" spans="1:36">
      <c r="A119" s="738" t="s">
        <v>181</v>
      </c>
      <c r="B119" s="627" t="s">
        <v>182</v>
      </c>
      <c r="C119" s="666" t="s">
        <v>271</v>
      </c>
      <c r="E119" s="1160">
        <v>74</v>
      </c>
      <c r="F119" s="1161">
        <v>11</v>
      </c>
      <c r="G119" s="1161">
        <v>51</v>
      </c>
      <c r="H119" s="1161"/>
      <c r="I119" s="1161">
        <v>64</v>
      </c>
      <c r="J119" s="1161">
        <v>11</v>
      </c>
      <c r="K119" s="337">
        <f t="shared" si="12"/>
        <v>211</v>
      </c>
      <c r="L119" s="1160">
        <v>16</v>
      </c>
      <c r="M119" s="1161">
        <v>1</v>
      </c>
      <c r="N119" s="1161">
        <v>16</v>
      </c>
      <c r="O119" s="1161"/>
      <c r="P119" s="1161">
        <v>25</v>
      </c>
      <c r="Q119" s="1161">
        <v>7</v>
      </c>
      <c r="R119" s="337">
        <f t="shared" si="13"/>
        <v>65</v>
      </c>
      <c r="S119" s="1160"/>
      <c r="T119" s="1161"/>
      <c r="U119" s="1161"/>
      <c r="V119" s="1161"/>
      <c r="W119" s="1161"/>
      <c r="X119" s="1161"/>
      <c r="Y119" s="337">
        <f t="shared" si="14"/>
        <v>0</v>
      </c>
      <c r="Z119" s="1162">
        <f t="shared" si="20"/>
        <v>276</v>
      </c>
      <c r="AA119" s="1162">
        <f t="shared" si="15"/>
        <v>276</v>
      </c>
      <c r="AD119" s="1163">
        <f t="shared" si="16"/>
        <v>0.17777777777777778</v>
      </c>
      <c r="AE119" s="1164">
        <f t="shared" si="16"/>
        <v>8.3333333333333329E-2</v>
      </c>
      <c r="AF119" s="1165">
        <f t="shared" si="17"/>
        <v>0.2808988764044944</v>
      </c>
      <c r="AG119" s="1165">
        <f t="shared" si="17"/>
        <v>0.3888888888888889</v>
      </c>
      <c r="AH119" s="1165">
        <f t="shared" si="18"/>
        <v>0.23880597014925373</v>
      </c>
      <c r="AI119" s="1165" t="str">
        <f t="shared" si="18"/>
        <v>NA</v>
      </c>
      <c r="AJ119" s="1166">
        <f t="shared" si="19"/>
        <v>0.23550724637681159</v>
      </c>
    </row>
    <row r="120" spans="1:36">
      <c r="A120" s="738" t="s">
        <v>193</v>
      </c>
      <c r="B120" s="627" t="s">
        <v>194</v>
      </c>
      <c r="C120" s="666" t="s">
        <v>275</v>
      </c>
      <c r="E120" s="1160">
        <v>6</v>
      </c>
      <c r="F120" s="1161">
        <v>1</v>
      </c>
      <c r="G120" s="1161">
        <v>3</v>
      </c>
      <c r="H120" s="1161"/>
      <c r="I120" s="1161">
        <v>4</v>
      </c>
      <c r="J120" s="1161"/>
      <c r="K120" s="337">
        <f t="shared" si="12"/>
        <v>14</v>
      </c>
      <c r="L120" s="1160">
        <v>3</v>
      </c>
      <c r="M120" s="1161"/>
      <c r="N120" s="1161">
        <v>1</v>
      </c>
      <c r="O120" s="1161"/>
      <c r="P120" s="1161">
        <v>1</v>
      </c>
      <c r="Q120" s="1161"/>
      <c r="R120" s="337">
        <f t="shared" si="13"/>
        <v>5</v>
      </c>
      <c r="S120" s="1160"/>
      <c r="T120" s="1161"/>
      <c r="U120" s="1161"/>
      <c r="V120" s="1161"/>
      <c r="W120" s="1161"/>
      <c r="X120" s="1161"/>
      <c r="Y120" s="337">
        <f t="shared" si="14"/>
        <v>0</v>
      </c>
      <c r="Z120" s="1162">
        <f t="shared" si="20"/>
        <v>19</v>
      </c>
      <c r="AA120" s="1162">
        <f t="shared" si="15"/>
        <v>19</v>
      </c>
      <c r="AD120" s="1163">
        <f t="shared" si="16"/>
        <v>0.33333333333333331</v>
      </c>
      <c r="AE120" s="1164">
        <f t="shared" si="16"/>
        <v>0</v>
      </c>
      <c r="AF120" s="1165">
        <f t="shared" si="17"/>
        <v>0.2</v>
      </c>
      <c r="AG120" s="1165" t="str">
        <f t="shared" si="17"/>
        <v>NA</v>
      </c>
      <c r="AH120" s="1165">
        <f t="shared" si="18"/>
        <v>0.25</v>
      </c>
      <c r="AI120" s="1165" t="str">
        <f t="shared" si="18"/>
        <v>NA</v>
      </c>
      <c r="AJ120" s="1166">
        <f t="shared" si="19"/>
        <v>0.26315789473684209</v>
      </c>
    </row>
    <row r="121" spans="1:36">
      <c r="A121" s="738" t="s">
        <v>197</v>
      </c>
      <c r="B121" s="627" t="s">
        <v>334</v>
      </c>
      <c r="C121" s="666" t="s">
        <v>273</v>
      </c>
      <c r="E121" s="1160">
        <v>118</v>
      </c>
      <c r="F121" s="1161">
        <v>36</v>
      </c>
      <c r="G121" s="1161">
        <v>72</v>
      </c>
      <c r="H121" s="1161">
        <v>13</v>
      </c>
      <c r="I121" s="1161">
        <v>163</v>
      </c>
      <c r="J121" s="1161">
        <v>27</v>
      </c>
      <c r="K121" s="337">
        <f t="shared" si="12"/>
        <v>429</v>
      </c>
      <c r="L121" s="1160">
        <v>18</v>
      </c>
      <c r="M121" s="1161">
        <v>3</v>
      </c>
      <c r="N121" s="1161">
        <v>27</v>
      </c>
      <c r="O121" s="1161">
        <v>7</v>
      </c>
      <c r="P121" s="1161">
        <v>38</v>
      </c>
      <c r="Q121" s="1161">
        <v>4</v>
      </c>
      <c r="R121" s="337">
        <f t="shared" si="13"/>
        <v>97</v>
      </c>
      <c r="S121" s="1160"/>
      <c r="T121" s="1161"/>
      <c r="U121" s="1161"/>
      <c r="V121" s="1161"/>
      <c r="W121" s="1161"/>
      <c r="X121" s="1161"/>
      <c r="Y121" s="337">
        <f t="shared" si="14"/>
        <v>0</v>
      </c>
      <c r="Z121" s="1162">
        <f t="shared" si="20"/>
        <v>526</v>
      </c>
      <c r="AA121" s="1162">
        <f t="shared" si="15"/>
        <v>526</v>
      </c>
      <c r="AD121" s="1163">
        <f t="shared" si="16"/>
        <v>0.13235294117647059</v>
      </c>
      <c r="AE121" s="1164">
        <f t="shared" si="16"/>
        <v>7.6923076923076927E-2</v>
      </c>
      <c r="AF121" s="1165">
        <f t="shared" si="17"/>
        <v>0.1890547263681592</v>
      </c>
      <c r="AG121" s="1165">
        <f t="shared" si="17"/>
        <v>0.12903225806451613</v>
      </c>
      <c r="AH121" s="1165">
        <f t="shared" si="18"/>
        <v>0.27272727272727271</v>
      </c>
      <c r="AI121" s="1165">
        <f t="shared" si="18"/>
        <v>0.35</v>
      </c>
      <c r="AJ121" s="1166">
        <f t="shared" si="19"/>
        <v>0.18441064638783269</v>
      </c>
    </row>
    <row r="122" spans="1:36">
      <c r="A122" s="738" t="s">
        <v>201</v>
      </c>
      <c r="B122" s="627" t="s">
        <v>335</v>
      </c>
      <c r="C122" s="666" t="s">
        <v>272</v>
      </c>
      <c r="E122" s="1160">
        <v>71</v>
      </c>
      <c r="F122" s="1161">
        <v>11</v>
      </c>
      <c r="G122" s="1161">
        <v>38</v>
      </c>
      <c r="H122" s="1161">
        <v>2</v>
      </c>
      <c r="I122" s="1161">
        <v>73</v>
      </c>
      <c r="J122" s="1161">
        <v>18</v>
      </c>
      <c r="K122" s="337">
        <f t="shared" si="12"/>
        <v>213</v>
      </c>
      <c r="L122" s="1160">
        <v>9</v>
      </c>
      <c r="M122" s="1161"/>
      <c r="N122" s="1161">
        <v>6</v>
      </c>
      <c r="O122" s="1161">
        <v>6</v>
      </c>
      <c r="P122" s="1161">
        <v>21</v>
      </c>
      <c r="Q122" s="1161"/>
      <c r="R122" s="337">
        <f t="shared" si="13"/>
        <v>42</v>
      </c>
      <c r="S122" s="1160"/>
      <c r="T122" s="1161"/>
      <c r="U122" s="1161"/>
      <c r="V122" s="1161"/>
      <c r="W122" s="1161">
        <v>2</v>
      </c>
      <c r="X122" s="1161"/>
      <c r="Y122" s="337">
        <f t="shared" si="14"/>
        <v>2</v>
      </c>
      <c r="Z122" s="1162">
        <f t="shared" si="20"/>
        <v>257</v>
      </c>
      <c r="AA122" s="1162">
        <f t="shared" si="15"/>
        <v>255</v>
      </c>
      <c r="AD122" s="1163">
        <f t="shared" si="16"/>
        <v>0.1125</v>
      </c>
      <c r="AE122" s="1164">
        <f t="shared" si="16"/>
        <v>0</v>
      </c>
      <c r="AF122" s="1165">
        <f t="shared" si="17"/>
        <v>0.22340425531914893</v>
      </c>
      <c r="AG122" s="1165">
        <f t="shared" si="17"/>
        <v>0</v>
      </c>
      <c r="AH122" s="1165">
        <f t="shared" si="18"/>
        <v>0.13636363636363635</v>
      </c>
      <c r="AI122" s="1165">
        <f t="shared" si="18"/>
        <v>0.75</v>
      </c>
      <c r="AJ122" s="1166">
        <f t="shared" si="19"/>
        <v>0.16470588235294117</v>
      </c>
    </row>
    <row r="123" spans="1:36">
      <c r="A123" s="738" t="s">
        <v>223</v>
      </c>
      <c r="B123" s="627" t="s">
        <v>224</v>
      </c>
      <c r="C123" s="666" t="s">
        <v>271</v>
      </c>
      <c r="E123" s="1160">
        <v>50</v>
      </c>
      <c r="F123" s="1161">
        <v>6</v>
      </c>
      <c r="G123" s="1161">
        <v>17</v>
      </c>
      <c r="H123" s="1161">
        <v>2</v>
      </c>
      <c r="I123" s="1161">
        <v>28</v>
      </c>
      <c r="J123" s="1161">
        <v>7</v>
      </c>
      <c r="K123" s="337">
        <f t="shared" si="12"/>
        <v>110</v>
      </c>
      <c r="L123" s="1160">
        <v>3</v>
      </c>
      <c r="M123" s="1161"/>
      <c r="N123" s="1161">
        <v>2</v>
      </c>
      <c r="O123" s="1161">
        <v>1</v>
      </c>
      <c r="P123" s="1161">
        <v>5</v>
      </c>
      <c r="Q123" s="1161"/>
      <c r="R123" s="337">
        <f t="shared" si="13"/>
        <v>11</v>
      </c>
      <c r="S123" s="1160"/>
      <c r="T123" s="1161"/>
      <c r="U123" s="1161"/>
      <c r="V123" s="1161"/>
      <c r="W123" s="1161"/>
      <c r="X123" s="1161"/>
      <c r="Y123" s="337">
        <f t="shared" si="14"/>
        <v>0</v>
      </c>
      <c r="Z123" s="1162">
        <f t="shared" si="20"/>
        <v>121</v>
      </c>
      <c r="AA123" s="1162">
        <f t="shared" si="15"/>
        <v>121</v>
      </c>
      <c r="AD123" s="1163">
        <f t="shared" si="16"/>
        <v>5.6603773584905662E-2</v>
      </c>
      <c r="AE123" s="1164">
        <f t="shared" si="16"/>
        <v>0</v>
      </c>
      <c r="AF123" s="1165">
        <f t="shared" si="17"/>
        <v>0.15151515151515152</v>
      </c>
      <c r="AG123" s="1165">
        <f t="shared" si="17"/>
        <v>0</v>
      </c>
      <c r="AH123" s="1165">
        <f t="shared" si="18"/>
        <v>0.10526315789473684</v>
      </c>
      <c r="AI123" s="1165">
        <f t="shared" si="18"/>
        <v>0.33333333333333331</v>
      </c>
      <c r="AJ123" s="1166">
        <f t="shared" si="19"/>
        <v>9.0909090909090912E-2</v>
      </c>
    </row>
    <row r="124" spans="1:36">
      <c r="A124" s="738" t="s">
        <v>231</v>
      </c>
      <c r="B124" s="627" t="s">
        <v>232</v>
      </c>
      <c r="C124" s="666" t="s">
        <v>271</v>
      </c>
      <c r="E124" s="1160">
        <v>104</v>
      </c>
      <c r="F124" s="1161">
        <v>13</v>
      </c>
      <c r="G124" s="1161">
        <v>50</v>
      </c>
      <c r="H124" s="1161"/>
      <c r="I124" s="1161">
        <v>124</v>
      </c>
      <c r="J124" s="1161">
        <v>23</v>
      </c>
      <c r="K124" s="337">
        <f t="shared" si="12"/>
        <v>314</v>
      </c>
      <c r="L124" s="1160">
        <v>11</v>
      </c>
      <c r="M124" s="1161">
        <v>3</v>
      </c>
      <c r="N124" s="1161">
        <v>12</v>
      </c>
      <c r="O124" s="1161"/>
      <c r="P124" s="1161">
        <v>30</v>
      </c>
      <c r="Q124" s="1161">
        <v>2</v>
      </c>
      <c r="R124" s="337">
        <f t="shared" si="13"/>
        <v>58</v>
      </c>
      <c r="S124" s="1160"/>
      <c r="T124" s="1161"/>
      <c r="U124" s="1161"/>
      <c r="V124" s="1161"/>
      <c r="W124" s="1161"/>
      <c r="X124" s="1161"/>
      <c r="Y124" s="337">
        <f t="shared" si="14"/>
        <v>0</v>
      </c>
      <c r="Z124" s="1162">
        <f t="shared" si="20"/>
        <v>372</v>
      </c>
      <c r="AA124" s="1162">
        <f t="shared" si="15"/>
        <v>372</v>
      </c>
      <c r="AD124" s="1163">
        <f t="shared" si="16"/>
        <v>9.5652173913043481E-2</v>
      </c>
      <c r="AE124" s="1164">
        <f t="shared" si="16"/>
        <v>0.1875</v>
      </c>
      <c r="AF124" s="1165">
        <f t="shared" si="17"/>
        <v>0.19480519480519481</v>
      </c>
      <c r="AG124" s="1165">
        <f t="shared" si="17"/>
        <v>0.08</v>
      </c>
      <c r="AH124" s="1165">
        <f t="shared" si="18"/>
        <v>0.19354838709677419</v>
      </c>
      <c r="AI124" s="1165" t="str">
        <f t="shared" si="18"/>
        <v>NA</v>
      </c>
      <c r="AJ124" s="1166">
        <f t="shared" si="19"/>
        <v>0.15591397849462366</v>
      </c>
    </row>
    <row r="125" spans="1:36">
      <c r="A125" s="738" t="s">
        <v>239</v>
      </c>
      <c r="B125" s="627" t="s">
        <v>240</v>
      </c>
      <c r="C125" s="666" t="s">
        <v>271</v>
      </c>
      <c r="E125" s="1160">
        <v>4</v>
      </c>
      <c r="F125" s="1161"/>
      <c r="G125" s="1161">
        <v>4</v>
      </c>
      <c r="H125" s="1161"/>
      <c r="I125" s="1161">
        <v>4</v>
      </c>
      <c r="J125" s="1161">
        <v>1</v>
      </c>
      <c r="K125" s="337">
        <f t="shared" si="12"/>
        <v>13</v>
      </c>
      <c r="L125" s="1160">
        <v>1</v>
      </c>
      <c r="M125" s="1161"/>
      <c r="N125" s="1161"/>
      <c r="O125" s="1161"/>
      <c r="P125" s="1161">
        <v>1</v>
      </c>
      <c r="Q125" s="1161"/>
      <c r="R125" s="337">
        <f t="shared" si="13"/>
        <v>2</v>
      </c>
      <c r="S125" s="1160"/>
      <c r="T125" s="1161"/>
      <c r="U125" s="1161"/>
      <c r="V125" s="1161"/>
      <c r="W125" s="1161"/>
      <c r="X125" s="1161"/>
      <c r="Y125" s="337">
        <f t="shared" si="14"/>
        <v>0</v>
      </c>
      <c r="Z125" s="1162">
        <f t="shared" si="20"/>
        <v>15</v>
      </c>
      <c r="AA125" s="1162">
        <f t="shared" si="15"/>
        <v>15</v>
      </c>
      <c r="AD125" s="1163">
        <f t="shared" si="16"/>
        <v>0.2</v>
      </c>
      <c r="AE125" s="1164" t="str">
        <f t="shared" si="16"/>
        <v>NA</v>
      </c>
      <c r="AF125" s="1165">
        <f t="shared" si="17"/>
        <v>0.2</v>
      </c>
      <c r="AG125" s="1165">
        <f t="shared" si="17"/>
        <v>0</v>
      </c>
      <c r="AH125" s="1165">
        <f t="shared" si="18"/>
        <v>0</v>
      </c>
      <c r="AI125" s="1165" t="str">
        <f t="shared" si="18"/>
        <v>NA</v>
      </c>
      <c r="AJ125" s="1166">
        <f t="shared" si="19"/>
        <v>0.13333333333333333</v>
      </c>
    </row>
    <row r="126" spans="1:36">
      <c r="A126" s="1168" t="s">
        <v>241</v>
      </c>
      <c r="B126" s="1169" t="s">
        <v>242</v>
      </c>
      <c r="C126" s="1170" t="s">
        <v>274</v>
      </c>
      <c r="E126" s="1397">
        <v>15</v>
      </c>
      <c r="F126" s="1398">
        <v>2</v>
      </c>
      <c r="G126" s="1398">
        <v>9</v>
      </c>
      <c r="H126" s="1398"/>
      <c r="I126" s="1398">
        <v>14</v>
      </c>
      <c r="J126" s="1398">
        <v>3</v>
      </c>
      <c r="K126" s="1399">
        <f t="shared" si="12"/>
        <v>43</v>
      </c>
      <c r="L126" s="1397"/>
      <c r="M126" s="1398"/>
      <c r="N126" s="1398">
        <v>1</v>
      </c>
      <c r="O126" s="1398">
        <v>1</v>
      </c>
      <c r="P126" s="1398">
        <v>2</v>
      </c>
      <c r="Q126" s="1398"/>
      <c r="R126" s="1399">
        <f t="shared" si="13"/>
        <v>4</v>
      </c>
      <c r="S126" s="1397"/>
      <c r="T126" s="1398"/>
      <c r="U126" s="1398"/>
      <c r="V126" s="1398"/>
      <c r="W126" s="1398"/>
      <c r="X126" s="1398"/>
      <c r="Y126" s="1399">
        <f t="shared" si="14"/>
        <v>0</v>
      </c>
      <c r="Z126" s="1400">
        <f t="shared" si="20"/>
        <v>47</v>
      </c>
      <c r="AA126" s="1400">
        <f t="shared" si="15"/>
        <v>47</v>
      </c>
      <c r="AD126" s="1401">
        <f t="shared" si="16"/>
        <v>0</v>
      </c>
      <c r="AE126" s="1402">
        <f t="shared" si="16"/>
        <v>0</v>
      </c>
      <c r="AF126" s="1403">
        <f t="shared" si="17"/>
        <v>0.125</v>
      </c>
      <c r="AG126" s="1403">
        <f t="shared" si="17"/>
        <v>0</v>
      </c>
      <c r="AH126" s="1403">
        <f t="shared" si="18"/>
        <v>0.1</v>
      </c>
      <c r="AI126" s="1403">
        <f t="shared" si="18"/>
        <v>1</v>
      </c>
      <c r="AJ126" s="1404">
        <f t="shared" si="19"/>
        <v>8.5106382978723402E-2</v>
      </c>
    </row>
    <row r="127" spans="1:36">
      <c r="A127" s="720"/>
      <c r="B127" s="720"/>
      <c r="C127" s="720"/>
    </row>
    <row r="128" spans="1:36" ht="16.5" customHeight="1">
      <c r="A128" s="1478" t="s">
        <v>1151</v>
      </c>
      <c r="B128" s="720"/>
      <c r="C128" s="720"/>
      <c r="D128" s="720"/>
      <c r="E128" s="720"/>
      <c r="F128" s="720"/>
    </row>
    <row r="129" spans="1:6">
      <c r="A129" s="1172" t="s">
        <v>1136</v>
      </c>
      <c r="B129" s="1172"/>
      <c r="C129" s="1172"/>
      <c r="D129" s="1172"/>
      <c r="E129" s="1172"/>
      <c r="F129" s="1172"/>
    </row>
    <row r="130" spans="1:6">
      <c r="A130" s="1171" t="s">
        <v>863</v>
      </c>
      <c r="B130" s="720"/>
      <c r="C130" s="720"/>
      <c r="D130" s="720"/>
      <c r="E130" s="720"/>
      <c r="F130" s="720"/>
    </row>
    <row r="131" spans="1:6">
      <c r="A131" s="1171"/>
      <c r="B131" s="720"/>
      <c r="C131" s="720"/>
      <c r="D131" s="720"/>
      <c r="E131" s="720"/>
      <c r="F131" s="720"/>
    </row>
    <row r="132" spans="1:6">
      <c r="A132" s="280" t="s">
        <v>249</v>
      </c>
      <c r="B132" s="1173"/>
      <c r="C132" s="1173"/>
    </row>
    <row r="133" spans="1:6">
      <c r="A133" s="280" t="s">
        <v>250</v>
      </c>
      <c r="B133" s="544" t="s">
        <v>251</v>
      </c>
      <c r="C133" s="1174"/>
    </row>
  </sheetData>
  <autoFilter ref="A5:C5"/>
  <mergeCells count="6">
    <mergeCell ref="AD4:AJ4"/>
    <mergeCell ref="E4:K4"/>
    <mergeCell ref="L4:R4"/>
    <mergeCell ref="S4:Y4"/>
    <mergeCell ref="Z4:Z5"/>
    <mergeCell ref="AA4:AA5"/>
  </mergeCells>
  <hyperlinks>
    <hyperlink ref="B133" r:id="rId1"/>
  </hyperlink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D132"/>
  <sheetViews>
    <sheetView workbookViewId="0">
      <pane ySplit="3" topLeftCell="A4" activePane="bottomLeft" state="frozen"/>
      <selection pane="bottomLeft" activeCell="B3" sqref="B3"/>
    </sheetView>
  </sheetViews>
  <sheetFormatPr defaultRowHeight="15.75"/>
  <cols>
    <col min="1" max="1" width="14.75" style="280" customWidth="1"/>
    <col min="2" max="2" width="33.75" style="280" customWidth="1"/>
    <col min="3" max="3" width="18.25" style="280" customWidth="1"/>
    <col min="4" max="4" width="16.125" style="280" customWidth="1"/>
    <col min="5" max="16384" width="9" style="280"/>
  </cols>
  <sheetData>
    <row r="1" spans="1:4">
      <c r="A1" s="64" t="s">
        <v>868</v>
      </c>
    </row>
    <row r="2" spans="1:4">
      <c r="A2" s="64"/>
    </row>
    <row r="3" spans="1:4">
      <c r="A3" s="64" t="s">
        <v>4</v>
      </c>
      <c r="B3" s="64" t="s">
        <v>5</v>
      </c>
      <c r="C3" s="64" t="s">
        <v>252</v>
      </c>
      <c r="D3" s="64" t="s">
        <v>786</v>
      </c>
    </row>
    <row r="4" spans="1:4">
      <c r="A4" s="280" t="s">
        <v>10</v>
      </c>
      <c r="B4" s="280" t="s">
        <v>11</v>
      </c>
      <c r="C4" s="280" t="s">
        <v>271</v>
      </c>
      <c r="D4" s="280" t="s">
        <v>954</v>
      </c>
    </row>
    <row r="5" spans="1:4">
      <c r="A5" s="280" t="s">
        <v>12</v>
      </c>
      <c r="B5" s="280" t="s">
        <v>13</v>
      </c>
      <c r="C5" s="280" t="s">
        <v>272</v>
      </c>
      <c r="D5" s="280" t="s">
        <v>954</v>
      </c>
    </row>
    <row r="6" spans="1:4">
      <c r="A6" s="280" t="s">
        <v>16</v>
      </c>
      <c r="B6" s="280" t="s">
        <v>787</v>
      </c>
      <c r="C6" s="280" t="s">
        <v>272</v>
      </c>
      <c r="D6" s="280" t="s">
        <v>955</v>
      </c>
    </row>
    <row r="7" spans="1:4">
      <c r="A7" s="280" t="s">
        <v>18</v>
      </c>
      <c r="B7" s="280" t="s">
        <v>19</v>
      </c>
      <c r="C7" s="280" t="s">
        <v>273</v>
      </c>
      <c r="D7" s="280" t="s">
        <v>955</v>
      </c>
    </row>
    <row r="8" spans="1:4">
      <c r="A8" s="280" t="s">
        <v>20</v>
      </c>
      <c r="B8" s="280" t="s">
        <v>21</v>
      </c>
      <c r="C8" s="280" t="s">
        <v>272</v>
      </c>
      <c r="D8" s="280" t="s">
        <v>955</v>
      </c>
    </row>
    <row r="9" spans="1:4">
      <c r="A9" s="280" t="s">
        <v>22</v>
      </c>
      <c r="B9" s="280" t="s">
        <v>23</v>
      </c>
      <c r="C9" s="280" t="s">
        <v>272</v>
      </c>
      <c r="D9" s="280" t="s">
        <v>955</v>
      </c>
    </row>
    <row r="10" spans="1:4">
      <c r="A10" s="280" t="s">
        <v>24</v>
      </c>
      <c r="B10" s="280" t="s">
        <v>25</v>
      </c>
      <c r="C10" s="280" t="s">
        <v>274</v>
      </c>
      <c r="D10" s="280" t="s">
        <v>954</v>
      </c>
    </row>
    <row r="11" spans="1:4">
      <c r="A11" s="280" t="s">
        <v>26</v>
      </c>
      <c r="B11" s="280" t="s">
        <v>908</v>
      </c>
      <c r="C11" s="280" t="s">
        <v>272</v>
      </c>
      <c r="D11" s="280" t="s">
        <v>954</v>
      </c>
    </row>
    <row r="12" spans="1:4">
      <c r="A12" s="280" t="s">
        <v>27</v>
      </c>
      <c r="B12" s="280" t="s">
        <v>28</v>
      </c>
      <c r="C12" s="280" t="s">
        <v>272</v>
      </c>
      <c r="D12" s="280" t="s">
        <v>955</v>
      </c>
    </row>
    <row r="13" spans="1:4">
      <c r="A13" s="280" t="s">
        <v>29</v>
      </c>
      <c r="B13" s="280" t="s">
        <v>788</v>
      </c>
      <c r="C13" s="280" t="s">
        <v>272</v>
      </c>
      <c r="D13" s="280" t="s">
        <v>955</v>
      </c>
    </row>
    <row r="14" spans="1:4">
      <c r="A14" s="280" t="s">
        <v>31</v>
      </c>
      <c r="B14" s="280" t="s">
        <v>32</v>
      </c>
      <c r="C14" s="280" t="s">
        <v>275</v>
      </c>
      <c r="D14" s="280" t="s">
        <v>955</v>
      </c>
    </row>
    <row r="15" spans="1:4">
      <c r="A15" s="280" t="s">
        <v>33</v>
      </c>
      <c r="B15" s="280" t="s">
        <v>34</v>
      </c>
      <c r="C15" s="280" t="s">
        <v>272</v>
      </c>
      <c r="D15" s="280" t="s">
        <v>955</v>
      </c>
    </row>
    <row r="16" spans="1:4">
      <c r="A16" s="280" t="s">
        <v>37</v>
      </c>
      <c r="B16" s="280" t="s">
        <v>38</v>
      </c>
      <c r="C16" s="280" t="s">
        <v>271</v>
      </c>
      <c r="D16" s="280" t="s">
        <v>955</v>
      </c>
    </row>
    <row r="17" spans="1:4">
      <c r="A17" s="280" t="s">
        <v>39</v>
      </c>
      <c r="B17" s="280" t="s">
        <v>40</v>
      </c>
      <c r="C17" s="280" t="s">
        <v>275</v>
      </c>
      <c r="D17" s="280" t="s">
        <v>955</v>
      </c>
    </row>
    <row r="18" spans="1:4">
      <c r="A18" s="280" t="s">
        <v>41</v>
      </c>
      <c r="B18" s="280" t="s">
        <v>42</v>
      </c>
      <c r="C18" s="280" t="s">
        <v>273</v>
      </c>
      <c r="D18" s="280" t="s">
        <v>955</v>
      </c>
    </row>
    <row r="19" spans="1:4">
      <c r="A19" s="280" t="s">
        <v>43</v>
      </c>
      <c r="B19" s="280" t="s">
        <v>44</v>
      </c>
      <c r="C19" s="280" t="s">
        <v>272</v>
      </c>
      <c r="D19" s="280" t="s">
        <v>955</v>
      </c>
    </row>
    <row r="20" spans="1:4">
      <c r="A20" s="280" t="s">
        <v>45</v>
      </c>
      <c r="B20" s="280" t="s">
        <v>46</v>
      </c>
      <c r="C20" s="280" t="s">
        <v>273</v>
      </c>
      <c r="D20" s="280" t="s">
        <v>955</v>
      </c>
    </row>
    <row r="21" spans="1:4">
      <c r="A21" s="280" t="s">
        <v>47</v>
      </c>
      <c r="B21" s="280" t="s">
        <v>48</v>
      </c>
      <c r="C21" s="280" t="s">
        <v>275</v>
      </c>
      <c r="D21" s="280" t="s">
        <v>955</v>
      </c>
    </row>
    <row r="22" spans="1:4">
      <c r="A22" s="280" t="s">
        <v>49</v>
      </c>
      <c r="B22" s="280" t="s">
        <v>50</v>
      </c>
      <c r="C22" s="280" t="s">
        <v>273</v>
      </c>
      <c r="D22" s="280" t="s">
        <v>955</v>
      </c>
    </row>
    <row r="23" spans="1:4">
      <c r="A23" s="280" t="s">
        <v>51</v>
      </c>
      <c r="B23" s="280" t="s">
        <v>52</v>
      </c>
      <c r="C23" s="280" t="s">
        <v>272</v>
      </c>
      <c r="D23" s="280" t="s">
        <v>955</v>
      </c>
    </row>
    <row r="24" spans="1:4">
      <c r="A24" s="280" t="s">
        <v>57</v>
      </c>
      <c r="B24" s="280" t="s">
        <v>305</v>
      </c>
      <c r="C24" s="280" t="s">
        <v>273</v>
      </c>
      <c r="D24" s="280" t="s">
        <v>954</v>
      </c>
    </row>
    <row r="25" spans="1:4">
      <c r="A25" s="280" t="s">
        <v>59</v>
      </c>
      <c r="B25" s="280" t="s">
        <v>60</v>
      </c>
      <c r="C25" s="280" t="s">
        <v>274</v>
      </c>
      <c r="D25" s="280" t="s">
        <v>955</v>
      </c>
    </row>
    <row r="26" spans="1:4">
      <c r="A26" s="280" t="s">
        <v>61</v>
      </c>
      <c r="B26" s="280" t="s">
        <v>62</v>
      </c>
      <c r="C26" s="280" t="s">
        <v>272</v>
      </c>
      <c r="D26" s="280" t="s">
        <v>955</v>
      </c>
    </row>
    <row r="27" spans="1:4">
      <c r="A27" s="280" t="s">
        <v>63</v>
      </c>
      <c r="B27" s="280" t="s">
        <v>64</v>
      </c>
      <c r="C27" s="280" t="s">
        <v>274</v>
      </c>
      <c r="D27" s="280" t="s">
        <v>955</v>
      </c>
    </row>
    <row r="28" spans="1:4">
      <c r="A28" s="280" t="s">
        <v>65</v>
      </c>
      <c r="B28" s="280" t="s">
        <v>66</v>
      </c>
      <c r="C28" s="280" t="s">
        <v>273</v>
      </c>
      <c r="D28" s="280" t="s">
        <v>955</v>
      </c>
    </row>
    <row r="29" spans="1:4">
      <c r="A29" s="280" t="s">
        <v>69</v>
      </c>
      <c r="B29" s="280" t="s">
        <v>70</v>
      </c>
      <c r="C29" s="280" t="s">
        <v>275</v>
      </c>
      <c r="D29" s="280" t="s">
        <v>955</v>
      </c>
    </row>
    <row r="30" spans="1:4">
      <c r="A30" s="280" t="s">
        <v>71</v>
      </c>
      <c r="B30" s="280" t="s">
        <v>72</v>
      </c>
      <c r="C30" s="280" t="s">
        <v>271</v>
      </c>
      <c r="D30" s="280" t="s">
        <v>955</v>
      </c>
    </row>
    <row r="31" spans="1:4">
      <c r="A31" s="280" t="s">
        <v>73</v>
      </c>
      <c r="B31" s="280" t="s">
        <v>74</v>
      </c>
      <c r="C31" s="280" t="s">
        <v>273</v>
      </c>
      <c r="D31" s="280" t="s">
        <v>955</v>
      </c>
    </row>
    <row r="32" spans="1:4">
      <c r="A32" s="280" t="s">
        <v>75</v>
      </c>
      <c r="B32" s="280" t="s">
        <v>789</v>
      </c>
      <c r="C32" s="280" t="s">
        <v>274</v>
      </c>
      <c r="D32" s="280" t="s">
        <v>954</v>
      </c>
    </row>
    <row r="33" spans="1:4">
      <c r="A33" s="280" t="s">
        <v>77</v>
      </c>
      <c r="B33" s="280" t="s">
        <v>78</v>
      </c>
      <c r="C33" s="280" t="s">
        <v>274</v>
      </c>
      <c r="D33" s="280" t="s">
        <v>955</v>
      </c>
    </row>
    <row r="34" spans="1:4">
      <c r="A34" s="280" t="s">
        <v>79</v>
      </c>
      <c r="B34" s="280" t="s">
        <v>80</v>
      </c>
      <c r="C34" s="280" t="s">
        <v>275</v>
      </c>
      <c r="D34" s="280" t="s">
        <v>955</v>
      </c>
    </row>
    <row r="35" spans="1:4">
      <c r="A35" s="280" t="s">
        <v>81</v>
      </c>
      <c r="B35" s="280" t="s">
        <v>82</v>
      </c>
      <c r="C35" s="280" t="s">
        <v>273</v>
      </c>
      <c r="D35" s="280" t="s">
        <v>955</v>
      </c>
    </row>
    <row r="36" spans="1:4">
      <c r="A36" s="280" t="s">
        <v>85</v>
      </c>
      <c r="B36" s="280" t="s">
        <v>86</v>
      </c>
      <c r="C36" s="280" t="s">
        <v>272</v>
      </c>
      <c r="D36" s="280" t="s">
        <v>955</v>
      </c>
    </row>
    <row r="37" spans="1:4">
      <c r="A37" s="280" t="s">
        <v>87</v>
      </c>
      <c r="B37" s="280" t="s">
        <v>88</v>
      </c>
      <c r="C37" s="280" t="s">
        <v>274</v>
      </c>
      <c r="D37" s="280" t="s">
        <v>955</v>
      </c>
    </row>
    <row r="38" spans="1:4">
      <c r="A38" s="280" t="s">
        <v>93</v>
      </c>
      <c r="B38" s="280" t="s">
        <v>94</v>
      </c>
      <c r="C38" s="280" t="s">
        <v>275</v>
      </c>
      <c r="D38" s="280" t="s">
        <v>955</v>
      </c>
    </row>
    <row r="39" spans="1:4">
      <c r="A39" s="280" t="s">
        <v>95</v>
      </c>
      <c r="B39" s="280" t="s">
        <v>96</v>
      </c>
      <c r="C39" s="280" t="s">
        <v>271</v>
      </c>
      <c r="D39" s="280" t="s">
        <v>955</v>
      </c>
    </row>
    <row r="40" spans="1:4">
      <c r="A40" s="280" t="s">
        <v>97</v>
      </c>
      <c r="B40" s="280" t="s">
        <v>98</v>
      </c>
      <c r="C40" s="280" t="s">
        <v>273</v>
      </c>
      <c r="D40" s="280" t="s">
        <v>954</v>
      </c>
    </row>
    <row r="41" spans="1:4">
      <c r="A41" s="280" t="s">
        <v>99</v>
      </c>
      <c r="B41" s="280" t="s">
        <v>100</v>
      </c>
      <c r="C41" s="280" t="s">
        <v>275</v>
      </c>
      <c r="D41" s="280" t="s">
        <v>955</v>
      </c>
    </row>
    <row r="42" spans="1:4">
      <c r="A42" s="280" t="s">
        <v>101</v>
      </c>
      <c r="B42" s="280" t="s">
        <v>102</v>
      </c>
      <c r="C42" s="280" t="s">
        <v>274</v>
      </c>
      <c r="D42" s="280" t="s">
        <v>955</v>
      </c>
    </row>
    <row r="43" spans="1:4">
      <c r="A43" s="280" t="s">
        <v>103</v>
      </c>
      <c r="B43" s="280" t="s">
        <v>290</v>
      </c>
      <c r="C43" s="280" t="s">
        <v>271</v>
      </c>
      <c r="D43" s="280" t="s">
        <v>955</v>
      </c>
    </row>
    <row r="44" spans="1:4">
      <c r="A44" s="280" t="s">
        <v>105</v>
      </c>
      <c r="B44" s="280" t="s">
        <v>790</v>
      </c>
      <c r="C44" s="280" t="s">
        <v>272</v>
      </c>
      <c r="D44" s="280" t="s">
        <v>955</v>
      </c>
    </row>
    <row r="45" spans="1:4">
      <c r="A45" s="280" t="s">
        <v>109</v>
      </c>
      <c r="B45" s="280" t="s">
        <v>110</v>
      </c>
      <c r="C45" s="280" t="s">
        <v>273</v>
      </c>
      <c r="D45" s="280" t="s">
        <v>955</v>
      </c>
    </row>
    <row r="46" spans="1:4">
      <c r="A46" s="280" t="s">
        <v>111</v>
      </c>
      <c r="B46" s="280" t="s">
        <v>112</v>
      </c>
      <c r="C46" s="280" t="s">
        <v>273</v>
      </c>
      <c r="D46" s="280" t="s">
        <v>954</v>
      </c>
    </row>
    <row r="47" spans="1:4">
      <c r="A47" s="280" t="s">
        <v>113</v>
      </c>
      <c r="B47" s="280" t="s">
        <v>310</v>
      </c>
      <c r="C47" s="280" t="s">
        <v>272</v>
      </c>
      <c r="D47" s="280" t="s">
        <v>955</v>
      </c>
    </row>
    <row r="48" spans="1:4">
      <c r="A48" s="280" t="s">
        <v>115</v>
      </c>
      <c r="B48" s="280" t="s">
        <v>116</v>
      </c>
      <c r="C48" s="280" t="s">
        <v>272</v>
      </c>
      <c r="D48" s="280" t="s">
        <v>955</v>
      </c>
    </row>
    <row r="49" spans="1:4">
      <c r="A49" s="280" t="s">
        <v>119</v>
      </c>
      <c r="B49" s="280" t="s">
        <v>120</v>
      </c>
      <c r="C49" s="280" t="s">
        <v>271</v>
      </c>
      <c r="D49" s="280" t="s">
        <v>954</v>
      </c>
    </row>
    <row r="50" spans="1:4">
      <c r="A50" s="280" t="s">
        <v>121</v>
      </c>
      <c r="B50" s="280" t="s">
        <v>122</v>
      </c>
      <c r="C50" s="280" t="s">
        <v>271</v>
      </c>
      <c r="D50" s="280" t="s">
        <v>954</v>
      </c>
    </row>
    <row r="51" spans="1:4">
      <c r="A51" s="280" t="s">
        <v>123</v>
      </c>
      <c r="B51" s="280" t="s">
        <v>124</v>
      </c>
      <c r="C51" s="280" t="s">
        <v>273</v>
      </c>
      <c r="D51" s="280" t="s">
        <v>955</v>
      </c>
    </row>
    <row r="52" spans="1:4">
      <c r="A52" s="280" t="s">
        <v>125</v>
      </c>
      <c r="B52" s="280" t="s">
        <v>126</v>
      </c>
      <c r="C52" s="280" t="s">
        <v>274</v>
      </c>
      <c r="D52" s="280" t="s">
        <v>955</v>
      </c>
    </row>
    <row r="53" spans="1:4">
      <c r="A53" s="280" t="s">
        <v>127</v>
      </c>
      <c r="B53" s="280" t="s">
        <v>128</v>
      </c>
      <c r="C53" s="280" t="s">
        <v>273</v>
      </c>
      <c r="D53" s="280" t="s">
        <v>955</v>
      </c>
    </row>
    <row r="54" spans="1:4">
      <c r="A54" s="280" t="s">
        <v>129</v>
      </c>
      <c r="B54" s="280" t="s">
        <v>130</v>
      </c>
      <c r="C54" s="280" t="s">
        <v>273</v>
      </c>
      <c r="D54" s="280" t="s">
        <v>955</v>
      </c>
    </row>
    <row r="55" spans="1:4">
      <c r="A55" s="280" t="s">
        <v>131</v>
      </c>
      <c r="B55" s="280" t="s">
        <v>132</v>
      </c>
      <c r="C55" s="280" t="s">
        <v>275</v>
      </c>
      <c r="D55" s="280" t="s">
        <v>955</v>
      </c>
    </row>
    <row r="56" spans="1:4">
      <c r="A56" s="280" t="s">
        <v>133</v>
      </c>
      <c r="B56" s="280" t="s">
        <v>134</v>
      </c>
      <c r="C56" s="280" t="s">
        <v>274</v>
      </c>
      <c r="D56" s="280" t="s">
        <v>955</v>
      </c>
    </row>
    <row r="57" spans="1:4">
      <c r="A57" s="280" t="s">
        <v>135</v>
      </c>
      <c r="B57" s="280" t="s">
        <v>136</v>
      </c>
      <c r="C57" s="280" t="s">
        <v>274</v>
      </c>
      <c r="D57" s="280" t="s">
        <v>955</v>
      </c>
    </row>
    <row r="58" spans="1:4">
      <c r="A58" s="280" t="s">
        <v>137</v>
      </c>
      <c r="B58" s="280" t="s">
        <v>138</v>
      </c>
      <c r="C58" s="280" t="s">
        <v>273</v>
      </c>
      <c r="D58" s="280" t="s">
        <v>955</v>
      </c>
    </row>
    <row r="59" spans="1:4">
      <c r="A59" s="280" t="s">
        <v>141</v>
      </c>
      <c r="B59" s="280" t="s">
        <v>142</v>
      </c>
      <c r="C59" s="280" t="s">
        <v>274</v>
      </c>
      <c r="D59" s="280" t="s">
        <v>955</v>
      </c>
    </row>
    <row r="60" spans="1:4">
      <c r="A60" s="280" t="s">
        <v>147</v>
      </c>
      <c r="B60" s="280" t="s">
        <v>148</v>
      </c>
      <c r="C60" s="280" t="s">
        <v>271</v>
      </c>
      <c r="D60" s="280" t="s">
        <v>955</v>
      </c>
    </row>
    <row r="61" spans="1:4">
      <c r="A61" s="280" t="s">
        <v>149</v>
      </c>
      <c r="B61" s="280" t="s">
        <v>150</v>
      </c>
      <c r="C61" s="280" t="s">
        <v>272</v>
      </c>
      <c r="D61" s="280" t="s">
        <v>955</v>
      </c>
    </row>
    <row r="62" spans="1:4">
      <c r="A62" s="280" t="s">
        <v>151</v>
      </c>
      <c r="B62" s="280" t="s">
        <v>152</v>
      </c>
      <c r="C62" s="280" t="s">
        <v>273</v>
      </c>
      <c r="D62" s="280" t="s">
        <v>955</v>
      </c>
    </row>
    <row r="63" spans="1:4">
      <c r="A63" s="280" t="s">
        <v>153</v>
      </c>
      <c r="B63" s="280" t="s">
        <v>154</v>
      </c>
      <c r="C63" s="280" t="s">
        <v>275</v>
      </c>
      <c r="D63" s="280" t="s">
        <v>955</v>
      </c>
    </row>
    <row r="64" spans="1:4">
      <c r="A64" s="280" t="s">
        <v>155</v>
      </c>
      <c r="B64" s="280" t="s">
        <v>156</v>
      </c>
      <c r="C64" s="280" t="s">
        <v>272</v>
      </c>
      <c r="D64" s="280" t="s">
        <v>955</v>
      </c>
    </row>
    <row r="65" spans="1:4">
      <c r="A65" s="280" t="s">
        <v>157</v>
      </c>
      <c r="B65" s="280" t="s">
        <v>158</v>
      </c>
      <c r="C65" s="280" t="s">
        <v>273</v>
      </c>
      <c r="D65" s="280" t="s">
        <v>955</v>
      </c>
    </row>
    <row r="66" spans="1:4">
      <c r="A66" s="280" t="s">
        <v>163</v>
      </c>
      <c r="B66" s="280" t="s">
        <v>164</v>
      </c>
      <c r="C66" s="280" t="s">
        <v>271</v>
      </c>
      <c r="D66" s="280" t="s">
        <v>955</v>
      </c>
    </row>
    <row r="67" spans="1:4">
      <c r="A67" s="280" t="s">
        <v>165</v>
      </c>
      <c r="B67" s="280" t="s">
        <v>166</v>
      </c>
      <c r="C67" s="280" t="s">
        <v>273</v>
      </c>
      <c r="D67" s="280" t="s">
        <v>955</v>
      </c>
    </row>
    <row r="68" spans="1:4">
      <c r="A68" s="280" t="s">
        <v>169</v>
      </c>
      <c r="B68" s="280" t="s">
        <v>170</v>
      </c>
      <c r="C68" s="280" t="s">
        <v>273</v>
      </c>
      <c r="D68" s="280" t="s">
        <v>955</v>
      </c>
    </row>
    <row r="69" spans="1:4">
      <c r="A69" s="280" t="s">
        <v>171</v>
      </c>
      <c r="B69" s="280" t="s">
        <v>172</v>
      </c>
      <c r="C69" s="280" t="s">
        <v>274</v>
      </c>
      <c r="D69" s="280" t="s">
        <v>955</v>
      </c>
    </row>
    <row r="70" spans="1:4">
      <c r="A70" s="280" t="s">
        <v>173</v>
      </c>
      <c r="B70" s="280" t="s">
        <v>174</v>
      </c>
      <c r="C70" s="280" t="s">
        <v>274</v>
      </c>
      <c r="D70" s="280" t="s">
        <v>955</v>
      </c>
    </row>
    <row r="71" spans="1:4">
      <c r="A71" s="280" t="s">
        <v>175</v>
      </c>
      <c r="B71" s="280" t="s">
        <v>176</v>
      </c>
      <c r="C71" s="280" t="s">
        <v>275</v>
      </c>
      <c r="D71" s="280" t="s">
        <v>955</v>
      </c>
    </row>
    <row r="72" spans="1:4">
      <c r="A72" s="280" t="s">
        <v>179</v>
      </c>
      <c r="B72" s="280" t="s">
        <v>180</v>
      </c>
      <c r="C72" s="280" t="s">
        <v>272</v>
      </c>
      <c r="D72" s="280" t="s">
        <v>955</v>
      </c>
    </row>
    <row r="73" spans="1:4">
      <c r="A73" s="280" t="s">
        <v>183</v>
      </c>
      <c r="B73" s="280" t="s">
        <v>184</v>
      </c>
      <c r="C73" s="280" t="s">
        <v>273</v>
      </c>
      <c r="D73" s="280" t="s">
        <v>955</v>
      </c>
    </row>
    <row r="74" spans="1:4">
      <c r="A74" s="280" t="s">
        <v>185</v>
      </c>
      <c r="B74" s="280" t="s">
        <v>186</v>
      </c>
      <c r="C74" s="280" t="s">
        <v>273</v>
      </c>
      <c r="D74" s="280" t="s">
        <v>955</v>
      </c>
    </row>
    <row r="75" spans="1:4">
      <c r="A75" s="280" t="s">
        <v>187</v>
      </c>
      <c r="B75" s="280" t="s">
        <v>188</v>
      </c>
      <c r="C75" s="280" t="s">
        <v>271</v>
      </c>
      <c r="D75" s="280" t="s">
        <v>955</v>
      </c>
    </row>
    <row r="76" spans="1:4">
      <c r="A76" s="280" t="s">
        <v>189</v>
      </c>
      <c r="B76" s="280" t="s">
        <v>190</v>
      </c>
      <c r="C76" s="280" t="s">
        <v>274</v>
      </c>
      <c r="D76" s="280" t="s">
        <v>954</v>
      </c>
    </row>
    <row r="77" spans="1:4">
      <c r="A77" s="280" t="s">
        <v>191</v>
      </c>
      <c r="B77" s="280" t="s">
        <v>192</v>
      </c>
      <c r="C77" s="280" t="s">
        <v>275</v>
      </c>
      <c r="D77" s="280" t="s">
        <v>955</v>
      </c>
    </row>
    <row r="78" spans="1:4">
      <c r="A78" s="280" t="s">
        <v>195</v>
      </c>
      <c r="B78" s="280" t="s">
        <v>196</v>
      </c>
      <c r="C78" s="280" t="s">
        <v>274</v>
      </c>
      <c r="D78" s="280" t="s">
        <v>955</v>
      </c>
    </row>
    <row r="79" spans="1:4">
      <c r="A79" s="280" t="s">
        <v>199</v>
      </c>
      <c r="B79" s="280" t="s">
        <v>279</v>
      </c>
      <c r="C79" s="280" t="s">
        <v>273</v>
      </c>
      <c r="D79" s="280" t="s">
        <v>955</v>
      </c>
    </row>
    <row r="80" spans="1:4">
      <c r="A80" s="280" t="s">
        <v>203</v>
      </c>
      <c r="B80" s="280" t="s">
        <v>311</v>
      </c>
      <c r="C80" s="280" t="s">
        <v>272</v>
      </c>
      <c r="D80" s="280" t="s">
        <v>954</v>
      </c>
    </row>
    <row r="81" spans="1:4">
      <c r="A81" s="280" t="s">
        <v>205</v>
      </c>
      <c r="B81" s="280" t="s">
        <v>303</v>
      </c>
      <c r="C81" s="280" t="s">
        <v>272</v>
      </c>
      <c r="D81" s="280" t="s">
        <v>955</v>
      </c>
    </row>
    <row r="82" spans="1:4">
      <c r="A82" s="280" t="s">
        <v>207</v>
      </c>
      <c r="B82" s="280" t="s">
        <v>304</v>
      </c>
      <c r="C82" s="280" t="s">
        <v>274</v>
      </c>
      <c r="D82" s="280" t="s">
        <v>954</v>
      </c>
    </row>
    <row r="83" spans="1:4">
      <c r="A83" s="280" t="s">
        <v>209</v>
      </c>
      <c r="B83" s="280" t="s">
        <v>210</v>
      </c>
      <c r="C83" s="280" t="s">
        <v>275</v>
      </c>
      <c r="D83" s="280" t="s">
        <v>955</v>
      </c>
    </row>
    <row r="84" spans="1:4">
      <c r="A84" s="280" t="s">
        <v>211</v>
      </c>
      <c r="B84" s="280" t="s">
        <v>212</v>
      </c>
      <c r="C84" s="280" t="s">
        <v>275</v>
      </c>
      <c r="D84" s="280" t="s">
        <v>955</v>
      </c>
    </row>
    <row r="85" spans="1:4">
      <c r="A85" s="280" t="s">
        <v>213</v>
      </c>
      <c r="B85" s="280" t="s">
        <v>214</v>
      </c>
      <c r="C85" s="280" t="s">
        <v>274</v>
      </c>
      <c r="D85" s="280" t="s">
        <v>955</v>
      </c>
    </row>
    <row r="86" spans="1:4">
      <c r="A86" s="280" t="s">
        <v>215</v>
      </c>
      <c r="B86" s="280" t="s">
        <v>216</v>
      </c>
      <c r="C86" s="280" t="s">
        <v>275</v>
      </c>
      <c r="D86" s="280" t="s">
        <v>955</v>
      </c>
    </row>
    <row r="87" spans="1:4">
      <c r="A87" s="280" t="s">
        <v>217</v>
      </c>
      <c r="B87" s="280" t="s">
        <v>218</v>
      </c>
      <c r="C87" s="280" t="s">
        <v>271</v>
      </c>
      <c r="D87" s="280" t="s">
        <v>955</v>
      </c>
    </row>
    <row r="88" spans="1:4">
      <c r="A88" s="280" t="s">
        <v>219</v>
      </c>
      <c r="B88" s="280" t="s">
        <v>220</v>
      </c>
      <c r="C88" s="280" t="s">
        <v>274</v>
      </c>
      <c r="D88" s="280" t="s">
        <v>955</v>
      </c>
    </row>
    <row r="89" spans="1:4">
      <c r="A89" s="280" t="s">
        <v>221</v>
      </c>
      <c r="B89" s="280" t="s">
        <v>222</v>
      </c>
      <c r="C89" s="280" t="s">
        <v>274</v>
      </c>
      <c r="D89" s="280" t="s">
        <v>955</v>
      </c>
    </row>
    <row r="90" spans="1:4">
      <c r="A90" s="280" t="s">
        <v>225</v>
      </c>
      <c r="B90" s="280" t="s">
        <v>226</v>
      </c>
      <c r="C90" s="280" t="s">
        <v>271</v>
      </c>
      <c r="D90" s="280" t="s">
        <v>955</v>
      </c>
    </row>
    <row r="91" spans="1:4">
      <c r="A91" s="280" t="s">
        <v>227</v>
      </c>
      <c r="B91" s="280" t="s">
        <v>228</v>
      </c>
      <c r="C91" s="280" t="s">
        <v>271</v>
      </c>
      <c r="D91" s="280" t="s">
        <v>955</v>
      </c>
    </row>
    <row r="92" spans="1:4">
      <c r="A92" s="280" t="s">
        <v>229</v>
      </c>
      <c r="B92" s="280" t="s">
        <v>230</v>
      </c>
      <c r="C92" s="280" t="s">
        <v>275</v>
      </c>
      <c r="D92" s="280" t="s">
        <v>954</v>
      </c>
    </row>
    <row r="93" spans="1:4">
      <c r="A93" s="280" t="s">
        <v>233</v>
      </c>
      <c r="B93" s="280" t="s">
        <v>234</v>
      </c>
      <c r="C93" s="280" t="s">
        <v>274</v>
      </c>
      <c r="D93" s="280" t="s">
        <v>955</v>
      </c>
    </row>
    <row r="94" spans="1:4">
      <c r="A94" s="280" t="s">
        <v>235</v>
      </c>
      <c r="B94" s="280" t="s">
        <v>236</v>
      </c>
      <c r="C94" s="280" t="s">
        <v>275</v>
      </c>
      <c r="D94" s="280" t="s">
        <v>955</v>
      </c>
    </row>
    <row r="95" spans="1:4">
      <c r="A95" s="280" t="s">
        <v>237</v>
      </c>
      <c r="B95" s="280" t="s">
        <v>238</v>
      </c>
      <c r="C95" s="280" t="s">
        <v>273</v>
      </c>
      <c r="D95" s="280" t="s">
        <v>955</v>
      </c>
    </row>
    <row r="96" spans="1:4">
      <c r="A96" s="280" t="s">
        <v>243</v>
      </c>
      <c r="B96" s="280" t="s">
        <v>244</v>
      </c>
      <c r="C96" s="280" t="s">
        <v>275</v>
      </c>
      <c r="D96" s="280" t="s">
        <v>955</v>
      </c>
    </row>
    <row r="97" spans="1:4">
      <c r="A97" s="280" t="s">
        <v>245</v>
      </c>
      <c r="B97" s="280" t="s">
        <v>246</v>
      </c>
      <c r="C97" s="280" t="s">
        <v>275</v>
      </c>
      <c r="D97" s="280" t="s">
        <v>955</v>
      </c>
    </row>
    <row r="98" spans="1:4">
      <c r="A98" s="280" t="s">
        <v>247</v>
      </c>
      <c r="B98" s="280" t="s">
        <v>248</v>
      </c>
      <c r="C98" s="280" t="s">
        <v>271</v>
      </c>
      <c r="D98" s="280" t="s">
        <v>954</v>
      </c>
    </row>
    <row r="99" spans="1:4">
      <c r="A99" s="280" t="s">
        <v>14</v>
      </c>
      <c r="B99" s="280" t="s">
        <v>15</v>
      </c>
      <c r="C99" s="280" t="s">
        <v>274</v>
      </c>
      <c r="D99" s="280" t="s">
        <v>954</v>
      </c>
    </row>
    <row r="100" spans="1:4">
      <c r="A100" s="280" t="s">
        <v>35</v>
      </c>
      <c r="B100" s="280" t="s">
        <v>36</v>
      </c>
      <c r="C100" s="280" t="s">
        <v>275</v>
      </c>
      <c r="D100" s="280" t="s">
        <v>955</v>
      </c>
    </row>
    <row r="101" spans="1:4">
      <c r="A101" s="280" t="s">
        <v>53</v>
      </c>
      <c r="B101" s="280" t="s">
        <v>54</v>
      </c>
      <c r="C101" s="280" t="s">
        <v>272</v>
      </c>
      <c r="D101" s="280" t="s">
        <v>954</v>
      </c>
    </row>
    <row r="102" spans="1:4">
      <c r="A102" s="280" t="s">
        <v>55</v>
      </c>
      <c r="B102" s="280" t="s">
        <v>56</v>
      </c>
      <c r="C102" s="280" t="s">
        <v>271</v>
      </c>
      <c r="D102" s="280" t="s">
        <v>955</v>
      </c>
    </row>
    <row r="103" spans="1:4">
      <c r="A103" s="280" t="s">
        <v>67</v>
      </c>
      <c r="B103" s="280" t="s">
        <v>68</v>
      </c>
      <c r="C103" s="280" t="s">
        <v>272</v>
      </c>
      <c r="D103" s="280" t="s">
        <v>955</v>
      </c>
    </row>
    <row r="104" spans="1:4">
      <c r="A104" s="280" t="s">
        <v>83</v>
      </c>
      <c r="B104" s="280" t="s">
        <v>84</v>
      </c>
      <c r="C104" s="280" t="s">
        <v>271</v>
      </c>
      <c r="D104" s="280" t="s">
        <v>955</v>
      </c>
    </row>
    <row r="105" spans="1:4">
      <c r="A105" s="280" t="s">
        <v>89</v>
      </c>
      <c r="B105" s="280" t="s">
        <v>90</v>
      </c>
      <c r="C105" s="280" t="s">
        <v>274</v>
      </c>
      <c r="D105" s="280" t="s">
        <v>955</v>
      </c>
    </row>
    <row r="106" spans="1:4">
      <c r="A106" s="280" t="s">
        <v>91</v>
      </c>
      <c r="B106" s="280" t="s">
        <v>92</v>
      </c>
      <c r="C106" s="280" t="s">
        <v>275</v>
      </c>
      <c r="D106" s="280" t="s">
        <v>955</v>
      </c>
    </row>
    <row r="107" spans="1:4">
      <c r="A107" s="280" t="s">
        <v>107</v>
      </c>
      <c r="B107" s="280" t="s">
        <v>108</v>
      </c>
      <c r="C107" s="280" t="s">
        <v>271</v>
      </c>
      <c r="D107" s="280" t="s">
        <v>954</v>
      </c>
    </row>
    <row r="108" spans="1:4">
      <c r="A108" s="280" t="s">
        <v>117</v>
      </c>
      <c r="B108" s="280" t="s">
        <v>118</v>
      </c>
      <c r="C108" s="280" t="s">
        <v>273</v>
      </c>
      <c r="D108" s="280" t="s">
        <v>955</v>
      </c>
    </row>
    <row r="109" spans="1:4">
      <c r="A109" s="280" t="s">
        <v>139</v>
      </c>
      <c r="B109" s="280" t="s">
        <v>140</v>
      </c>
      <c r="C109" s="280" t="s">
        <v>272</v>
      </c>
      <c r="D109" s="280" t="s">
        <v>954</v>
      </c>
    </row>
    <row r="110" spans="1:4">
      <c r="A110" s="280" t="s">
        <v>143</v>
      </c>
      <c r="B110" s="280" t="s">
        <v>144</v>
      </c>
      <c r="C110" s="280" t="s">
        <v>274</v>
      </c>
      <c r="D110" s="280" t="s">
        <v>955</v>
      </c>
    </row>
    <row r="111" spans="1:4">
      <c r="A111" s="280" t="s">
        <v>145</v>
      </c>
      <c r="B111" s="280" t="s">
        <v>146</v>
      </c>
      <c r="C111" s="280" t="s">
        <v>274</v>
      </c>
      <c r="D111" s="280" t="s">
        <v>955</v>
      </c>
    </row>
    <row r="112" spans="1:4">
      <c r="A112" s="280" t="s">
        <v>159</v>
      </c>
      <c r="B112" s="280" t="s">
        <v>160</v>
      </c>
      <c r="C112" s="280" t="s">
        <v>271</v>
      </c>
      <c r="D112" s="280" t="s">
        <v>954</v>
      </c>
    </row>
    <row r="113" spans="1:4">
      <c r="A113" s="280" t="s">
        <v>161</v>
      </c>
      <c r="B113" s="280" t="s">
        <v>162</v>
      </c>
      <c r="C113" s="280" t="s">
        <v>271</v>
      </c>
      <c r="D113" s="280" t="s">
        <v>954</v>
      </c>
    </row>
    <row r="114" spans="1:4">
      <c r="A114" s="280" t="s">
        <v>167</v>
      </c>
      <c r="B114" s="280" t="s">
        <v>168</v>
      </c>
      <c r="C114" s="280" t="s">
        <v>275</v>
      </c>
      <c r="D114" s="280" t="s">
        <v>955</v>
      </c>
    </row>
    <row r="115" spans="1:4">
      <c r="A115" s="280" t="s">
        <v>177</v>
      </c>
      <c r="B115" s="280" t="s">
        <v>178</v>
      </c>
      <c r="C115" s="280" t="s">
        <v>273</v>
      </c>
      <c r="D115" s="280" t="s">
        <v>955</v>
      </c>
    </row>
    <row r="116" spans="1:4">
      <c r="A116" s="280" t="s">
        <v>181</v>
      </c>
      <c r="B116" s="280" t="s">
        <v>182</v>
      </c>
      <c r="C116" s="280" t="s">
        <v>271</v>
      </c>
      <c r="D116" s="280" t="s">
        <v>954</v>
      </c>
    </row>
    <row r="117" spans="1:4">
      <c r="A117" s="280" t="s">
        <v>193</v>
      </c>
      <c r="B117" s="280" t="s">
        <v>194</v>
      </c>
      <c r="C117" s="280" t="s">
        <v>275</v>
      </c>
      <c r="D117" s="280" t="s">
        <v>955</v>
      </c>
    </row>
    <row r="118" spans="1:4">
      <c r="A118" s="280" t="s">
        <v>197</v>
      </c>
      <c r="B118" s="280" t="s">
        <v>198</v>
      </c>
      <c r="C118" s="280" t="s">
        <v>273</v>
      </c>
      <c r="D118" s="280" t="s">
        <v>954</v>
      </c>
    </row>
    <row r="119" spans="1:4">
      <c r="A119" s="280" t="s">
        <v>201</v>
      </c>
      <c r="B119" s="280" t="s">
        <v>202</v>
      </c>
      <c r="C119" s="280" t="s">
        <v>272</v>
      </c>
      <c r="D119" s="280" t="s">
        <v>954</v>
      </c>
    </row>
    <row r="120" spans="1:4">
      <c r="A120" s="280" t="s">
        <v>223</v>
      </c>
      <c r="B120" s="280" t="s">
        <v>224</v>
      </c>
      <c r="C120" s="280" t="s">
        <v>271</v>
      </c>
      <c r="D120" s="280" t="s">
        <v>954</v>
      </c>
    </row>
    <row r="121" spans="1:4">
      <c r="A121" s="280" t="s">
        <v>231</v>
      </c>
      <c r="B121" s="280" t="s">
        <v>232</v>
      </c>
      <c r="C121" s="280" t="s">
        <v>271</v>
      </c>
      <c r="D121" s="280" t="s">
        <v>954</v>
      </c>
    </row>
    <row r="122" spans="1:4">
      <c r="A122" s="280" t="s">
        <v>239</v>
      </c>
      <c r="B122" s="280" t="s">
        <v>240</v>
      </c>
      <c r="C122" s="280" t="s">
        <v>271</v>
      </c>
      <c r="D122" s="280" t="s">
        <v>955</v>
      </c>
    </row>
    <row r="123" spans="1:4">
      <c r="A123" s="280" t="s">
        <v>241</v>
      </c>
      <c r="B123" s="280" t="s">
        <v>242</v>
      </c>
      <c r="C123" s="280" t="s">
        <v>274</v>
      </c>
      <c r="D123" s="280" t="s">
        <v>955</v>
      </c>
    </row>
    <row r="125" spans="1:4">
      <c r="C125" s="64" t="s">
        <v>791</v>
      </c>
      <c r="D125" s="730">
        <f>COUNTIF(D4:D123,"Full")</f>
        <v>94</v>
      </c>
    </row>
    <row r="126" spans="1:4">
      <c r="C126" s="64" t="s">
        <v>792</v>
      </c>
      <c r="D126" s="730">
        <f>COUNTIF(D4:D123,"Shared")</f>
        <v>26</v>
      </c>
    </row>
    <row r="128" spans="1:4">
      <c r="A128" s="280" t="s">
        <v>793</v>
      </c>
    </row>
    <row r="129" spans="1:2">
      <c r="A129" s="280" t="s">
        <v>794</v>
      </c>
    </row>
    <row r="131" spans="1:2" s="542" customFormat="1">
      <c r="A131" s="542" t="s">
        <v>249</v>
      </c>
    </row>
    <row r="132" spans="1:2" s="542" customFormat="1">
      <c r="A132" s="543" t="s">
        <v>250</v>
      </c>
      <c r="B132" s="544" t="s">
        <v>251</v>
      </c>
    </row>
  </sheetData>
  <autoFilter ref="A3:D3"/>
  <hyperlinks>
    <hyperlink ref="B132" r:id="rId1"/>
  </hyperlinks>
  <pageMargins left="0.7" right="0.7" top="0.75" bottom="0.75" header="0.3" footer="0.3"/>
</worksheet>
</file>

<file path=xl/worksheets/sheet40.xml><?xml version="1.0" encoding="utf-8"?>
<worksheet xmlns="http://schemas.openxmlformats.org/spreadsheetml/2006/main" xmlns:r="http://schemas.openxmlformats.org/officeDocument/2006/relationships">
  <dimension ref="A1:V137"/>
  <sheetViews>
    <sheetView topLeftCell="A102" workbookViewId="0">
      <selection activeCell="A128" sqref="A128:IV133"/>
    </sheetView>
  </sheetViews>
  <sheetFormatPr defaultColWidth="9.125" defaultRowHeight="12.75"/>
  <cols>
    <col min="1" max="1" width="8.5" style="96" customWidth="1"/>
    <col min="2" max="2" width="26.375" style="97" customWidth="1"/>
    <col min="3" max="3" width="9.25" style="97" customWidth="1"/>
    <col min="4" max="5" width="9.75" style="97" customWidth="1"/>
    <col min="6" max="6" width="1.75" style="97" customWidth="1"/>
    <col min="7" max="7" width="9.875" style="97" bestFit="1" customWidth="1"/>
    <col min="8" max="8" width="9.625" style="97" customWidth="1"/>
    <col min="9" max="9" width="1.5" style="97" customWidth="1"/>
    <col min="10" max="10" width="9.875" style="97" bestFit="1" customWidth="1"/>
    <col min="11" max="11" width="9" style="97" bestFit="1" customWidth="1"/>
    <col min="12" max="12" width="1.125" style="97" customWidth="1"/>
    <col min="13" max="13" width="9.875" style="97" bestFit="1" customWidth="1"/>
    <col min="14" max="14" width="9" style="97" bestFit="1" customWidth="1"/>
    <col min="15" max="15" width="1.5" style="97" customWidth="1"/>
    <col min="16" max="16" width="11" style="117" customWidth="1"/>
    <col min="17" max="18" width="9.25" style="95" customWidth="1"/>
    <col min="19" max="19" width="11.125" style="95" bestFit="1" customWidth="1"/>
    <col min="20" max="16384" width="9.125" style="96"/>
  </cols>
  <sheetData>
    <row r="1" spans="1:22" ht="17.25" customHeight="1">
      <c r="A1" s="1705" t="s">
        <v>818</v>
      </c>
      <c r="B1" s="1705"/>
      <c r="C1" s="1705"/>
      <c r="D1" s="1705"/>
      <c r="E1" s="1705"/>
      <c r="F1" s="1705"/>
      <c r="G1" s="1705"/>
      <c r="H1" s="1705"/>
      <c r="I1" s="1705"/>
      <c r="J1" s="1705"/>
      <c r="K1" s="1705"/>
      <c r="L1" s="200"/>
      <c r="M1" s="200"/>
      <c r="N1" s="200"/>
      <c r="O1" s="200"/>
      <c r="P1" s="186"/>
      <c r="Q1" s="186"/>
      <c r="R1" s="186"/>
    </row>
    <row r="2" spans="1:22" ht="17.25" customHeight="1">
      <c r="A2" s="339"/>
      <c r="B2" s="339"/>
      <c r="C2" s="339"/>
      <c r="D2" s="339"/>
      <c r="E2" s="339"/>
      <c r="F2" s="339"/>
      <c r="G2" s="339"/>
      <c r="H2" s="339"/>
      <c r="I2" s="339"/>
      <c r="J2" s="339"/>
      <c r="K2" s="339"/>
      <c r="L2" s="200"/>
      <c r="M2" s="200"/>
      <c r="N2" s="200"/>
      <c r="O2" s="200"/>
      <c r="P2" s="186"/>
      <c r="Q2" s="186"/>
      <c r="R2" s="186"/>
    </row>
    <row r="3" spans="1:22" ht="17.25" customHeight="1">
      <c r="A3" s="201"/>
      <c r="B3" s="201"/>
      <c r="C3" s="201"/>
      <c r="D3" s="188"/>
      <c r="E3" s="188"/>
      <c r="F3" s="201"/>
      <c r="G3" s="188"/>
      <c r="H3" s="188"/>
      <c r="I3" s="201"/>
      <c r="J3" s="188"/>
      <c r="K3" s="188"/>
      <c r="L3" s="200"/>
      <c r="M3" s="94"/>
      <c r="N3" s="94"/>
      <c r="O3" s="200"/>
      <c r="P3" s="186"/>
      <c r="Q3" s="186"/>
      <c r="R3" s="186"/>
    </row>
    <row r="4" spans="1:22" ht="25.5" customHeight="1">
      <c r="D4" s="1701" t="s">
        <v>819</v>
      </c>
      <c r="E4" s="1701"/>
      <c r="F4" s="186"/>
      <c r="G4" s="1701" t="s">
        <v>2</v>
      </c>
      <c r="H4" s="1701"/>
      <c r="I4" s="186"/>
      <c r="J4" s="1701" t="s">
        <v>820</v>
      </c>
      <c r="K4" s="1701"/>
      <c r="L4" s="98"/>
      <c r="M4" s="1701" t="s">
        <v>821</v>
      </c>
      <c r="N4" s="1701"/>
      <c r="O4" s="186"/>
      <c r="P4" s="1701" t="s">
        <v>822</v>
      </c>
      <c r="Q4" s="1701"/>
      <c r="R4" s="1701"/>
      <c r="S4" s="1701"/>
    </row>
    <row r="5" spans="1:22" ht="38.25">
      <c r="A5" s="99" t="s">
        <v>4</v>
      </c>
      <c r="B5" s="100" t="s">
        <v>5</v>
      </c>
      <c r="C5" s="100" t="s">
        <v>252</v>
      </c>
      <c r="D5" s="215" t="s">
        <v>823</v>
      </c>
      <c r="E5" s="215" t="s">
        <v>289</v>
      </c>
      <c r="F5" s="98"/>
      <c r="G5" s="215" t="s">
        <v>823</v>
      </c>
      <c r="H5" s="215" t="s">
        <v>289</v>
      </c>
      <c r="I5" s="98"/>
      <c r="J5" s="215" t="s">
        <v>823</v>
      </c>
      <c r="K5" s="215" t="s">
        <v>289</v>
      </c>
      <c r="L5" s="98"/>
      <c r="M5" s="215" t="s">
        <v>823</v>
      </c>
      <c r="N5" s="215" t="s">
        <v>289</v>
      </c>
      <c r="O5" s="98"/>
      <c r="P5" s="207" t="s">
        <v>819</v>
      </c>
      <c r="Q5" s="207" t="s">
        <v>2</v>
      </c>
      <c r="R5" s="207" t="s">
        <v>3</v>
      </c>
      <c r="S5" s="207" t="s">
        <v>821</v>
      </c>
    </row>
    <row r="6" spans="1:22">
      <c r="A6" s="202" t="s">
        <v>8</v>
      </c>
      <c r="B6" s="203" t="s">
        <v>9</v>
      </c>
      <c r="C6" s="203"/>
      <c r="D6" s="219">
        <v>444292</v>
      </c>
      <c r="E6" s="220">
        <v>1635360</v>
      </c>
      <c r="F6" s="204"/>
      <c r="G6" s="216">
        <v>203435</v>
      </c>
      <c r="H6" s="216">
        <v>1044656</v>
      </c>
      <c r="I6" s="206"/>
      <c r="J6" s="216">
        <v>178609</v>
      </c>
      <c r="K6" s="216">
        <v>322077</v>
      </c>
      <c r="L6" s="206"/>
      <c r="M6" s="216">
        <v>49259</v>
      </c>
      <c r="N6" s="216">
        <v>173510</v>
      </c>
      <c r="O6" s="205"/>
      <c r="P6" s="208">
        <f>(D6/E6)*100</f>
        <v>27.167840720086094</v>
      </c>
      <c r="Q6" s="208">
        <f>(G6/H6)*100</f>
        <v>19.473874653474446</v>
      </c>
      <c r="R6" s="208">
        <f>(J6/K6)*100</f>
        <v>55.455372473042161</v>
      </c>
      <c r="S6" s="208">
        <f>IF(N6&lt;1,"NA", ((M6/N6)*100))</f>
        <v>28.389718171863294</v>
      </c>
    </row>
    <row r="7" spans="1:22">
      <c r="A7" s="101" t="s">
        <v>10</v>
      </c>
      <c r="B7" s="102" t="s">
        <v>11</v>
      </c>
      <c r="C7" s="103" t="s">
        <v>271</v>
      </c>
      <c r="D7" s="221">
        <v>2089</v>
      </c>
      <c r="E7" s="222">
        <v>5645</v>
      </c>
      <c r="F7" s="104"/>
      <c r="G7" s="217">
        <v>869</v>
      </c>
      <c r="H7" s="217">
        <v>3396</v>
      </c>
      <c r="I7" s="106"/>
      <c r="J7" s="217">
        <v>1026</v>
      </c>
      <c r="K7" s="217">
        <v>1557</v>
      </c>
      <c r="L7" s="107"/>
      <c r="M7" s="217">
        <v>245</v>
      </c>
      <c r="N7" s="217">
        <v>921</v>
      </c>
      <c r="O7" s="105"/>
      <c r="P7" s="209">
        <f t="shared" ref="P7:P70" si="0">(D7/E7)*100</f>
        <v>37.006200177147917</v>
      </c>
      <c r="Q7" s="210">
        <f t="shared" ref="Q7:Q70" si="1">(G7/H7)*100</f>
        <v>25.588928150765604</v>
      </c>
      <c r="R7" s="210">
        <f t="shared" ref="R7:R70" si="2">(J7/K7)*100</f>
        <v>65.895953757225428</v>
      </c>
      <c r="S7" s="209">
        <f t="shared" ref="S7:S70" si="3">IF(N7&lt;1,"NA", ((M7/N7)*100))</f>
        <v>26.601520086862106</v>
      </c>
      <c r="T7" s="108"/>
      <c r="U7" s="109"/>
      <c r="V7" s="109"/>
    </row>
    <row r="8" spans="1:22">
      <c r="A8" s="101" t="s">
        <v>12</v>
      </c>
      <c r="B8" s="102" t="s">
        <v>13</v>
      </c>
      <c r="C8" s="103" t="s">
        <v>272</v>
      </c>
      <c r="D8" s="221">
        <v>4442</v>
      </c>
      <c r="E8" s="222">
        <v>19580</v>
      </c>
      <c r="F8" s="104"/>
      <c r="G8" s="217">
        <v>2663</v>
      </c>
      <c r="H8" s="217">
        <v>15250</v>
      </c>
      <c r="I8" s="107"/>
      <c r="J8" s="217">
        <v>1081</v>
      </c>
      <c r="K8" s="217">
        <v>1788</v>
      </c>
      <c r="L8" s="107"/>
      <c r="M8" s="217">
        <v>461</v>
      </c>
      <c r="N8" s="217">
        <v>1462</v>
      </c>
      <c r="O8" s="105"/>
      <c r="P8" s="209">
        <f t="shared" si="0"/>
        <v>22.68641470888662</v>
      </c>
      <c r="Q8" s="210">
        <f t="shared" si="1"/>
        <v>17.462295081967213</v>
      </c>
      <c r="R8" s="210">
        <f t="shared" si="2"/>
        <v>60.458612975391503</v>
      </c>
      <c r="S8" s="209">
        <f t="shared" si="3"/>
        <v>31.532147742818058</v>
      </c>
      <c r="T8" s="108"/>
      <c r="U8" s="109"/>
      <c r="V8" s="109"/>
    </row>
    <row r="9" spans="1:22">
      <c r="A9" s="101" t="s">
        <v>16</v>
      </c>
      <c r="B9" s="102" t="s">
        <v>787</v>
      </c>
      <c r="C9" s="103" t="s">
        <v>272</v>
      </c>
      <c r="D9" s="221">
        <v>1246</v>
      </c>
      <c r="E9" s="222">
        <v>4119</v>
      </c>
      <c r="F9" s="104"/>
      <c r="G9" s="217">
        <v>970</v>
      </c>
      <c r="H9" s="217">
        <v>3662</v>
      </c>
      <c r="I9" s="107"/>
      <c r="J9" s="217">
        <v>167</v>
      </c>
      <c r="K9" s="217">
        <v>244</v>
      </c>
      <c r="L9" s="107"/>
      <c r="M9" s="217">
        <v>24</v>
      </c>
      <c r="N9" s="217">
        <v>71</v>
      </c>
      <c r="O9" s="105"/>
      <c r="P9" s="209">
        <f t="shared" si="0"/>
        <v>30.25006069434329</v>
      </c>
      <c r="Q9" s="210">
        <f t="shared" si="1"/>
        <v>26.488257782632441</v>
      </c>
      <c r="R9" s="210">
        <f t="shared" si="2"/>
        <v>68.442622950819683</v>
      </c>
      <c r="S9" s="209">
        <f t="shared" si="3"/>
        <v>33.802816901408448</v>
      </c>
      <c r="T9" s="108"/>
      <c r="U9" s="109"/>
      <c r="V9" s="109"/>
    </row>
    <row r="10" spans="1:22">
      <c r="A10" s="101" t="s">
        <v>18</v>
      </c>
      <c r="B10" s="102" t="s">
        <v>19</v>
      </c>
      <c r="C10" s="103" t="s">
        <v>273</v>
      </c>
      <c r="D10" s="221">
        <v>628</v>
      </c>
      <c r="E10" s="222">
        <v>2321</v>
      </c>
      <c r="F10" s="104"/>
      <c r="G10" s="217">
        <v>381</v>
      </c>
      <c r="H10" s="217">
        <v>1778</v>
      </c>
      <c r="I10" s="107"/>
      <c r="J10" s="217">
        <v>210</v>
      </c>
      <c r="K10" s="217">
        <v>413</v>
      </c>
      <c r="L10" s="107"/>
      <c r="M10" s="217">
        <v>19</v>
      </c>
      <c r="N10" s="217">
        <v>79</v>
      </c>
      <c r="O10" s="105"/>
      <c r="P10" s="209">
        <f t="shared" si="0"/>
        <v>27.057302886686774</v>
      </c>
      <c r="Q10" s="210">
        <f t="shared" si="1"/>
        <v>21.428571428571427</v>
      </c>
      <c r="R10" s="210">
        <f t="shared" si="2"/>
        <v>50.847457627118644</v>
      </c>
      <c r="S10" s="209">
        <f t="shared" si="3"/>
        <v>24.050632911392405</v>
      </c>
      <c r="T10" s="108"/>
      <c r="U10" s="109"/>
      <c r="V10" s="109"/>
    </row>
    <row r="11" spans="1:22">
      <c r="A11" s="101" t="s">
        <v>20</v>
      </c>
      <c r="B11" s="102" t="s">
        <v>21</v>
      </c>
      <c r="C11" s="103" t="s">
        <v>272</v>
      </c>
      <c r="D11" s="221">
        <v>1922</v>
      </c>
      <c r="E11" s="222">
        <v>5977</v>
      </c>
      <c r="F11" s="104"/>
      <c r="G11" s="217">
        <v>1150</v>
      </c>
      <c r="H11" s="217">
        <v>4492</v>
      </c>
      <c r="I11" s="107"/>
      <c r="J11" s="217">
        <v>576</v>
      </c>
      <c r="K11" s="217">
        <v>1038</v>
      </c>
      <c r="L11" s="107"/>
      <c r="M11" s="217">
        <v>54</v>
      </c>
      <c r="N11" s="217">
        <v>169</v>
      </c>
      <c r="O11" s="105"/>
      <c r="P11" s="209">
        <f t="shared" si="0"/>
        <v>32.156600301154427</v>
      </c>
      <c r="Q11" s="210">
        <f t="shared" si="1"/>
        <v>25.601068566340164</v>
      </c>
      <c r="R11" s="210">
        <f t="shared" si="2"/>
        <v>55.49132947976878</v>
      </c>
      <c r="S11" s="209">
        <f t="shared" si="3"/>
        <v>31.952662721893493</v>
      </c>
      <c r="T11" s="108"/>
      <c r="U11" s="109"/>
      <c r="V11" s="109"/>
    </row>
    <row r="12" spans="1:22">
      <c r="A12" s="101" t="s">
        <v>22</v>
      </c>
      <c r="B12" s="102" t="s">
        <v>23</v>
      </c>
      <c r="C12" s="103" t="s">
        <v>272</v>
      </c>
      <c r="D12" s="221">
        <v>845</v>
      </c>
      <c r="E12" s="222">
        <v>2826</v>
      </c>
      <c r="F12" s="104"/>
      <c r="G12" s="217">
        <v>448</v>
      </c>
      <c r="H12" s="217">
        <v>2111</v>
      </c>
      <c r="I12" s="107"/>
      <c r="J12" s="217">
        <v>342</v>
      </c>
      <c r="K12" s="217">
        <v>581</v>
      </c>
      <c r="L12" s="107"/>
      <c r="M12" s="217">
        <v>20</v>
      </c>
      <c r="N12" s="217">
        <v>48</v>
      </c>
      <c r="O12" s="105"/>
      <c r="P12" s="209">
        <f t="shared" si="0"/>
        <v>29.900920028308565</v>
      </c>
      <c r="Q12" s="210">
        <f t="shared" si="1"/>
        <v>21.222169587873047</v>
      </c>
      <c r="R12" s="210">
        <f t="shared" si="2"/>
        <v>58.86402753872634</v>
      </c>
      <c r="S12" s="209">
        <f t="shared" si="3"/>
        <v>41.666666666666671</v>
      </c>
      <c r="T12" s="108"/>
      <c r="U12" s="109"/>
      <c r="V12" s="109"/>
    </row>
    <row r="13" spans="1:22">
      <c r="A13" s="101" t="s">
        <v>24</v>
      </c>
      <c r="B13" s="102" t="s">
        <v>25</v>
      </c>
      <c r="C13" s="103" t="s">
        <v>274</v>
      </c>
      <c r="D13" s="221">
        <v>5359</v>
      </c>
      <c r="E13" s="222">
        <v>30162</v>
      </c>
      <c r="F13" s="104"/>
      <c r="G13" s="217">
        <v>2466</v>
      </c>
      <c r="H13" s="217">
        <v>19885</v>
      </c>
      <c r="I13" s="107"/>
      <c r="J13" s="217">
        <v>1226</v>
      </c>
      <c r="K13" s="217">
        <v>2625</v>
      </c>
      <c r="L13" s="107"/>
      <c r="M13" s="217">
        <v>1695</v>
      </c>
      <c r="N13" s="217">
        <v>6108</v>
      </c>
      <c r="O13" s="105"/>
      <c r="P13" s="209">
        <f t="shared" si="0"/>
        <v>17.767389430409125</v>
      </c>
      <c r="Q13" s="210">
        <f t="shared" si="1"/>
        <v>12.401307518229823</v>
      </c>
      <c r="R13" s="210">
        <f t="shared" si="2"/>
        <v>46.704761904761902</v>
      </c>
      <c r="S13" s="209">
        <f t="shared" si="3"/>
        <v>27.75049115913556</v>
      </c>
      <c r="T13" s="108"/>
      <c r="U13" s="109"/>
      <c r="V13" s="109"/>
    </row>
    <row r="14" spans="1:22">
      <c r="A14" s="101" t="s">
        <v>26</v>
      </c>
      <c r="B14" s="102" t="s">
        <v>908</v>
      </c>
      <c r="C14" s="103" t="s">
        <v>272</v>
      </c>
      <c r="D14" s="221">
        <v>6433</v>
      </c>
      <c r="E14" s="222">
        <v>22064</v>
      </c>
      <c r="F14" s="104"/>
      <c r="G14" s="217">
        <v>4824</v>
      </c>
      <c r="H14" s="217">
        <v>19009</v>
      </c>
      <c r="I14" s="107"/>
      <c r="J14" s="217">
        <v>876</v>
      </c>
      <c r="K14" s="217">
        <v>1361</v>
      </c>
      <c r="L14" s="107"/>
      <c r="M14" s="217">
        <v>359</v>
      </c>
      <c r="N14" s="217">
        <v>1159</v>
      </c>
      <c r="O14" s="105"/>
      <c r="P14" s="209">
        <f t="shared" si="0"/>
        <v>29.156091370558375</v>
      </c>
      <c r="Q14" s="210">
        <f t="shared" si="1"/>
        <v>25.377452785522646</v>
      </c>
      <c r="R14" s="210">
        <f t="shared" si="2"/>
        <v>64.364437913299042</v>
      </c>
      <c r="S14" s="209">
        <f t="shared" si="3"/>
        <v>30.97497842968076</v>
      </c>
      <c r="T14" s="108"/>
      <c r="U14" s="109"/>
      <c r="V14" s="109"/>
    </row>
    <row r="15" spans="1:22">
      <c r="A15" s="101" t="s">
        <v>27</v>
      </c>
      <c r="B15" s="102" t="s">
        <v>28</v>
      </c>
      <c r="C15" s="103" t="s">
        <v>272</v>
      </c>
      <c r="D15" s="221">
        <v>162</v>
      </c>
      <c r="E15" s="222">
        <v>710</v>
      </c>
      <c r="F15" s="104"/>
      <c r="G15" s="217">
        <v>142</v>
      </c>
      <c r="H15" s="217">
        <v>664</v>
      </c>
      <c r="I15" s="107"/>
      <c r="J15" s="217">
        <v>7</v>
      </c>
      <c r="K15" s="217">
        <v>24</v>
      </c>
      <c r="L15" s="107"/>
      <c r="M15" s="217">
        <v>8</v>
      </c>
      <c r="N15" s="217">
        <v>29</v>
      </c>
      <c r="O15" s="105"/>
      <c r="P15" s="209">
        <f t="shared" si="0"/>
        <v>22.816901408450704</v>
      </c>
      <c r="Q15" s="210">
        <f t="shared" si="1"/>
        <v>21.385542168674696</v>
      </c>
      <c r="R15" s="210">
        <f t="shared" si="2"/>
        <v>29.166666666666668</v>
      </c>
      <c r="S15" s="209">
        <f t="shared" si="3"/>
        <v>27.586206896551722</v>
      </c>
      <c r="T15" s="108"/>
      <c r="U15" s="109"/>
      <c r="V15" s="109"/>
    </row>
    <row r="16" spans="1:22">
      <c r="A16" s="101" t="s">
        <v>29</v>
      </c>
      <c r="B16" s="102" t="s">
        <v>804</v>
      </c>
      <c r="C16" s="103" t="s">
        <v>272</v>
      </c>
      <c r="D16" s="221">
        <v>3036</v>
      </c>
      <c r="E16" s="222">
        <v>14897</v>
      </c>
      <c r="F16" s="104"/>
      <c r="G16" s="217">
        <v>2416</v>
      </c>
      <c r="H16" s="217">
        <v>13271</v>
      </c>
      <c r="I16" s="107"/>
      <c r="J16" s="217">
        <v>392</v>
      </c>
      <c r="K16" s="217">
        <v>843</v>
      </c>
      <c r="L16" s="107"/>
      <c r="M16" s="217">
        <v>117</v>
      </c>
      <c r="N16" s="217">
        <v>408</v>
      </c>
      <c r="O16" s="105"/>
      <c r="P16" s="209">
        <f t="shared" si="0"/>
        <v>20.379942270255757</v>
      </c>
      <c r="Q16" s="210">
        <f t="shared" si="1"/>
        <v>18.205108884032853</v>
      </c>
      <c r="R16" s="210">
        <f t="shared" si="2"/>
        <v>46.500593119810205</v>
      </c>
      <c r="S16" s="209">
        <f t="shared" si="3"/>
        <v>28.676470588235293</v>
      </c>
      <c r="T16" s="108"/>
      <c r="U16" s="109"/>
      <c r="V16" s="109"/>
    </row>
    <row r="17" spans="1:22">
      <c r="A17" s="101" t="s">
        <v>31</v>
      </c>
      <c r="B17" s="102" t="s">
        <v>32</v>
      </c>
      <c r="C17" s="103" t="s">
        <v>275</v>
      </c>
      <c r="D17" s="221">
        <v>216</v>
      </c>
      <c r="E17" s="222">
        <v>1053</v>
      </c>
      <c r="F17" s="104"/>
      <c r="G17" s="217">
        <v>211</v>
      </c>
      <c r="H17" s="217">
        <v>1023</v>
      </c>
      <c r="I17" s="107"/>
      <c r="J17" s="217">
        <v>3</v>
      </c>
      <c r="K17" s="217">
        <v>9</v>
      </c>
      <c r="L17" s="107"/>
      <c r="M17" s="217">
        <v>2</v>
      </c>
      <c r="N17" s="217">
        <v>7</v>
      </c>
      <c r="O17" s="105"/>
      <c r="P17" s="209">
        <f t="shared" si="0"/>
        <v>20.512820512820511</v>
      </c>
      <c r="Q17" s="210">
        <f t="shared" si="1"/>
        <v>20.625610948191593</v>
      </c>
      <c r="R17" s="210">
        <f t="shared" si="2"/>
        <v>33.333333333333329</v>
      </c>
      <c r="S17" s="209">
        <f t="shared" si="3"/>
        <v>28.571428571428569</v>
      </c>
      <c r="T17" s="108"/>
      <c r="U17" s="109"/>
      <c r="V17" s="109"/>
    </row>
    <row r="18" spans="1:22">
      <c r="A18" s="101" t="s">
        <v>33</v>
      </c>
      <c r="B18" s="102" t="s">
        <v>34</v>
      </c>
      <c r="C18" s="103" t="s">
        <v>272</v>
      </c>
      <c r="D18" s="221">
        <v>1217</v>
      </c>
      <c r="E18" s="222">
        <v>6697</v>
      </c>
      <c r="F18" s="104"/>
      <c r="G18" s="217">
        <v>1121</v>
      </c>
      <c r="H18" s="217">
        <v>6321</v>
      </c>
      <c r="I18" s="107"/>
      <c r="J18" s="217">
        <v>39</v>
      </c>
      <c r="K18" s="217">
        <v>149</v>
      </c>
      <c r="L18" s="107"/>
      <c r="M18" s="217">
        <v>27</v>
      </c>
      <c r="N18" s="217">
        <v>113</v>
      </c>
      <c r="O18" s="105"/>
      <c r="P18" s="209">
        <f t="shared" si="0"/>
        <v>18.172315962371211</v>
      </c>
      <c r="Q18" s="210">
        <f t="shared" si="1"/>
        <v>17.73453567473501</v>
      </c>
      <c r="R18" s="210">
        <f t="shared" si="2"/>
        <v>26.174496644295303</v>
      </c>
      <c r="S18" s="209">
        <f t="shared" si="3"/>
        <v>23.893805309734514</v>
      </c>
      <c r="T18" s="108"/>
      <c r="U18" s="109"/>
      <c r="V18" s="109"/>
    </row>
    <row r="19" spans="1:22">
      <c r="A19" s="101" t="s">
        <v>37</v>
      </c>
      <c r="B19" s="102" t="s">
        <v>38</v>
      </c>
      <c r="C19" s="103" t="s">
        <v>271</v>
      </c>
      <c r="D19" s="221">
        <v>1326</v>
      </c>
      <c r="E19" s="222">
        <v>2644</v>
      </c>
      <c r="F19" s="104"/>
      <c r="G19" s="217">
        <v>310</v>
      </c>
      <c r="H19" s="217">
        <v>965</v>
      </c>
      <c r="I19" s="107"/>
      <c r="J19" s="217">
        <v>970</v>
      </c>
      <c r="K19" s="217">
        <v>1569</v>
      </c>
      <c r="L19" s="107"/>
      <c r="M19" s="217">
        <v>28</v>
      </c>
      <c r="N19" s="217">
        <v>82</v>
      </c>
      <c r="O19" s="105"/>
      <c r="P19" s="209">
        <f t="shared" si="0"/>
        <v>50.151285930408477</v>
      </c>
      <c r="Q19" s="210">
        <f t="shared" si="1"/>
        <v>32.124352331606218</v>
      </c>
      <c r="R19" s="210">
        <f t="shared" si="2"/>
        <v>61.822817080943274</v>
      </c>
      <c r="S19" s="209">
        <f t="shared" si="3"/>
        <v>34.146341463414636</v>
      </c>
      <c r="T19" s="108"/>
      <c r="U19" s="109"/>
      <c r="V19" s="109"/>
    </row>
    <row r="20" spans="1:22">
      <c r="A20" s="101" t="s">
        <v>39</v>
      </c>
      <c r="B20" s="102" t="s">
        <v>40</v>
      </c>
      <c r="C20" s="103" t="s">
        <v>275</v>
      </c>
      <c r="D20" s="221">
        <v>990</v>
      </c>
      <c r="E20" s="222">
        <v>3681</v>
      </c>
      <c r="F20" s="104"/>
      <c r="G20" s="217">
        <v>972</v>
      </c>
      <c r="H20" s="217">
        <v>3643</v>
      </c>
      <c r="I20" s="107"/>
      <c r="J20" s="217">
        <v>5</v>
      </c>
      <c r="K20" s="217">
        <v>6</v>
      </c>
      <c r="L20" s="107"/>
      <c r="M20" s="217">
        <v>9</v>
      </c>
      <c r="N20" s="217">
        <v>14</v>
      </c>
      <c r="O20" s="105"/>
      <c r="P20" s="209">
        <f t="shared" si="0"/>
        <v>26.894865525672373</v>
      </c>
      <c r="Q20" s="210">
        <f t="shared" si="1"/>
        <v>26.681306615426848</v>
      </c>
      <c r="R20" s="210">
        <f t="shared" si="2"/>
        <v>83.333333333333343</v>
      </c>
      <c r="S20" s="209">
        <f t="shared" si="3"/>
        <v>64.285714285714292</v>
      </c>
      <c r="T20" s="108"/>
      <c r="U20" s="109"/>
      <c r="V20" s="109"/>
    </row>
    <row r="21" spans="1:22">
      <c r="A21" s="101" t="s">
        <v>41</v>
      </c>
      <c r="B21" s="102" t="s">
        <v>42</v>
      </c>
      <c r="C21" s="103" t="s">
        <v>273</v>
      </c>
      <c r="D21" s="221">
        <v>1017</v>
      </c>
      <c r="E21" s="222">
        <v>2708</v>
      </c>
      <c r="F21" s="104"/>
      <c r="G21" s="217">
        <v>480</v>
      </c>
      <c r="H21" s="217">
        <v>1752</v>
      </c>
      <c r="I21" s="107"/>
      <c r="J21" s="217">
        <v>454</v>
      </c>
      <c r="K21" s="217">
        <v>786</v>
      </c>
      <c r="L21" s="107"/>
      <c r="M21" s="217">
        <v>29</v>
      </c>
      <c r="N21" s="217">
        <v>68</v>
      </c>
      <c r="O21" s="105"/>
      <c r="P21" s="209">
        <f t="shared" si="0"/>
        <v>37.55539143279173</v>
      </c>
      <c r="Q21" s="210">
        <f t="shared" si="1"/>
        <v>27.397260273972602</v>
      </c>
      <c r="R21" s="210">
        <f t="shared" si="2"/>
        <v>57.760814249363868</v>
      </c>
      <c r="S21" s="209">
        <f t="shared" si="3"/>
        <v>42.647058823529413</v>
      </c>
      <c r="T21" s="108"/>
      <c r="U21" s="109"/>
      <c r="V21" s="109"/>
    </row>
    <row r="22" spans="1:22">
      <c r="A22" s="101" t="s">
        <v>43</v>
      </c>
      <c r="B22" s="102" t="s">
        <v>44</v>
      </c>
      <c r="C22" s="103" t="s">
        <v>272</v>
      </c>
      <c r="D22" s="221">
        <v>2981</v>
      </c>
      <c r="E22" s="222">
        <v>10559</v>
      </c>
      <c r="F22" s="104"/>
      <c r="G22" s="217">
        <v>1998</v>
      </c>
      <c r="H22" s="217">
        <v>8538</v>
      </c>
      <c r="I22" s="107"/>
      <c r="J22" s="217">
        <v>714</v>
      </c>
      <c r="K22" s="217">
        <v>1322</v>
      </c>
      <c r="L22" s="107"/>
      <c r="M22" s="217">
        <v>93</v>
      </c>
      <c r="N22" s="217">
        <v>248</v>
      </c>
      <c r="O22" s="105"/>
      <c r="P22" s="209">
        <f t="shared" si="0"/>
        <v>28.231840136376551</v>
      </c>
      <c r="Q22" s="210">
        <f t="shared" si="1"/>
        <v>23.401264933239634</v>
      </c>
      <c r="R22" s="210">
        <f t="shared" si="2"/>
        <v>54.0090771558245</v>
      </c>
      <c r="S22" s="209">
        <f t="shared" si="3"/>
        <v>37.5</v>
      </c>
      <c r="T22" s="108"/>
      <c r="U22" s="109"/>
      <c r="V22" s="109"/>
    </row>
    <row r="23" spans="1:22">
      <c r="A23" s="101" t="s">
        <v>45</v>
      </c>
      <c r="B23" s="102" t="s">
        <v>46</v>
      </c>
      <c r="C23" s="103" t="s">
        <v>273</v>
      </c>
      <c r="D23" s="221">
        <v>1585</v>
      </c>
      <c r="E23" s="222">
        <v>5526</v>
      </c>
      <c r="F23" s="104"/>
      <c r="G23" s="217">
        <v>825</v>
      </c>
      <c r="H23" s="217">
        <v>3670</v>
      </c>
      <c r="I23" s="107"/>
      <c r="J23" s="217">
        <v>590</v>
      </c>
      <c r="K23" s="217">
        <v>1349</v>
      </c>
      <c r="L23" s="107"/>
      <c r="M23" s="217">
        <v>81</v>
      </c>
      <c r="N23" s="217">
        <v>311</v>
      </c>
      <c r="O23" s="105"/>
      <c r="P23" s="209">
        <f t="shared" si="0"/>
        <v>28.682591386174451</v>
      </c>
      <c r="Q23" s="210">
        <f t="shared" si="1"/>
        <v>22.479564032697546</v>
      </c>
      <c r="R23" s="210">
        <f t="shared" si="2"/>
        <v>43.73610081541883</v>
      </c>
      <c r="S23" s="209">
        <f t="shared" si="3"/>
        <v>26.04501607717042</v>
      </c>
      <c r="T23" s="108"/>
      <c r="U23" s="109"/>
      <c r="V23" s="109"/>
    </row>
    <row r="24" spans="1:22">
      <c r="A24" s="101" t="s">
        <v>47</v>
      </c>
      <c r="B24" s="102" t="s">
        <v>48</v>
      </c>
      <c r="C24" s="103" t="s">
        <v>275</v>
      </c>
      <c r="D24" s="221">
        <v>1519</v>
      </c>
      <c r="E24" s="222">
        <v>5425</v>
      </c>
      <c r="F24" s="104"/>
      <c r="G24" s="217">
        <v>1414</v>
      </c>
      <c r="H24" s="217">
        <v>5157</v>
      </c>
      <c r="I24" s="107"/>
      <c r="J24" s="217">
        <v>22</v>
      </c>
      <c r="K24" s="217">
        <v>37</v>
      </c>
      <c r="L24" s="107"/>
      <c r="M24" s="217">
        <v>94</v>
      </c>
      <c r="N24" s="217">
        <v>262</v>
      </c>
      <c r="O24" s="105"/>
      <c r="P24" s="209">
        <f t="shared" si="0"/>
        <v>28.000000000000004</v>
      </c>
      <c r="Q24" s="210">
        <f t="shared" si="1"/>
        <v>27.419042078727941</v>
      </c>
      <c r="R24" s="210">
        <f t="shared" si="2"/>
        <v>59.45945945945946</v>
      </c>
      <c r="S24" s="209">
        <f t="shared" si="3"/>
        <v>35.877862595419849</v>
      </c>
      <c r="T24" s="108"/>
      <c r="U24" s="109"/>
      <c r="V24" s="109"/>
    </row>
    <row r="25" spans="1:22">
      <c r="A25" s="101" t="s">
        <v>49</v>
      </c>
      <c r="B25" s="102" t="s">
        <v>276</v>
      </c>
      <c r="C25" s="103" t="s">
        <v>273</v>
      </c>
      <c r="D25" s="221">
        <v>299</v>
      </c>
      <c r="E25" s="222">
        <v>948</v>
      </c>
      <c r="F25" s="104"/>
      <c r="G25" s="217">
        <v>85</v>
      </c>
      <c r="H25" s="217">
        <v>426</v>
      </c>
      <c r="I25" s="107"/>
      <c r="J25" s="217">
        <v>184</v>
      </c>
      <c r="K25" s="217">
        <v>381</v>
      </c>
      <c r="L25" s="107"/>
      <c r="M25" s="217">
        <v>5</v>
      </c>
      <c r="N25" s="217">
        <v>17</v>
      </c>
      <c r="O25" s="105"/>
      <c r="P25" s="209">
        <f t="shared" si="0"/>
        <v>31.540084388185651</v>
      </c>
      <c r="Q25" s="210">
        <f t="shared" si="1"/>
        <v>19.953051643192488</v>
      </c>
      <c r="R25" s="210">
        <f t="shared" si="2"/>
        <v>48.293963254593173</v>
      </c>
      <c r="S25" s="209">
        <f t="shared" si="3"/>
        <v>29.411764705882355</v>
      </c>
      <c r="T25" s="108"/>
      <c r="U25" s="109"/>
      <c r="V25" s="109"/>
    </row>
    <row r="26" spans="1:22">
      <c r="A26" s="101" t="s">
        <v>51</v>
      </c>
      <c r="B26" s="102" t="s">
        <v>52</v>
      </c>
      <c r="C26" s="103" t="s">
        <v>272</v>
      </c>
      <c r="D26" s="221">
        <v>821</v>
      </c>
      <c r="E26" s="222">
        <v>2418</v>
      </c>
      <c r="F26" s="104"/>
      <c r="G26" s="217">
        <v>398</v>
      </c>
      <c r="H26" s="217">
        <v>1615</v>
      </c>
      <c r="I26" s="107"/>
      <c r="J26" s="217">
        <v>375</v>
      </c>
      <c r="K26" s="217">
        <v>687</v>
      </c>
      <c r="L26" s="107"/>
      <c r="M26" s="217">
        <v>34</v>
      </c>
      <c r="N26" s="217">
        <v>66</v>
      </c>
      <c r="O26" s="105"/>
      <c r="P26" s="209">
        <f t="shared" si="0"/>
        <v>33.953680727874271</v>
      </c>
      <c r="Q26" s="210">
        <f t="shared" si="1"/>
        <v>24.643962848297214</v>
      </c>
      <c r="R26" s="210">
        <f t="shared" si="2"/>
        <v>54.585152838427952</v>
      </c>
      <c r="S26" s="209">
        <f t="shared" si="3"/>
        <v>51.515151515151516</v>
      </c>
      <c r="T26" s="108"/>
      <c r="U26" s="109"/>
      <c r="V26" s="109"/>
    </row>
    <row r="27" spans="1:22">
      <c r="A27" s="101" t="s">
        <v>57</v>
      </c>
      <c r="B27" s="102" t="s">
        <v>305</v>
      </c>
      <c r="C27" s="103" t="s">
        <v>273</v>
      </c>
      <c r="D27" s="221">
        <v>20205</v>
      </c>
      <c r="E27" s="222">
        <v>77370</v>
      </c>
      <c r="F27" s="104"/>
      <c r="G27" s="217">
        <v>9324</v>
      </c>
      <c r="H27" s="217">
        <v>49962</v>
      </c>
      <c r="I27" s="107"/>
      <c r="J27" s="217">
        <v>8120</v>
      </c>
      <c r="K27" s="217">
        <v>17070</v>
      </c>
      <c r="L27" s="107"/>
      <c r="M27" s="217">
        <v>2199</v>
      </c>
      <c r="N27" s="217">
        <v>7351</v>
      </c>
      <c r="O27" s="105"/>
      <c r="P27" s="209">
        <f t="shared" si="0"/>
        <v>26.114773167894533</v>
      </c>
      <c r="Q27" s="210">
        <f t="shared" si="1"/>
        <v>18.66218325927705</v>
      </c>
      <c r="R27" s="210">
        <f t="shared" si="2"/>
        <v>47.568834212067955</v>
      </c>
      <c r="S27" s="209">
        <f t="shared" si="3"/>
        <v>29.914297374506869</v>
      </c>
      <c r="T27" s="108"/>
      <c r="U27" s="109"/>
      <c r="V27" s="109"/>
    </row>
    <row r="28" spans="1:22">
      <c r="A28" s="101" t="s">
        <v>59</v>
      </c>
      <c r="B28" s="102" t="s">
        <v>60</v>
      </c>
      <c r="C28" s="103" t="s">
        <v>274</v>
      </c>
      <c r="D28" s="221">
        <v>537</v>
      </c>
      <c r="E28" s="222">
        <v>2896</v>
      </c>
      <c r="F28" s="104"/>
      <c r="G28" s="217">
        <v>447</v>
      </c>
      <c r="H28" s="217">
        <v>2583</v>
      </c>
      <c r="I28" s="107"/>
      <c r="J28" s="217">
        <v>40</v>
      </c>
      <c r="K28" s="217">
        <v>89</v>
      </c>
      <c r="L28" s="107"/>
      <c r="M28" s="217">
        <v>32</v>
      </c>
      <c r="N28" s="217">
        <v>168</v>
      </c>
      <c r="O28" s="105"/>
      <c r="P28" s="209">
        <f t="shared" si="0"/>
        <v>18.542817679558009</v>
      </c>
      <c r="Q28" s="210">
        <f t="shared" si="1"/>
        <v>17.305458768873404</v>
      </c>
      <c r="R28" s="210">
        <f t="shared" si="2"/>
        <v>44.943820224719097</v>
      </c>
      <c r="S28" s="209">
        <f t="shared" si="3"/>
        <v>19.047619047619047</v>
      </c>
      <c r="T28" s="108"/>
      <c r="U28" s="109"/>
      <c r="V28" s="109"/>
    </row>
    <row r="29" spans="1:22">
      <c r="A29" s="101" t="s">
        <v>61</v>
      </c>
      <c r="B29" s="102" t="s">
        <v>62</v>
      </c>
      <c r="C29" s="103" t="s">
        <v>272</v>
      </c>
      <c r="D29" s="221">
        <v>220</v>
      </c>
      <c r="E29" s="222">
        <v>966</v>
      </c>
      <c r="F29" s="104"/>
      <c r="G29" s="217">
        <v>217</v>
      </c>
      <c r="H29" s="217">
        <v>946</v>
      </c>
      <c r="I29" s="107"/>
      <c r="J29" s="217">
        <v>0</v>
      </c>
      <c r="K29" s="217">
        <v>2</v>
      </c>
      <c r="L29" s="107"/>
      <c r="M29" s="217">
        <v>2</v>
      </c>
      <c r="N29" s="217">
        <v>11</v>
      </c>
      <c r="O29" s="105"/>
      <c r="P29" s="209">
        <f t="shared" si="0"/>
        <v>22.77432712215321</v>
      </c>
      <c r="Q29" s="210">
        <f t="shared" si="1"/>
        <v>22.938689217758984</v>
      </c>
      <c r="R29" s="210">
        <f t="shared" si="2"/>
        <v>0</v>
      </c>
      <c r="S29" s="209">
        <f t="shared" si="3"/>
        <v>18.181818181818183</v>
      </c>
      <c r="T29" s="108"/>
      <c r="U29" s="109"/>
      <c r="V29" s="109"/>
    </row>
    <row r="30" spans="1:22">
      <c r="A30" s="101" t="s">
        <v>63</v>
      </c>
      <c r="B30" s="102" t="s">
        <v>64</v>
      </c>
      <c r="C30" s="103" t="s">
        <v>274</v>
      </c>
      <c r="D30" s="221">
        <v>2536</v>
      </c>
      <c r="E30" s="222">
        <v>10317</v>
      </c>
      <c r="F30" s="104"/>
      <c r="G30" s="217">
        <v>1365</v>
      </c>
      <c r="H30" s="217">
        <v>7457</v>
      </c>
      <c r="I30" s="107"/>
      <c r="J30" s="217">
        <v>679</v>
      </c>
      <c r="K30" s="217">
        <v>1310</v>
      </c>
      <c r="L30" s="107"/>
      <c r="M30" s="217">
        <v>341</v>
      </c>
      <c r="N30" s="217">
        <v>1258</v>
      </c>
      <c r="O30" s="105"/>
      <c r="P30" s="209">
        <f t="shared" si="0"/>
        <v>24.580788989047203</v>
      </c>
      <c r="Q30" s="210">
        <f t="shared" si="1"/>
        <v>18.30494837065844</v>
      </c>
      <c r="R30" s="210">
        <f t="shared" si="2"/>
        <v>51.832061068702295</v>
      </c>
      <c r="S30" s="209">
        <f t="shared" si="3"/>
        <v>27.106518282988873</v>
      </c>
      <c r="T30" s="108"/>
      <c r="U30" s="109"/>
      <c r="V30" s="109"/>
    </row>
    <row r="31" spans="1:22">
      <c r="A31" s="101" t="s">
        <v>65</v>
      </c>
      <c r="B31" s="102" t="s">
        <v>66</v>
      </c>
      <c r="C31" s="103" t="s">
        <v>273</v>
      </c>
      <c r="D31" s="221">
        <v>595</v>
      </c>
      <c r="E31" s="222">
        <v>1853</v>
      </c>
      <c r="F31" s="104"/>
      <c r="G31" s="217">
        <v>275</v>
      </c>
      <c r="H31" s="217">
        <v>1211</v>
      </c>
      <c r="I31" s="107"/>
      <c r="J31" s="217">
        <v>287</v>
      </c>
      <c r="K31" s="217">
        <v>529</v>
      </c>
      <c r="L31" s="107"/>
      <c r="M31" s="217">
        <v>16</v>
      </c>
      <c r="N31" s="217">
        <v>67</v>
      </c>
      <c r="O31" s="105"/>
      <c r="P31" s="209">
        <f t="shared" si="0"/>
        <v>32.11009174311927</v>
      </c>
      <c r="Q31" s="210">
        <f t="shared" si="1"/>
        <v>22.708505367464905</v>
      </c>
      <c r="R31" s="210">
        <f t="shared" si="2"/>
        <v>54.253308128544418</v>
      </c>
      <c r="S31" s="209">
        <f t="shared" si="3"/>
        <v>23.880597014925371</v>
      </c>
      <c r="T31" s="108"/>
      <c r="U31" s="109"/>
      <c r="V31" s="109"/>
    </row>
    <row r="32" spans="1:22">
      <c r="A32" s="101" t="s">
        <v>69</v>
      </c>
      <c r="B32" s="102" t="s">
        <v>70</v>
      </c>
      <c r="C32" s="103" t="s">
        <v>275</v>
      </c>
      <c r="D32" s="221">
        <v>713</v>
      </c>
      <c r="E32" s="222">
        <v>2891</v>
      </c>
      <c r="F32" s="104"/>
      <c r="G32" s="217">
        <v>695</v>
      </c>
      <c r="H32" s="217">
        <v>2845</v>
      </c>
      <c r="I32" s="107"/>
      <c r="J32" s="217">
        <v>8</v>
      </c>
      <c r="K32" s="217">
        <v>14</v>
      </c>
      <c r="L32" s="107"/>
      <c r="M32" s="217">
        <v>9</v>
      </c>
      <c r="N32" s="217">
        <v>27</v>
      </c>
      <c r="O32" s="105"/>
      <c r="P32" s="209">
        <f t="shared" si="0"/>
        <v>24.662746454514011</v>
      </c>
      <c r="Q32" s="210">
        <f t="shared" si="1"/>
        <v>24.42882249560633</v>
      </c>
      <c r="R32" s="210">
        <f t="shared" si="2"/>
        <v>57.142857142857139</v>
      </c>
      <c r="S32" s="209">
        <f t="shared" si="3"/>
        <v>33.333333333333329</v>
      </c>
      <c r="T32" s="108"/>
      <c r="U32" s="109"/>
      <c r="V32" s="109"/>
    </row>
    <row r="33" spans="1:22">
      <c r="A33" s="101" t="s">
        <v>71</v>
      </c>
      <c r="B33" s="102" t="s">
        <v>72</v>
      </c>
      <c r="C33" s="103" t="s">
        <v>271</v>
      </c>
      <c r="D33" s="221">
        <v>1785</v>
      </c>
      <c r="E33" s="222">
        <v>5303</v>
      </c>
      <c r="F33" s="104"/>
      <c r="G33" s="217">
        <v>834</v>
      </c>
      <c r="H33" s="217">
        <v>3388</v>
      </c>
      <c r="I33" s="107"/>
      <c r="J33" s="217">
        <v>859</v>
      </c>
      <c r="K33" s="217">
        <v>1628</v>
      </c>
      <c r="L33" s="107"/>
      <c r="M33" s="217">
        <v>50</v>
      </c>
      <c r="N33" s="217">
        <v>239</v>
      </c>
      <c r="O33" s="105"/>
      <c r="P33" s="209">
        <f t="shared" si="0"/>
        <v>33.660192343956254</v>
      </c>
      <c r="Q33" s="210">
        <f t="shared" si="1"/>
        <v>24.61629279811098</v>
      </c>
      <c r="R33" s="210">
        <f t="shared" si="2"/>
        <v>52.764127764127764</v>
      </c>
      <c r="S33" s="209">
        <f t="shared" si="3"/>
        <v>20.920502092050206</v>
      </c>
      <c r="T33" s="108"/>
      <c r="U33" s="109"/>
      <c r="V33" s="109"/>
    </row>
    <row r="34" spans="1:22">
      <c r="A34" s="101" t="s">
        <v>73</v>
      </c>
      <c r="B34" s="102" t="s">
        <v>74</v>
      </c>
      <c r="C34" s="103" t="s">
        <v>273</v>
      </c>
      <c r="D34" s="221">
        <v>825</v>
      </c>
      <c r="E34" s="222">
        <v>1937</v>
      </c>
      <c r="F34" s="104"/>
      <c r="G34" s="217">
        <v>245</v>
      </c>
      <c r="H34" s="217">
        <v>978</v>
      </c>
      <c r="I34" s="107"/>
      <c r="J34" s="217">
        <v>511</v>
      </c>
      <c r="K34" s="217">
        <v>808</v>
      </c>
      <c r="L34" s="107"/>
      <c r="M34" s="217">
        <v>32</v>
      </c>
      <c r="N34" s="217">
        <v>86</v>
      </c>
      <c r="O34" s="105"/>
      <c r="P34" s="209">
        <f t="shared" si="0"/>
        <v>42.591636551368097</v>
      </c>
      <c r="Q34" s="210">
        <f t="shared" si="1"/>
        <v>25.051124744376281</v>
      </c>
      <c r="R34" s="210">
        <f t="shared" si="2"/>
        <v>63.242574257425744</v>
      </c>
      <c r="S34" s="209">
        <f t="shared" si="3"/>
        <v>37.209302325581397</v>
      </c>
      <c r="T34" s="108"/>
      <c r="U34" s="109"/>
      <c r="V34" s="109"/>
    </row>
    <row r="35" spans="1:22">
      <c r="A35" s="101" t="s">
        <v>75</v>
      </c>
      <c r="B35" s="102" t="s">
        <v>803</v>
      </c>
      <c r="C35" s="103" t="s">
        <v>274</v>
      </c>
      <c r="D35" s="221">
        <v>40722</v>
      </c>
      <c r="E35" s="222">
        <v>248438</v>
      </c>
      <c r="F35" s="104"/>
      <c r="G35" s="217">
        <v>19519</v>
      </c>
      <c r="H35" s="217">
        <v>146411</v>
      </c>
      <c r="I35" s="107"/>
      <c r="J35" s="217">
        <v>9151</v>
      </c>
      <c r="K35" s="217">
        <v>23526</v>
      </c>
      <c r="L35" s="107"/>
      <c r="M35" s="217">
        <v>10967</v>
      </c>
      <c r="N35" s="217">
        <v>42015</v>
      </c>
      <c r="O35" s="105"/>
      <c r="P35" s="209">
        <f t="shared" si="0"/>
        <v>16.391212294415507</v>
      </c>
      <c r="Q35" s="210">
        <f t="shared" si="1"/>
        <v>13.331648578317203</v>
      </c>
      <c r="R35" s="210">
        <f t="shared" si="2"/>
        <v>38.897390121567625</v>
      </c>
      <c r="S35" s="209">
        <f t="shared" si="3"/>
        <v>26.102582411043674</v>
      </c>
      <c r="T35" s="108"/>
      <c r="U35" s="109"/>
      <c r="V35" s="109"/>
    </row>
    <row r="36" spans="1:22">
      <c r="A36" s="101" t="s">
        <v>77</v>
      </c>
      <c r="B36" s="102" t="s">
        <v>78</v>
      </c>
      <c r="C36" s="103" t="s">
        <v>274</v>
      </c>
      <c r="D36" s="221">
        <v>2535</v>
      </c>
      <c r="E36" s="222">
        <v>14530</v>
      </c>
      <c r="F36" s="104"/>
      <c r="G36" s="217">
        <v>1880</v>
      </c>
      <c r="H36" s="217">
        <v>12201</v>
      </c>
      <c r="I36" s="107"/>
      <c r="J36" s="217">
        <v>352</v>
      </c>
      <c r="K36" s="217">
        <v>898</v>
      </c>
      <c r="L36" s="107"/>
      <c r="M36" s="217">
        <v>201</v>
      </c>
      <c r="N36" s="217">
        <v>1361</v>
      </c>
      <c r="O36" s="105"/>
      <c r="P36" s="209">
        <f t="shared" si="0"/>
        <v>17.44666207845836</v>
      </c>
      <c r="Q36" s="210">
        <f t="shared" si="1"/>
        <v>15.408573067781328</v>
      </c>
      <c r="R36" s="210">
        <f t="shared" si="2"/>
        <v>39.198218262806236</v>
      </c>
      <c r="S36" s="209">
        <f t="shared" si="3"/>
        <v>14.768552534900808</v>
      </c>
      <c r="T36" s="108"/>
      <c r="U36" s="109"/>
      <c r="V36" s="109"/>
    </row>
    <row r="37" spans="1:22">
      <c r="A37" s="101" t="s">
        <v>79</v>
      </c>
      <c r="B37" s="102" t="s">
        <v>80</v>
      </c>
      <c r="C37" s="103" t="s">
        <v>275</v>
      </c>
      <c r="D37" s="221">
        <v>695</v>
      </c>
      <c r="E37" s="222">
        <v>2996</v>
      </c>
      <c r="F37" s="104"/>
      <c r="G37" s="217">
        <v>644</v>
      </c>
      <c r="H37" s="217">
        <v>2859</v>
      </c>
      <c r="I37" s="107"/>
      <c r="J37" s="217">
        <v>18</v>
      </c>
      <c r="K37" s="217">
        <v>28</v>
      </c>
      <c r="L37" s="107"/>
      <c r="M37" s="217">
        <v>36</v>
      </c>
      <c r="N37" s="217">
        <v>119</v>
      </c>
      <c r="O37" s="105"/>
      <c r="P37" s="209">
        <f t="shared" si="0"/>
        <v>23.197596795727637</v>
      </c>
      <c r="Q37" s="210">
        <f t="shared" si="1"/>
        <v>22.525358516963973</v>
      </c>
      <c r="R37" s="210">
        <f t="shared" si="2"/>
        <v>64.285714285714292</v>
      </c>
      <c r="S37" s="209">
        <f t="shared" si="3"/>
        <v>30.252100840336134</v>
      </c>
      <c r="T37" s="108"/>
      <c r="U37" s="109"/>
      <c r="V37" s="109"/>
    </row>
    <row r="38" spans="1:22">
      <c r="A38" s="101" t="s">
        <v>81</v>
      </c>
      <c r="B38" s="102" t="s">
        <v>82</v>
      </c>
      <c r="C38" s="103" t="s">
        <v>273</v>
      </c>
      <c r="D38" s="221">
        <v>1133</v>
      </c>
      <c r="E38" s="222">
        <v>5255</v>
      </c>
      <c r="F38" s="104"/>
      <c r="G38" s="217">
        <v>741</v>
      </c>
      <c r="H38" s="217">
        <v>4246</v>
      </c>
      <c r="I38" s="107"/>
      <c r="J38" s="217">
        <v>270</v>
      </c>
      <c r="K38" s="217">
        <v>607</v>
      </c>
      <c r="L38" s="107"/>
      <c r="M38" s="217">
        <v>53</v>
      </c>
      <c r="N38" s="217">
        <v>259</v>
      </c>
      <c r="O38" s="105"/>
      <c r="P38" s="209">
        <f t="shared" si="0"/>
        <v>21.560418648905806</v>
      </c>
      <c r="Q38" s="210">
        <f t="shared" si="1"/>
        <v>17.451719265190768</v>
      </c>
      <c r="R38" s="210">
        <f t="shared" si="2"/>
        <v>44.481054365733115</v>
      </c>
      <c r="S38" s="209">
        <f t="shared" si="3"/>
        <v>20.463320463320464</v>
      </c>
      <c r="T38" s="108"/>
      <c r="U38" s="109"/>
      <c r="V38" s="109"/>
    </row>
    <row r="39" spans="1:22">
      <c r="A39" s="101" t="s">
        <v>85</v>
      </c>
      <c r="B39" s="102" t="s">
        <v>330</v>
      </c>
      <c r="C39" s="103" t="s">
        <v>272</v>
      </c>
      <c r="D39" s="221">
        <v>2881</v>
      </c>
      <c r="E39" s="222">
        <v>10070</v>
      </c>
      <c r="F39" s="104"/>
      <c r="G39" s="217">
        <v>2240</v>
      </c>
      <c r="H39" s="217">
        <v>8784</v>
      </c>
      <c r="I39" s="107"/>
      <c r="J39" s="217">
        <v>401</v>
      </c>
      <c r="K39" s="217">
        <v>661</v>
      </c>
      <c r="L39" s="107"/>
      <c r="M39" s="217">
        <v>131</v>
      </c>
      <c r="N39" s="217">
        <v>461</v>
      </c>
      <c r="O39" s="105"/>
      <c r="P39" s="209">
        <f t="shared" si="0"/>
        <v>28.609731876861964</v>
      </c>
      <c r="Q39" s="210">
        <f t="shared" si="1"/>
        <v>25.500910746812387</v>
      </c>
      <c r="R39" s="210">
        <f t="shared" si="2"/>
        <v>60.665658093797283</v>
      </c>
      <c r="S39" s="209">
        <f t="shared" si="3"/>
        <v>28.416485900216919</v>
      </c>
      <c r="T39" s="108"/>
      <c r="U39" s="109"/>
      <c r="V39" s="109"/>
    </row>
    <row r="40" spans="1:22">
      <c r="A40" s="101" t="s">
        <v>87</v>
      </c>
      <c r="B40" s="102" t="s">
        <v>88</v>
      </c>
      <c r="C40" s="103" t="s">
        <v>274</v>
      </c>
      <c r="D40" s="221">
        <v>3866</v>
      </c>
      <c r="E40" s="222">
        <v>17412</v>
      </c>
      <c r="F40" s="104"/>
      <c r="G40" s="217">
        <v>3103</v>
      </c>
      <c r="H40" s="217">
        <v>14783</v>
      </c>
      <c r="I40" s="107"/>
      <c r="J40" s="217">
        <v>311</v>
      </c>
      <c r="K40" s="217">
        <v>793</v>
      </c>
      <c r="L40" s="107"/>
      <c r="M40" s="217">
        <v>412</v>
      </c>
      <c r="N40" s="217">
        <v>1766</v>
      </c>
      <c r="O40" s="105"/>
      <c r="P40" s="209">
        <f t="shared" si="0"/>
        <v>22.203078336779232</v>
      </c>
      <c r="Q40" s="210">
        <f t="shared" si="1"/>
        <v>20.990326726645474</v>
      </c>
      <c r="R40" s="210">
        <f t="shared" si="2"/>
        <v>39.218158890290042</v>
      </c>
      <c r="S40" s="209">
        <f t="shared" si="3"/>
        <v>23.32955832389581</v>
      </c>
      <c r="T40" s="108"/>
      <c r="U40" s="109"/>
      <c r="V40" s="109"/>
    </row>
    <row r="41" spans="1:22">
      <c r="A41" s="101" t="s">
        <v>93</v>
      </c>
      <c r="B41" s="102" t="s">
        <v>94</v>
      </c>
      <c r="C41" s="103" t="s">
        <v>275</v>
      </c>
      <c r="D41" s="221">
        <v>847</v>
      </c>
      <c r="E41" s="222">
        <v>3246</v>
      </c>
      <c r="F41" s="104"/>
      <c r="G41" s="217">
        <v>781</v>
      </c>
      <c r="H41" s="217">
        <v>3112</v>
      </c>
      <c r="I41" s="107"/>
      <c r="J41" s="217">
        <v>22</v>
      </c>
      <c r="K41" s="217">
        <v>36</v>
      </c>
      <c r="L41" s="107"/>
      <c r="M41" s="217">
        <v>27</v>
      </c>
      <c r="N41" s="217">
        <v>70</v>
      </c>
      <c r="O41" s="105"/>
      <c r="P41" s="209">
        <f t="shared" si="0"/>
        <v>26.093653727664819</v>
      </c>
      <c r="Q41" s="210">
        <f t="shared" si="1"/>
        <v>25.096401028277636</v>
      </c>
      <c r="R41" s="210">
        <f t="shared" si="2"/>
        <v>61.111111111111114</v>
      </c>
      <c r="S41" s="209">
        <f t="shared" si="3"/>
        <v>38.571428571428577</v>
      </c>
      <c r="T41" s="108"/>
      <c r="U41" s="109"/>
      <c r="V41" s="109"/>
    </row>
    <row r="42" spans="1:22">
      <c r="A42" s="101" t="s">
        <v>95</v>
      </c>
      <c r="B42" s="102" t="s">
        <v>96</v>
      </c>
      <c r="C42" s="103" t="s">
        <v>271</v>
      </c>
      <c r="D42" s="221">
        <v>1686</v>
      </c>
      <c r="E42" s="222">
        <v>7025</v>
      </c>
      <c r="F42" s="104"/>
      <c r="G42" s="217">
        <v>1328</v>
      </c>
      <c r="H42" s="217">
        <v>6082</v>
      </c>
      <c r="I42" s="107"/>
      <c r="J42" s="217">
        <v>196</v>
      </c>
      <c r="K42" s="217">
        <v>458</v>
      </c>
      <c r="L42" s="107"/>
      <c r="M42" s="217">
        <v>58</v>
      </c>
      <c r="N42" s="217">
        <v>278</v>
      </c>
      <c r="O42" s="105"/>
      <c r="P42" s="209">
        <f t="shared" si="0"/>
        <v>24</v>
      </c>
      <c r="Q42" s="210">
        <f t="shared" si="1"/>
        <v>21.834922722788555</v>
      </c>
      <c r="R42" s="210">
        <f t="shared" si="2"/>
        <v>42.79475982532751</v>
      </c>
      <c r="S42" s="209">
        <f t="shared" si="3"/>
        <v>20.863309352517987</v>
      </c>
      <c r="T42" s="108"/>
      <c r="U42" s="109"/>
      <c r="V42" s="109"/>
    </row>
    <row r="43" spans="1:22">
      <c r="A43" s="101" t="s">
        <v>97</v>
      </c>
      <c r="B43" s="102" t="s">
        <v>98</v>
      </c>
      <c r="C43" s="103" t="s">
        <v>273</v>
      </c>
      <c r="D43" s="221">
        <v>632</v>
      </c>
      <c r="E43" s="222">
        <v>3924</v>
      </c>
      <c r="F43" s="104"/>
      <c r="G43" s="217">
        <v>424</v>
      </c>
      <c r="H43" s="217">
        <v>3245</v>
      </c>
      <c r="I43" s="107"/>
      <c r="J43" s="217">
        <v>179</v>
      </c>
      <c r="K43" s="217">
        <v>468</v>
      </c>
      <c r="L43" s="107"/>
      <c r="M43" s="217">
        <v>17</v>
      </c>
      <c r="N43" s="217">
        <v>133</v>
      </c>
      <c r="O43" s="105"/>
      <c r="P43" s="209">
        <f t="shared" si="0"/>
        <v>16.106014271151885</v>
      </c>
      <c r="Q43" s="210">
        <f t="shared" si="1"/>
        <v>13.066255778120183</v>
      </c>
      <c r="R43" s="210">
        <f t="shared" si="2"/>
        <v>38.247863247863243</v>
      </c>
      <c r="S43" s="209">
        <f t="shared" si="3"/>
        <v>12.781954887218044</v>
      </c>
      <c r="T43" s="108"/>
      <c r="U43" s="109"/>
      <c r="V43" s="109"/>
    </row>
    <row r="44" spans="1:22">
      <c r="A44" s="101" t="s">
        <v>99</v>
      </c>
      <c r="B44" s="102" t="s">
        <v>100</v>
      </c>
      <c r="C44" s="103" t="s">
        <v>275</v>
      </c>
      <c r="D44" s="221">
        <v>750</v>
      </c>
      <c r="E44" s="222">
        <v>2547</v>
      </c>
      <c r="F44" s="104"/>
      <c r="G44" s="217">
        <v>663</v>
      </c>
      <c r="H44" s="217">
        <v>2360</v>
      </c>
      <c r="I44" s="107"/>
      <c r="J44" s="217">
        <v>40</v>
      </c>
      <c r="K44" s="217">
        <v>62</v>
      </c>
      <c r="L44" s="107"/>
      <c r="M44" s="217">
        <v>46</v>
      </c>
      <c r="N44" s="217">
        <v>134</v>
      </c>
      <c r="O44" s="105"/>
      <c r="P44" s="209">
        <f t="shared" si="0"/>
        <v>29.446407538280329</v>
      </c>
      <c r="Q44" s="210">
        <f t="shared" si="1"/>
        <v>28.093220338983048</v>
      </c>
      <c r="R44" s="210">
        <f t="shared" si="2"/>
        <v>64.516129032258064</v>
      </c>
      <c r="S44" s="209">
        <f t="shared" si="3"/>
        <v>34.328358208955223</v>
      </c>
      <c r="T44" s="108"/>
      <c r="U44" s="109"/>
      <c r="V44" s="109"/>
    </row>
    <row r="45" spans="1:22">
      <c r="A45" s="101" t="s">
        <v>101</v>
      </c>
      <c r="B45" s="102" t="s">
        <v>102</v>
      </c>
      <c r="C45" s="103" t="s">
        <v>274</v>
      </c>
      <c r="D45" s="221">
        <v>910</v>
      </c>
      <c r="E45" s="222">
        <v>4007</v>
      </c>
      <c r="F45" s="104"/>
      <c r="G45" s="217">
        <v>665</v>
      </c>
      <c r="H45" s="217">
        <v>3341</v>
      </c>
      <c r="I45" s="107"/>
      <c r="J45" s="217">
        <v>135</v>
      </c>
      <c r="K45" s="217">
        <v>241</v>
      </c>
      <c r="L45" s="107"/>
      <c r="M45" s="217">
        <v>52</v>
      </c>
      <c r="N45" s="217">
        <v>275</v>
      </c>
      <c r="O45" s="105"/>
      <c r="P45" s="209">
        <f t="shared" si="0"/>
        <v>22.710257050162216</v>
      </c>
      <c r="Q45" s="210">
        <f t="shared" si="1"/>
        <v>19.904220293325352</v>
      </c>
      <c r="R45" s="210">
        <f t="shared" si="2"/>
        <v>56.016597510373444</v>
      </c>
      <c r="S45" s="209">
        <f t="shared" si="3"/>
        <v>18.90909090909091</v>
      </c>
      <c r="T45" s="108"/>
      <c r="U45" s="109"/>
      <c r="V45" s="109"/>
    </row>
    <row r="46" spans="1:22">
      <c r="A46" s="101" t="s">
        <v>103</v>
      </c>
      <c r="B46" s="102" t="s">
        <v>290</v>
      </c>
      <c r="C46" s="103" t="s">
        <v>271</v>
      </c>
      <c r="D46" s="221">
        <v>1510</v>
      </c>
      <c r="E46" s="222">
        <v>2790</v>
      </c>
      <c r="F46" s="104"/>
      <c r="G46" s="217">
        <v>235</v>
      </c>
      <c r="H46" s="217">
        <v>856</v>
      </c>
      <c r="I46" s="107"/>
      <c r="J46" s="217">
        <v>1206</v>
      </c>
      <c r="K46" s="217">
        <v>1787</v>
      </c>
      <c r="L46" s="107"/>
      <c r="M46" s="217">
        <v>36</v>
      </c>
      <c r="N46" s="217">
        <v>102</v>
      </c>
      <c r="O46" s="105"/>
      <c r="P46" s="209">
        <f t="shared" si="0"/>
        <v>54.121863799283155</v>
      </c>
      <c r="Q46" s="210">
        <f t="shared" si="1"/>
        <v>27.453271028037385</v>
      </c>
      <c r="R46" s="210">
        <f t="shared" si="2"/>
        <v>67.48740906547286</v>
      </c>
      <c r="S46" s="209">
        <f t="shared" si="3"/>
        <v>35.294117647058826</v>
      </c>
      <c r="T46" s="108"/>
      <c r="U46" s="109"/>
      <c r="V46" s="109"/>
    </row>
    <row r="47" spans="1:22">
      <c r="A47" s="101" t="s">
        <v>105</v>
      </c>
      <c r="B47" s="102" t="s">
        <v>790</v>
      </c>
      <c r="C47" s="103" t="s">
        <v>272</v>
      </c>
      <c r="D47" s="221">
        <v>2563</v>
      </c>
      <c r="E47" s="222">
        <v>6631</v>
      </c>
      <c r="F47" s="104"/>
      <c r="G47" s="217">
        <v>994</v>
      </c>
      <c r="H47" s="217">
        <v>3899</v>
      </c>
      <c r="I47" s="107"/>
      <c r="J47" s="217">
        <v>1411</v>
      </c>
      <c r="K47" s="217">
        <v>2392</v>
      </c>
      <c r="L47" s="107"/>
      <c r="M47" s="217">
        <v>62</v>
      </c>
      <c r="N47" s="217">
        <v>206</v>
      </c>
      <c r="O47" s="105"/>
      <c r="P47" s="209">
        <f t="shared" si="0"/>
        <v>38.651787060775142</v>
      </c>
      <c r="Q47" s="210">
        <f t="shared" si="1"/>
        <v>25.493716337522443</v>
      </c>
      <c r="R47" s="210">
        <f t="shared" si="2"/>
        <v>58.988294314381271</v>
      </c>
      <c r="S47" s="209">
        <f t="shared" si="3"/>
        <v>30.097087378640776</v>
      </c>
      <c r="T47" s="108"/>
      <c r="U47" s="109"/>
      <c r="V47" s="109"/>
    </row>
    <row r="48" spans="1:22">
      <c r="A48" s="101" t="s">
        <v>109</v>
      </c>
      <c r="B48" s="102" t="s">
        <v>110</v>
      </c>
      <c r="C48" s="103" t="s">
        <v>273</v>
      </c>
      <c r="D48" s="221">
        <v>4332</v>
      </c>
      <c r="E48" s="222">
        <v>22831</v>
      </c>
      <c r="F48" s="104"/>
      <c r="G48" s="217">
        <v>3249</v>
      </c>
      <c r="H48" s="217">
        <v>19794</v>
      </c>
      <c r="I48" s="107"/>
      <c r="J48" s="217">
        <v>789</v>
      </c>
      <c r="K48" s="217">
        <v>1668</v>
      </c>
      <c r="L48" s="107"/>
      <c r="M48" s="217">
        <v>140</v>
      </c>
      <c r="N48" s="217">
        <v>662</v>
      </c>
      <c r="O48" s="105"/>
      <c r="P48" s="209">
        <f t="shared" si="0"/>
        <v>18.974201743243835</v>
      </c>
      <c r="Q48" s="210">
        <f t="shared" si="1"/>
        <v>16.41406486814186</v>
      </c>
      <c r="R48" s="210">
        <f t="shared" si="2"/>
        <v>47.302158273381295</v>
      </c>
      <c r="S48" s="209">
        <f t="shared" si="3"/>
        <v>21.148036253776432</v>
      </c>
      <c r="T48" s="108"/>
      <c r="U48" s="109"/>
      <c r="V48" s="109"/>
    </row>
    <row r="49" spans="1:22">
      <c r="A49" s="101" t="s">
        <v>111</v>
      </c>
      <c r="B49" s="102" t="s">
        <v>112</v>
      </c>
      <c r="C49" s="103" t="s">
        <v>273</v>
      </c>
      <c r="D49" s="221">
        <v>21007</v>
      </c>
      <c r="E49" s="222">
        <v>66860</v>
      </c>
      <c r="F49" s="104"/>
      <c r="G49" s="217">
        <v>6461</v>
      </c>
      <c r="H49" s="217">
        <v>35579</v>
      </c>
      <c r="I49" s="107"/>
      <c r="J49" s="217">
        <v>12349</v>
      </c>
      <c r="K49" s="217">
        <v>21013</v>
      </c>
      <c r="L49" s="110"/>
      <c r="M49" s="217">
        <v>1505</v>
      </c>
      <c r="N49" s="217">
        <v>4354</v>
      </c>
      <c r="O49" s="105"/>
      <c r="P49" s="211">
        <f t="shared" si="0"/>
        <v>31.419383787017647</v>
      </c>
      <c r="Q49" s="210">
        <f t="shared" si="1"/>
        <v>18.159588521318756</v>
      </c>
      <c r="R49" s="210">
        <f t="shared" si="2"/>
        <v>58.768381478132582</v>
      </c>
      <c r="S49" s="209">
        <f t="shared" si="3"/>
        <v>34.565916398713824</v>
      </c>
      <c r="T49" s="108"/>
      <c r="U49" s="109"/>
      <c r="V49" s="109"/>
    </row>
    <row r="50" spans="1:22">
      <c r="A50" s="101" t="s">
        <v>113</v>
      </c>
      <c r="B50" s="102" t="s">
        <v>310</v>
      </c>
      <c r="C50" s="103" t="s">
        <v>272</v>
      </c>
      <c r="D50" s="221">
        <v>4636</v>
      </c>
      <c r="E50" s="222">
        <v>11572</v>
      </c>
      <c r="F50" s="104"/>
      <c r="G50" s="217">
        <v>2149</v>
      </c>
      <c r="H50" s="217">
        <v>7196</v>
      </c>
      <c r="I50" s="107"/>
      <c r="J50" s="217">
        <v>1907</v>
      </c>
      <c r="K50" s="217">
        <v>3041</v>
      </c>
      <c r="L50" s="110"/>
      <c r="M50" s="217">
        <v>415</v>
      </c>
      <c r="N50" s="217">
        <v>1164</v>
      </c>
      <c r="O50" s="105"/>
      <c r="P50" s="211">
        <f t="shared" si="0"/>
        <v>40.06221914967162</v>
      </c>
      <c r="Q50" s="210">
        <f t="shared" si="1"/>
        <v>29.863813229571985</v>
      </c>
      <c r="R50" s="210">
        <f t="shared" si="2"/>
        <v>62.709634988490627</v>
      </c>
      <c r="S50" s="209">
        <f t="shared" si="3"/>
        <v>35.65292096219931</v>
      </c>
      <c r="T50" s="108"/>
      <c r="U50" s="109"/>
      <c r="V50" s="109"/>
    </row>
    <row r="51" spans="1:22">
      <c r="A51" s="101" t="s">
        <v>115</v>
      </c>
      <c r="B51" s="102" t="s">
        <v>116</v>
      </c>
      <c r="C51" s="103" t="s">
        <v>272</v>
      </c>
      <c r="D51" s="221">
        <v>57</v>
      </c>
      <c r="E51" s="222">
        <v>311</v>
      </c>
      <c r="F51" s="104"/>
      <c r="G51" s="217">
        <v>55</v>
      </c>
      <c r="H51" s="217">
        <v>309</v>
      </c>
      <c r="I51" s="107"/>
      <c r="J51" s="217">
        <v>2</v>
      </c>
      <c r="K51" s="217">
        <v>2</v>
      </c>
      <c r="L51" s="110"/>
      <c r="M51" s="217">
        <v>0</v>
      </c>
      <c r="N51" s="217">
        <v>0</v>
      </c>
      <c r="O51" s="105"/>
      <c r="P51" s="211">
        <f t="shared" si="0"/>
        <v>18.327974276527332</v>
      </c>
      <c r="Q51" s="210">
        <f t="shared" si="1"/>
        <v>17.79935275080906</v>
      </c>
      <c r="R51" s="210">
        <f t="shared" si="2"/>
        <v>100</v>
      </c>
      <c r="S51" s="209" t="str">
        <f t="shared" si="3"/>
        <v>NA</v>
      </c>
      <c r="T51" s="108"/>
      <c r="U51" s="109"/>
      <c r="V51" s="109"/>
    </row>
    <row r="52" spans="1:22">
      <c r="A52" s="101" t="s">
        <v>119</v>
      </c>
      <c r="B52" s="102" t="s">
        <v>120</v>
      </c>
      <c r="C52" s="103" t="s">
        <v>271</v>
      </c>
      <c r="D52" s="221">
        <v>1834</v>
      </c>
      <c r="E52" s="222">
        <v>6991</v>
      </c>
      <c r="F52" s="104"/>
      <c r="G52" s="217">
        <v>879</v>
      </c>
      <c r="H52" s="217">
        <v>4950</v>
      </c>
      <c r="I52" s="107"/>
      <c r="J52" s="217">
        <v>846</v>
      </c>
      <c r="K52" s="217">
        <v>1612</v>
      </c>
      <c r="L52" s="110"/>
      <c r="M52" s="217">
        <v>61</v>
      </c>
      <c r="N52" s="217">
        <v>221</v>
      </c>
      <c r="O52" s="105"/>
      <c r="P52" s="211">
        <f t="shared" si="0"/>
        <v>26.233729080246032</v>
      </c>
      <c r="Q52" s="210">
        <f t="shared" si="1"/>
        <v>17.757575757575758</v>
      </c>
      <c r="R52" s="210">
        <f t="shared" si="2"/>
        <v>52.481389578163771</v>
      </c>
      <c r="S52" s="209">
        <f t="shared" si="3"/>
        <v>27.601809954751133</v>
      </c>
      <c r="T52" s="108"/>
      <c r="U52" s="109"/>
      <c r="V52" s="109"/>
    </row>
    <row r="53" spans="1:22">
      <c r="A53" s="101" t="s">
        <v>121</v>
      </c>
      <c r="B53" s="102" t="s">
        <v>122</v>
      </c>
      <c r="C53" s="103" t="s">
        <v>271</v>
      </c>
      <c r="D53" s="221">
        <v>3017</v>
      </c>
      <c r="E53" s="222">
        <v>13018</v>
      </c>
      <c r="F53" s="104"/>
      <c r="G53" s="217">
        <v>1657</v>
      </c>
      <c r="H53" s="217">
        <v>9918</v>
      </c>
      <c r="I53" s="107"/>
      <c r="J53" s="217">
        <v>936</v>
      </c>
      <c r="K53" s="217">
        <v>1676</v>
      </c>
      <c r="L53" s="110"/>
      <c r="M53" s="217">
        <v>291</v>
      </c>
      <c r="N53" s="217">
        <v>917</v>
      </c>
      <c r="O53" s="105"/>
      <c r="P53" s="211">
        <f t="shared" si="0"/>
        <v>23.175603011215241</v>
      </c>
      <c r="Q53" s="210">
        <f t="shared" si="1"/>
        <v>16.706997378503729</v>
      </c>
      <c r="R53" s="210">
        <f t="shared" si="2"/>
        <v>55.847255369928405</v>
      </c>
      <c r="S53" s="209">
        <f t="shared" si="3"/>
        <v>31.733914940021812</v>
      </c>
      <c r="T53" s="108"/>
      <c r="U53" s="109"/>
      <c r="V53" s="109"/>
    </row>
    <row r="54" spans="1:22">
      <c r="A54" s="101" t="s">
        <v>123</v>
      </c>
      <c r="B54" s="102" t="s">
        <v>278</v>
      </c>
      <c r="C54" s="103" t="s">
        <v>273</v>
      </c>
      <c r="D54" s="221">
        <v>341</v>
      </c>
      <c r="E54" s="222">
        <v>1202</v>
      </c>
      <c r="F54" s="104"/>
      <c r="G54" s="217">
        <v>185</v>
      </c>
      <c r="H54" s="217">
        <v>850</v>
      </c>
      <c r="I54" s="107"/>
      <c r="J54" s="217">
        <v>123</v>
      </c>
      <c r="K54" s="217">
        <v>259</v>
      </c>
      <c r="L54" s="110"/>
      <c r="M54" s="217">
        <v>11</v>
      </c>
      <c r="N54" s="217">
        <v>72</v>
      </c>
      <c r="O54" s="105"/>
      <c r="P54" s="211">
        <f t="shared" si="0"/>
        <v>28.369384359401</v>
      </c>
      <c r="Q54" s="210">
        <f t="shared" si="1"/>
        <v>21.764705882352942</v>
      </c>
      <c r="R54" s="210">
        <f t="shared" si="2"/>
        <v>47.490347490347489</v>
      </c>
      <c r="S54" s="209">
        <f t="shared" si="3"/>
        <v>15.277777777777779</v>
      </c>
      <c r="T54" s="108"/>
      <c r="U54" s="109"/>
      <c r="V54" s="109"/>
    </row>
    <row r="55" spans="1:22">
      <c r="A55" s="101" t="s">
        <v>125</v>
      </c>
      <c r="B55" s="102" t="s">
        <v>126</v>
      </c>
      <c r="C55" s="103" t="s">
        <v>274</v>
      </c>
      <c r="D55" s="221">
        <v>1214</v>
      </c>
      <c r="E55" s="222">
        <v>5771</v>
      </c>
      <c r="F55" s="104"/>
      <c r="G55" s="217">
        <v>732</v>
      </c>
      <c r="H55" s="217">
        <v>4347</v>
      </c>
      <c r="I55" s="107"/>
      <c r="J55" s="217">
        <v>375</v>
      </c>
      <c r="K55" s="217">
        <v>931</v>
      </c>
      <c r="L55" s="110"/>
      <c r="M55" s="217">
        <v>56</v>
      </c>
      <c r="N55" s="217">
        <v>292</v>
      </c>
      <c r="O55" s="105"/>
      <c r="P55" s="211">
        <f t="shared" si="0"/>
        <v>21.036215560561427</v>
      </c>
      <c r="Q55" s="210">
        <f t="shared" si="1"/>
        <v>16.839199447895101</v>
      </c>
      <c r="R55" s="210">
        <f t="shared" si="2"/>
        <v>40.27926960257787</v>
      </c>
      <c r="S55" s="209">
        <f t="shared" si="3"/>
        <v>19.17808219178082</v>
      </c>
      <c r="T55" s="108"/>
      <c r="U55" s="109"/>
      <c r="V55" s="109"/>
    </row>
    <row r="56" spans="1:22">
      <c r="A56" s="101" t="s">
        <v>127</v>
      </c>
      <c r="B56" s="102" t="s">
        <v>128</v>
      </c>
      <c r="C56" s="103" t="s">
        <v>273</v>
      </c>
      <c r="D56" s="221">
        <v>814</v>
      </c>
      <c r="E56" s="222">
        <v>3459</v>
      </c>
      <c r="F56" s="104"/>
      <c r="G56" s="217">
        <v>571</v>
      </c>
      <c r="H56" s="217">
        <v>2797</v>
      </c>
      <c r="I56" s="107"/>
      <c r="J56" s="217">
        <v>169</v>
      </c>
      <c r="K56" s="217">
        <v>400</v>
      </c>
      <c r="L56" s="110"/>
      <c r="M56" s="217">
        <v>27</v>
      </c>
      <c r="N56" s="217">
        <v>99</v>
      </c>
      <c r="O56" s="105"/>
      <c r="P56" s="211">
        <f t="shared" si="0"/>
        <v>23.53281295172015</v>
      </c>
      <c r="Q56" s="210">
        <f t="shared" si="1"/>
        <v>20.414730067929927</v>
      </c>
      <c r="R56" s="210">
        <f t="shared" si="2"/>
        <v>42.25</v>
      </c>
      <c r="S56" s="209">
        <f t="shared" si="3"/>
        <v>27.27272727272727</v>
      </c>
      <c r="T56" s="108"/>
      <c r="U56" s="109"/>
      <c r="V56" s="109"/>
    </row>
    <row r="57" spans="1:22">
      <c r="A57" s="101" t="s">
        <v>129</v>
      </c>
      <c r="B57" s="102" t="s">
        <v>130</v>
      </c>
      <c r="C57" s="103" t="s">
        <v>273</v>
      </c>
      <c r="D57" s="221">
        <v>634</v>
      </c>
      <c r="E57" s="222">
        <v>1540</v>
      </c>
      <c r="F57" s="104"/>
      <c r="G57" s="217">
        <v>197</v>
      </c>
      <c r="H57" s="217">
        <v>855</v>
      </c>
      <c r="I57" s="107"/>
      <c r="J57" s="217">
        <v>405</v>
      </c>
      <c r="K57" s="217">
        <v>607</v>
      </c>
      <c r="L57" s="110"/>
      <c r="M57" s="217">
        <v>12</v>
      </c>
      <c r="N57" s="217">
        <v>34</v>
      </c>
      <c r="O57" s="105"/>
      <c r="P57" s="211">
        <f t="shared" si="0"/>
        <v>41.168831168831169</v>
      </c>
      <c r="Q57" s="210">
        <f t="shared" si="1"/>
        <v>23.040935672514621</v>
      </c>
      <c r="R57" s="210">
        <f t="shared" si="2"/>
        <v>66.721581548599673</v>
      </c>
      <c r="S57" s="209">
        <f t="shared" si="3"/>
        <v>35.294117647058826</v>
      </c>
      <c r="T57" s="108"/>
      <c r="U57" s="109"/>
      <c r="V57" s="109"/>
    </row>
    <row r="58" spans="1:22">
      <c r="A58" s="101" t="s">
        <v>131</v>
      </c>
      <c r="B58" s="102" t="s">
        <v>132</v>
      </c>
      <c r="C58" s="103" t="s">
        <v>275</v>
      </c>
      <c r="D58" s="221">
        <v>1233</v>
      </c>
      <c r="E58" s="222">
        <v>4423</v>
      </c>
      <c r="F58" s="104"/>
      <c r="G58" s="217">
        <v>1193</v>
      </c>
      <c r="H58" s="217">
        <v>4329</v>
      </c>
      <c r="I58" s="107"/>
      <c r="J58" s="217">
        <v>7</v>
      </c>
      <c r="K58" s="217">
        <v>21</v>
      </c>
      <c r="L58" s="110"/>
      <c r="M58" s="217">
        <v>25</v>
      </c>
      <c r="N58" s="217">
        <v>48</v>
      </c>
      <c r="O58" s="105"/>
      <c r="P58" s="211">
        <f t="shared" si="0"/>
        <v>27.87700655663577</v>
      </c>
      <c r="Q58" s="210">
        <f t="shared" si="1"/>
        <v>27.558327558327562</v>
      </c>
      <c r="R58" s="210">
        <f t="shared" si="2"/>
        <v>33.333333333333329</v>
      </c>
      <c r="S58" s="209">
        <f t="shared" si="3"/>
        <v>52.083333333333336</v>
      </c>
      <c r="T58" s="108"/>
      <c r="U58" s="109"/>
      <c r="V58" s="109"/>
    </row>
    <row r="59" spans="1:22">
      <c r="A59" s="101" t="s">
        <v>133</v>
      </c>
      <c r="B59" s="102" t="s">
        <v>134</v>
      </c>
      <c r="C59" s="103" t="s">
        <v>274</v>
      </c>
      <c r="D59" s="221">
        <v>11869</v>
      </c>
      <c r="E59" s="222">
        <v>90189</v>
      </c>
      <c r="F59" s="104"/>
      <c r="G59" s="217">
        <v>7177</v>
      </c>
      <c r="H59" s="217">
        <v>59927</v>
      </c>
      <c r="I59" s="107"/>
      <c r="J59" s="217">
        <v>1805</v>
      </c>
      <c r="K59" s="217">
        <v>5736</v>
      </c>
      <c r="L59" s="110"/>
      <c r="M59" s="217">
        <v>2403</v>
      </c>
      <c r="N59" s="217">
        <v>11322</v>
      </c>
      <c r="O59" s="105"/>
      <c r="P59" s="211">
        <f t="shared" si="0"/>
        <v>13.160141480668376</v>
      </c>
      <c r="Q59" s="210">
        <f t="shared" si="1"/>
        <v>11.976237755936388</v>
      </c>
      <c r="R59" s="210">
        <f t="shared" si="2"/>
        <v>31.467921896792188</v>
      </c>
      <c r="S59" s="209">
        <f t="shared" si="3"/>
        <v>21.224165341812402</v>
      </c>
      <c r="T59" s="108"/>
      <c r="U59" s="109"/>
      <c r="V59" s="109"/>
    </row>
    <row r="60" spans="1:22">
      <c r="A60" s="101" t="s">
        <v>135</v>
      </c>
      <c r="B60" s="102" t="s">
        <v>136</v>
      </c>
      <c r="C60" s="103" t="s">
        <v>274</v>
      </c>
      <c r="D60" s="221">
        <v>1576</v>
      </c>
      <c r="E60" s="222">
        <v>6209</v>
      </c>
      <c r="F60" s="104"/>
      <c r="G60" s="217">
        <v>969</v>
      </c>
      <c r="H60" s="217">
        <v>4816</v>
      </c>
      <c r="I60" s="107"/>
      <c r="J60" s="217">
        <v>447</v>
      </c>
      <c r="K60" s="217">
        <v>915</v>
      </c>
      <c r="L60" s="110"/>
      <c r="M60" s="217">
        <v>49</v>
      </c>
      <c r="N60" s="217">
        <v>238</v>
      </c>
      <c r="O60" s="105"/>
      <c r="P60" s="211">
        <f t="shared" si="0"/>
        <v>25.382509260750524</v>
      </c>
      <c r="Q60" s="210">
        <f t="shared" si="1"/>
        <v>20.120431893687709</v>
      </c>
      <c r="R60" s="210">
        <f t="shared" si="2"/>
        <v>48.852459016393439</v>
      </c>
      <c r="S60" s="209">
        <f t="shared" si="3"/>
        <v>20.588235294117645</v>
      </c>
      <c r="T60" s="108"/>
      <c r="U60" s="109"/>
      <c r="V60" s="109"/>
    </row>
    <row r="61" spans="1:22">
      <c r="A61" s="101" t="s">
        <v>137</v>
      </c>
      <c r="B61" s="102" t="s">
        <v>138</v>
      </c>
      <c r="C61" s="103" t="s">
        <v>273</v>
      </c>
      <c r="D61" s="221">
        <v>702</v>
      </c>
      <c r="E61" s="222">
        <v>2032</v>
      </c>
      <c r="F61" s="104"/>
      <c r="G61" s="217">
        <v>310</v>
      </c>
      <c r="H61" s="217">
        <v>1308</v>
      </c>
      <c r="I61" s="107"/>
      <c r="J61" s="217">
        <v>310</v>
      </c>
      <c r="K61" s="217">
        <v>544</v>
      </c>
      <c r="L61" s="110"/>
      <c r="M61" s="217">
        <v>51</v>
      </c>
      <c r="N61" s="217">
        <v>125</v>
      </c>
      <c r="O61" s="105"/>
      <c r="P61" s="211">
        <f t="shared" si="0"/>
        <v>34.547244094488185</v>
      </c>
      <c r="Q61" s="210">
        <f t="shared" si="1"/>
        <v>23.700305810397555</v>
      </c>
      <c r="R61" s="210">
        <f t="shared" si="2"/>
        <v>56.985294117647058</v>
      </c>
      <c r="S61" s="209">
        <f t="shared" si="3"/>
        <v>40.799999999999997</v>
      </c>
      <c r="T61" s="108"/>
      <c r="U61" s="109"/>
      <c r="V61" s="109"/>
    </row>
    <row r="62" spans="1:22">
      <c r="A62" s="101" t="s">
        <v>141</v>
      </c>
      <c r="B62" s="102" t="s">
        <v>142</v>
      </c>
      <c r="C62" s="103" t="s">
        <v>274</v>
      </c>
      <c r="D62" s="221">
        <v>551</v>
      </c>
      <c r="E62" s="222">
        <v>2527</v>
      </c>
      <c r="F62" s="104"/>
      <c r="G62" s="217">
        <v>442</v>
      </c>
      <c r="H62" s="217">
        <v>2181</v>
      </c>
      <c r="I62" s="107"/>
      <c r="J62" s="217">
        <v>60</v>
      </c>
      <c r="K62" s="217">
        <v>180</v>
      </c>
      <c r="L62" s="110"/>
      <c r="M62" s="217">
        <v>17</v>
      </c>
      <c r="N62" s="217">
        <v>78</v>
      </c>
      <c r="O62" s="105"/>
      <c r="P62" s="211">
        <f t="shared" si="0"/>
        <v>21.804511278195488</v>
      </c>
      <c r="Q62" s="210">
        <f t="shared" si="1"/>
        <v>20.265933058230171</v>
      </c>
      <c r="R62" s="210">
        <f t="shared" si="2"/>
        <v>33.333333333333329</v>
      </c>
      <c r="S62" s="209">
        <f t="shared" si="3"/>
        <v>21.794871794871796</v>
      </c>
      <c r="T62" s="108"/>
      <c r="U62" s="109"/>
      <c r="V62" s="109"/>
    </row>
    <row r="63" spans="1:22">
      <c r="A63" s="101" t="s">
        <v>147</v>
      </c>
      <c r="B63" s="102" t="s">
        <v>148</v>
      </c>
      <c r="C63" s="103" t="s">
        <v>271</v>
      </c>
      <c r="D63" s="221">
        <v>306</v>
      </c>
      <c r="E63" s="222">
        <v>1399</v>
      </c>
      <c r="F63" s="104"/>
      <c r="G63" s="217">
        <v>236</v>
      </c>
      <c r="H63" s="217">
        <v>1218</v>
      </c>
      <c r="I63" s="107"/>
      <c r="J63" s="217">
        <v>51</v>
      </c>
      <c r="K63" s="217">
        <v>119</v>
      </c>
      <c r="L63" s="110"/>
      <c r="M63" s="217">
        <v>5</v>
      </c>
      <c r="N63" s="217">
        <v>33</v>
      </c>
      <c r="O63" s="105"/>
      <c r="P63" s="211">
        <f t="shared" si="0"/>
        <v>21.872766261615439</v>
      </c>
      <c r="Q63" s="210">
        <f t="shared" si="1"/>
        <v>19.376026272577999</v>
      </c>
      <c r="R63" s="210">
        <f t="shared" si="2"/>
        <v>42.857142857142854</v>
      </c>
      <c r="S63" s="209">
        <f t="shared" si="3"/>
        <v>15.151515151515152</v>
      </c>
      <c r="T63" s="108"/>
      <c r="U63" s="109"/>
      <c r="V63" s="109"/>
    </row>
    <row r="64" spans="1:22">
      <c r="A64" s="101" t="s">
        <v>149</v>
      </c>
      <c r="B64" s="102" t="s">
        <v>150</v>
      </c>
      <c r="C64" s="103" t="s">
        <v>272</v>
      </c>
      <c r="D64" s="221">
        <v>2155</v>
      </c>
      <c r="E64" s="222">
        <v>5216</v>
      </c>
      <c r="F64" s="104"/>
      <c r="G64" s="217">
        <v>756</v>
      </c>
      <c r="H64" s="217">
        <v>2955</v>
      </c>
      <c r="I64" s="107"/>
      <c r="J64" s="217">
        <v>1255</v>
      </c>
      <c r="K64" s="217">
        <v>1903</v>
      </c>
      <c r="L64" s="110"/>
      <c r="M64" s="217">
        <v>52</v>
      </c>
      <c r="N64" s="217">
        <v>199</v>
      </c>
      <c r="O64" s="105"/>
      <c r="P64" s="211">
        <f t="shared" si="0"/>
        <v>41.315184049079754</v>
      </c>
      <c r="Q64" s="210">
        <f t="shared" si="1"/>
        <v>25.583756345177665</v>
      </c>
      <c r="R64" s="210">
        <f t="shared" si="2"/>
        <v>65.948502364687329</v>
      </c>
      <c r="S64" s="209">
        <f t="shared" si="3"/>
        <v>26.13065326633166</v>
      </c>
      <c r="T64" s="108"/>
      <c r="U64" s="109"/>
      <c r="V64" s="109"/>
    </row>
    <row r="65" spans="1:22">
      <c r="A65" s="101" t="s">
        <v>151</v>
      </c>
      <c r="B65" s="102" t="s">
        <v>152</v>
      </c>
      <c r="C65" s="103" t="s">
        <v>273</v>
      </c>
      <c r="D65" s="221">
        <v>430</v>
      </c>
      <c r="E65" s="222">
        <v>1466</v>
      </c>
      <c r="F65" s="104"/>
      <c r="G65" s="217">
        <v>300</v>
      </c>
      <c r="H65" s="217">
        <v>1152</v>
      </c>
      <c r="I65" s="107"/>
      <c r="J65" s="217">
        <v>108</v>
      </c>
      <c r="K65" s="217">
        <v>232</v>
      </c>
      <c r="L65" s="110"/>
      <c r="M65" s="217">
        <v>6</v>
      </c>
      <c r="N65" s="217">
        <v>42</v>
      </c>
      <c r="O65" s="105"/>
      <c r="P65" s="211">
        <f t="shared" si="0"/>
        <v>29.331514324693043</v>
      </c>
      <c r="Q65" s="210">
        <f t="shared" si="1"/>
        <v>26.041666666666668</v>
      </c>
      <c r="R65" s="210">
        <f t="shared" si="2"/>
        <v>46.551724137931032</v>
      </c>
      <c r="S65" s="209">
        <f t="shared" si="3"/>
        <v>14.285714285714285</v>
      </c>
      <c r="T65" s="108"/>
      <c r="U65" s="109"/>
      <c r="V65" s="109"/>
    </row>
    <row r="66" spans="1:22">
      <c r="A66" s="101" t="s">
        <v>153</v>
      </c>
      <c r="B66" s="102" t="s">
        <v>154</v>
      </c>
      <c r="C66" s="103" t="s">
        <v>275</v>
      </c>
      <c r="D66" s="221">
        <v>3395</v>
      </c>
      <c r="E66" s="222">
        <v>13668</v>
      </c>
      <c r="F66" s="104"/>
      <c r="G66" s="217">
        <v>2763</v>
      </c>
      <c r="H66" s="217">
        <v>11839</v>
      </c>
      <c r="I66" s="107"/>
      <c r="J66" s="217">
        <v>331</v>
      </c>
      <c r="K66" s="217">
        <v>574</v>
      </c>
      <c r="L66" s="110"/>
      <c r="M66" s="217">
        <v>146</v>
      </c>
      <c r="N66" s="217">
        <v>478</v>
      </c>
      <c r="O66" s="105"/>
      <c r="P66" s="211">
        <f t="shared" si="0"/>
        <v>24.839040093649402</v>
      </c>
      <c r="Q66" s="210">
        <f t="shared" si="1"/>
        <v>23.338119773629529</v>
      </c>
      <c r="R66" s="210">
        <f t="shared" si="2"/>
        <v>57.665505226480839</v>
      </c>
      <c r="S66" s="209">
        <f t="shared" si="3"/>
        <v>30.543933054393307</v>
      </c>
      <c r="T66" s="108"/>
      <c r="U66" s="109"/>
      <c r="V66" s="109"/>
    </row>
    <row r="67" spans="1:22">
      <c r="A67" s="101" t="s">
        <v>155</v>
      </c>
      <c r="B67" s="102" t="s">
        <v>156</v>
      </c>
      <c r="C67" s="103" t="s">
        <v>272</v>
      </c>
      <c r="D67" s="221">
        <v>697</v>
      </c>
      <c r="E67" s="222">
        <v>2438</v>
      </c>
      <c r="F67" s="104"/>
      <c r="G67" s="217">
        <v>477</v>
      </c>
      <c r="H67" s="217">
        <v>1992</v>
      </c>
      <c r="I67" s="107"/>
      <c r="J67" s="217">
        <v>149</v>
      </c>
      <c r="K67" s="217">
        <v>263</v>
      </c>
      <c r="L67" s="110"/>
      <c r="M67" s="217">
        <v>33</v>
      </c>
      <c r="N67" s="217">
        <v>141</v>
      </c>
      <c r="O67" s="105"/>
      <c r="P67" s="211">
        <f t="shared" si="0"/>
        <v>28.589007383100899</v>
      </c>
      <c r="Q67" s="210">
        <f t="shared" si="1"/>
        <v>23.945783132530121</v>
      </c>
      <c r="R67" s="210">
        <f t="shared" si="2"/>
        <v>56.653992395437257</v>
      </c>
      <c r="S67" s="209">
        <f t="shared" si="3"/>
        <v>23.404255319148938</v>
      </c>
      <c r="T67" s="108"/>
      <c r="U67" s="109"/>
      <c r="V67" s="109"/>
    </row>
    <row r="68" spans="1:22">
      <c r="A68" s="101" t="s">
        <v>157</v>
      </c>
      <c r="B68" s="102" t="s">
        <v>158</v>
      </c>
      <c r="C68" s="103" t="s">
        <v>273</v>
      </c>
      <c r="D68" s="221">
        <v>700</v>
      </c>
      <c r="E68" s="222">
        <v>3565</v>
      </c>
      <c r="F68" s="104"/>
      <c r="G68" s="217">
        <v>550</v>
      </c>
      <c r="H68" s="217">
        <v>2983</v>
      </c>
      <c r="I68" s="107"/>
      <c r="J68" s="217">
        <v>102</v>
      </c>
      <c r="K68" s="217">
        <v>317</v>
      </c>
      <c r="L68" s="110"/>
      <c r="M68" s="217">
        <v>19</v>
      </c>
      <c r="N68" s="217">
        <v>136</v>
      </c>
      <c r="O68" s="105"/>
      <c r="P68" s="211">
        <f t="shared" si="0"/>
        <v>19.635343618513325</v>
      </c>
      <c r="Q68" s="210">
        <f t="shared" si="1"/>
        <v>18.437814280925245</v>
      </c>
      <c r="R68" s="210">
        <f t="shared" si="2"/>
        <v>32.176656151419557</v>
      </c>
      <c r="S68" s="209">
        <f t="shared" si="3"/>
        <v>13.970588235294118</v>
      </c>
      <c r="T68" s="108"/>
      <c r="U68" s="109"/>
      <c r="V68" s="109"/>
    </row>
    <row r="69" spans="1:22">
      <c r="A69" s="101" t="s">
        <v>163</v>
      </c>
      <c r="B69" s="102" t="s">
        <v>164</v>
      </c>
      <c r="C69" s="103" t="s">
        <v>271</v>
      </c>
      <c r="D69" s="221">
        <v>887</v>
      </c>
      <c r="E69" s="222">
        <v>2010</v>
      </c>
      <c r="F69" s="104"/>
      <c r="G69" s="217">
        <v>283</v>
      </c>
      <c r="H69" s="217">
        <v>1078</v>
      </c>
      <c r="I69" s="107"/>
      <c r="J69" s="217">
        <v>508</v>
      </c>
      <c r="K69" s="217">
        <v>710</v>
      </c>
      <c r="L69" s="110"/>
      <c r="M69" s="217">
        <v>113</v>
      </c>
      <c r="N69" s="217">
        <v>283</v>
      </c>
      <c r="O69" s="105"/>
      <c r="P69" s="211">
        <f t="shared" si="0"/>
        <v>44.129353233830848</v>
      </c>
      <c r="Q69" s="210">
        <f t="shared" si="1"/>
        <v>26.252319109461968</v>
      </c>
      <c r="R69" s="210">
        <f t="shared" si="2"/>
        <v>71.549295774647888</v>
      </c>
      <c r="S69" s="209">
        <f t="shared" si="3"/>
        <v>39.929328621908127</v>
      </c>
      <c r="T69" s="108"/>
      <c r="U69" s="109"/>
      <c r="V69" s="109"/>
    </row>
    <row r="70" spans="1:22">
      <c r="A70" s="101" t="s">
        <v>165</v>
      </c>
      <c r="B70" s="102" t="s">
        <v>166</v>
      </c>
      <c r="C70" s="103" t="s">
        <v>273</v>
      </c>
      <c r="D70" s="221">
        <v>579</v>
      </c>
      <c r="E70" s="222">
        <v>1628</v>
      </c>
      <c r="F70" s="104"/>
      <c r="G70" s="217">
        <v>237</v>
      </c>
      <c r="H70" s="217">
        <v>999</v>
      </c>
      <c r="I70" s="107"/>
      <c r="J70" s="217">
        <v>297</v>
      </c>
      <c r="K70" s="217">
        <v>521</v>
      </c>
      <c r="L70" s="110"/>
      <c r="M70" s="217">
        <v>34</v>
      </c>
      <c r="N70" s="217">
        <v>112</v>
      </c>
      <c r="O70" s="105"/>
      <c r="P70" s="211">
        <f t="shared" si="0"/>
        <v>35.565110565110565</v>
      </c>
      <c r="Q70" s="210">
        <f t="shared" si="1"/>
        <v>23.723723723723726</v>
      </c>
      <c r="R70" s="210">
        <f t="shared" si="2"/>
        <v>57.005758157389629</v>
      </c>
      <c r="S70" s="209">
        <f t="shared" si="3"/>
        <v>30.357142857142854</v>
      </c>
      <c r="T70" s="108"/>
      <c r="U70" s="109"/>
      <c r="V70" s="109"/>
    </row>
    <row r="71" spans="1:22">
      <c r="A71" s="101" t="s">
        <v>169</v>
      </c>
      <c r="B71" s="102" t="s">
        <v>170</v>
      </c>
      <c r="C71" s="103" t="s">
        <v>273</v>
      </c>
      <c r="D71" s="221">
        <v>997</v>
      </c>
      <c r="E71" s="222">
        <v>2678</v>
      </c>
      <c r="F71" s="104"/>
      <c r="G71" s="217">
        <v>421</v>
      </c>
      <c r="H71" s="217">
        <v>1585</v>
      </c>
      <c r="I71" s="107"/>
      <c r="J71" s="217">
        <v>506</v>
      </c>
      <c r="K71" s="217">
        <v>908</v>
      </c>
      <c r="L71" s="110"/>
      <c r="M71" s="217">
        <v>33</v>
      </c>
      <c r="N71" s="217">
        <v>158</v>
      </c>
      <c r="O71" s="105"/>
      <c r="P71" s="211">
        <f t="shared" ref="P71:P126" si="4">(D71/E71)*100</f>
        <v>37.229275578790144</v>
      </c>
      <c r="Q71" s="210">
        <f t="shared" ref="Q71:Q126" si="5">(G71/H71)*100</f>
        <v>26.561514195583598</v>
      </c>
      <c r="R71" s="210">
        <f t="shared" ref="R71:R126" si="6">(J71/K71)*100</f>
        <v>55.726872246696033</v>
      </c>
      <c r="S71" s="209">
        <f t="shared" ref="S71:S126" si="7">IF(N71&lt;1,"NA", ((M71/N71)*100))</f>
        <v>20.88607594936709</v>
      </c>
      <c r="T71" s="108"/>
      <c r="U71" s="109"/>
      <c r="V71" s="109"/>
    </row>
    <row r="72" spans="1:22">
      <c r="A72" s="101" t="s">
        <v>171</v>
      </c>
      <c r="B72" s="102" t="s">
        <v>172</v>
      </c>
      <c r="C72" s="103" t="s">
        <v>274</v>
      </c>
      <c r="D72" s="221">
        <v>1664</v>
      </c>
      <c r="E72" s="222">
        <v>6621</v>
      </c>
      <c r="F72" s="104"/>
      <c r="G72" s="217">
        <v>1104</v>
      </c>
      <c r="H72" s="217">
        <v>5261</v>
      </c>
      <c r="I72" s="107"/>
      <c r="J72" s="217">
        <v>363</v>
      </c>
      <c r="K72" s="217">
        <v>777</v>
      </c>
      <c r="L72" s="110"/>
      <c r="M72" s="217">
        <v>99</v>
      </c>
      <c r="N72" s="217">
        <v>366</v>
      </c>
      <c r="O72" s="105"/>
      <c r="P72" s="211">
        <f t="shared" si="4"/>
        <v>25.132155263555354</v>
      </c>
      <c r="Q72" s="210">
        <f t="shared" si="5"/>
        <v>20.984603687511878</v>
      </c>
      <c r="R72" s="210">
        <f t="shared" si="6"/>
        <v>46.71814671814672</v>
      </c>
      <c r="S72" s="209">
        <f t="shared" si="7"/>
        <v>27.049180327868854</v>
      </c>
      <c r="T72" s="108"/>
      <c r="U72" s="109"/>
      <c r="V72" s="109"/>
    </row>
    <row r="73" spans="1:22">
      <c r="A73" s="101" t="s">
        <v>173</v>
      </c>
      <c r="B73" s="102" t="s">
        <v>174</v>
      </c>
      <c r="C73" s="103" t="s">
        <v>274</v>
      </c>
      <c r="D73" s="221">
        <v>1301</v>
      </c>
      <c r="E73" s="222">
        <v>4462</v>
      </c>
      <c r="F73" s="104"/>
      <c r="G73" s="217">
        <v>1205</v>
      </c>
      <c r="H73" s="217">
        <v>4233</v>
      </c>
      <c r="I73" s="107"/>
      <c r="J73" s="217">
        <v>40</v>
      </c>
      <c r="K73" s="217">
        <v>69</v>
      </c>
      <c r="L73" s="110"/>
      <c r="M73" s="217">
        <v>54</v>
      </c>
      <c r="N73" s="217">
        <v>128</v>
      </c>
      <c r="O73" s="105"/>
      <c r="P73" s="211">
        <f t="shared" si="4"/>
        <v>29.157328552218736</v>
      </c>
      <c r="Q73" s="210">
        <f t="shared" si="5"/>
        <v>28.466808410111032</v>
      </c>
      <c r="R73" s="210">
        <f t="shared" si="6"/>
        <v>57.971014492753625</v>
      </c>
      <c r="S73" s="209">
        <f t="shared" si="7"/>
        <v>42.1875</v>
      </c>
      <c r="T73" s="108"/>
      <c r="U73" s="109"/>
      <c r="V73" s="109"/>
    </row>
    <row r="74" spans="1:22">
      <c r="A74" s="101" t="s">
        <v>175</v>
      </c>
      <c r="B74" s="102" t="s">
        <v>176</v>
      </c>
      <c r="C74" s="103" t="s">
        <v>275</v>
      </c>
      <c r="D74" s="221">
        <v>892</v>
      </c>
      <c r="E74" s="222">
        <v>3154</v>
      </c>
      <c r="F74" s="104"/>
      <c r="G74" s="217">
        <v>738</v>
      </c>
      <c r="H74" s="217">
        <v>2803</v>
      </c>
      <c r="I74" s="107"/>
      <c r="J74" s="217">
        <v>97</v>
      </c>
      <c r="K74" s="217">
        <v>159</v>
      </c>
      <c r="L74" s="110"/>
      <c r="M74" s="217">
        <v>48</v>
      </c>
      <c r="N74" s="217">
        <v>159</v>
      </c>
      <c r="O74" s="105"/>
      <c r="P74" s="211">
        <f t="shared" si="4"/>
        <v>28.28154724159797</v>
      </c>
      <c r="Q74" s="210">
        <f t="shared" si="5"/>
        <v>26.328933285765249</v>
      </c>
      <c r="R74" s="210">
        <f t="shared" si="6"/>
        <v>61.0062893081761</v>
      </c>
      <c r="S74" s="209">
        <f t="shared" si="7"/>
        <v>30.188679245283019</v>
      </c>
      <c r="T74" s="108"/>
      <c r="U74" s="109"/>
      <c r="V74" s="109"/>
    </row>
    <row r="75" spans="1:22">
      <c r="A75" s="101" t="s">
        <v>179</v>
      </c>
      <c r="B75" s="102" t="s">
        <v>180</v>
      </c>
      <c r="C75" s="103" t="s">
        <v>272</v>
      </c>
      <c r="D75" s="221">
        <v>3561</v>
      </c>
      <c r="E75" s="222">
        <v>11424</v>
      </c>
      <c r="F75" s="104"/>
      <c r="G75" s="217">
        <v>2288</v>
      </c>
      <c r="H75" s="217">
        <v>8821</v>
      </c>
      <c r="I75" s="107"/>
      <c r="J75" s="217">
        <v>1066</v>
      </c>
      <c r="K75" s="217">
        <v>2044</v>
      </c>
      <c r="L75" s="110"/>
      <c r="M75" s="217">
        <v>164</v>
      </c>
      <c r="N75" s="217">
        <v>419</v>
      </c>
      <c r="O75" s="105"/>
      <c r="P75" s="211">
        <f t="shared" si="4"/>
        <v>31.17121848739496</v>
      </c>
      <c r="Q75" s="210">
        <f t="shared" si="5"/>
        <v>25.938102255980048</v>
      </c>
      <c r="R75" s="210">
        <f t="shared" si="6"/>
        <v>52.152641878669279</v>
      </c>
      <c r="S75" s="209">
        <f t="shared" si="7"/>
        <v>39.140811455847256</v>
      </c>
      <c r="T75" s="108"/>
      <c r="U75" s="109"/>
      <c r="V75" s="109"/>
    </row>
    <row r="76" spans="1:22">
      <c r="A76" s="101" t="s">
        <v>183</v>
      </c>
      <c r="B76" s="102" t="s">
        <v>184</v>
      </c>
      <c r="C76" s="103" t="s">
        <v>273</v>
      </c>
      <c r="D76" s="221">
        <v>894</v>
      </c>
      <c r="E76" s="222">
        <v>5676</v>
      </c>
      <c r="F76" s="104"/>
      <c r="G76" s="217">
        <v>705</v>
      </c>
      <c r="H76" s="217">
        <v>5098</v>
      </c>
      <c r="I76" s="107"/>
      <c r="J76" s="217">
        <v>126</v>
      </c>
      <c r="K76" s="217">
        <v>331</v>
      </c>
      <c r="L76" s="110"/>
      <c r="M76" s="217">
        <v>31</v>
      </c>
      <c r="N76" s="217">
        <v>150</v>
      </c>
      <c r="O76" s="105"/>
      <c r="P76" s="211">
        <f t="shared" si="4"/>
        <v>15.750528541226217</v>
      </c>
      <c r="Q76" s="210">
        <f t="shared" si="5"/>
        <v>13.828952530404079</v>
      </c>
      <c r="R76" s="210">
        <f t="shared" si="6"/>
        <v>38.066465256797585</v>
      </c>
      <c r="S76" s="209">
        <f t="shared" si="7"/>
        <v>20.666666666666668</v>
      </c>
      <c r="T76" s="108"/>
      <c r="U76" s="109"/>
      <c r="V76" s="109"/>
    </row>
    <row r="77" spans="1:22">
      <c r="A77" s="101" t="s">
        <v>185</v>
      </c>
      <c r="B77" s="102" t="s">
        <v>186</v>
      </c>
      <c r="C77" s="103" t="s">
        <v>273</v>
      </c>
      <c r="D77" s="221">
        <v>1369</v>
      </c>
      <c r="E77" s="222">
        <v>3375</v>
      </c>
      <c r="F77" s="104"/>
      <c r="G77" s="217">
        <v>434</v>
      </c>
      <c r="H77" s="217">
        <v>1775</v>
      </c>
      <c r="I77" s="107"/>
      <c r="J77" s="217">
        <v>840</v>
      </c>
      <c r="K77" s="217">
        <v>1364</v>
      </c>
      <c r="L77" s="110"/>
      <c r="M77" s="217">
        <v>27</v>
      </c>
      <c r="N77" s="217">
        <v>99</v>
      </c>
      <c r="O77" s="105"/>
      <c r="P77" s="211">
        <f t="shared" si="4"/>
        <v>40.562962962962963</v>
      </c>
      <c r="Q77" s="210">
        <f t="shared" si="5"/>
        <v>24.450704225352112</v>
      </c>
      <c r="R77" s="210">
        <f t="shared" si="6"/>
        <v>61.583577712609973</v>
      </c>
      <c r="S77" s="209">
        <f t="shared" si="7"/>
        <v>27.27272727272727</v>
      </c>
      <c r="T77" s="108"/>
      <c r="U77" s="109"/>
      <c r="V77" s="109"/>
    </row>
    <row r="78" spans="1:22">
      <c r="A78" s="101" t="s">
        <v>187</v>
      </c>
      <c r="B78" s="102" t="s">
        <v>188</v>
      </c>
      <c r="C78" s="103" t="s">
        <v>271</v>
      </c>
      <c r="D78" s="221">
        <v>1977</v>
      </c>
      <c r="E78" s="222">
        <v>7077</v>
      </c>
      <c r="F78" s="104"/>
      <c r="G78" s="217">
        <v>897</v>
      </c>
      <c r="H78" s="217">
        <v>4149</v>
      </c>
      <c r="I78" s="107"/>
      <c r="J78" s="217">
        <v>877</v>
      </c>
      <c r="K78" s="217">
        <v>2141</v>
      </c>
      <c r="L78" s="110"/>
      <c r="M78" s="217">
        <v>144</v>
      </c>
      <c r="N78" s="217">
        <v>601</v>
      </c>
      <c r="O78" s="105"/>
      <c r="P78" s="211">
        <f t="shared" si="4"/>
        <v>27.935565917761764</v>
      </c>
      <c r="Q78" s="210">
        <f t="shared" si="5"/>
        <v>21.619667389732466</v>
      </c>
      <c r="R78" s="210">
        <f t="shared" si="6"/>
        <v>40.96216721158337</v>
      </c>
      <c r="S78" s="209">
        <f t="shared" si="7"/>
        <v>23.960066555740433</v>
      </c>
      <c r="T78" s="108"/>
      <c r="U78" s="109"/>
      <c r="V78" s="109"/>
    </row>
    <row r="79" spans="1:22">
      <c r="A79" s="101" t="s">
        <v>189</v>
      </c>
      <c r="B79" s="102" t="s">
        <v>190</v>
      </c>
      <c r="C79" s="103" t="s">
        <v>274</v>
      </c>
      <c r="D79" s="221">
        <v>21749</v>
      </c>
      <c r="E79" s="222">
        <v>103118</v>
      </c>
      <c r="F79" s="104"/>
      <c r="G79" s="217">
        <v>8234</v>
      </c>
      <c r="H79" s="217">
        <v>55019</v>
      </c>
      <c r="I79" s="107"/>
      <c r="J79" s="217">
        <v>8089</v>
      </c>
      <c r="K79" s="217">
        <v>20838</v>
      </c>
      <c r="L79" s="110"/>
      <c r="M79" s="217">
        <v>5636</v>
      </c>
      <c r="N79" s="217">
        <v>24344</v>
      </c>
      <c r="O79" s="105"/>
      <c r="P79" s="211">
        <f t="shared" si="4"/>
        <v>21.091371050641015</v>
      </c>
      <c r="Q79" s="210">
        <f t="shared" si="5"/>
        <v>14.965739108308037</v>
      </c>
      <c r="R79" s="210">
        <f t="shared" si="6"/>
        <v>38.818504654957295</v>
      </c>
      <c r="S79" s="209">
        <f t="shared" si="7"/>
        <v>23.151495234965495</v>
      </c>
      <c r="T79" s="108"/>
      <c r="U79" s="109"/>
      <c r="V79" s="109"/>
    </row>
    <row r="80" spans="1:22">
      <c r="A80" s="101" t="s">
        <v>191</v>
      </c>
      <c r="B80" s="102" t="s">
        <v>192</v>
      </c>
      <c r="C80" s="103" t="s">
        <v>275</v>
      </c>
      <c r="D80" s="221">
        <v>1787</v>
      </c>
      <c r="E80" s="222">
        <v>5721</v>
      </c>
      <c r="F80" s="104"/>
      <c r="G80" s="217">
        <v>1480</v>
      </c>
      <c r="H80" s="217">
        <v>5198</v>
      </c>
      <c r="I80" s="107"/>
      <c r="J80" s="217">
        <v>152</v>
      </c>
      <c r="K80" s="217">
        <v>245</v>
      </c>
      <c r="L80" s="110"/>
      <c r="M80" s="217">
        <v>43</v>
      </c>
      <c r="N80" s="217">
        <v>127</v>
      </c>
      <c r="O80" s="105"/>
      <c r="P80" s="211">
        <f t="shared" si="4"/>
        <v>31.235797937423527</v>
      </c>
      <c r="Q80" s="210">
        <f t="shared" si="5"/>
        <v>28.472489419007314</v>
      </c>
      <c r="R80" s="210">
        <f t="shared" si="6"/>
        <v>62.04081632653061</v>
      </c>
      <c r="S80" s="209">
        <f t="shared" si="7"/>
        <v>33.858267716535437</v>
      </c>
      <c r="T80" s="108"/>
      <c r="U80" s="109"/>
      <c r="V80" s="109"/>
    </row>
    <row r="81" spans="1:22">
      <c r="A81" s="101" t="s">
        <v>195</v>
      </c>
      <c r="B81" s="102" t="s">
        <v>196</v>
      </c>
      <c r="C81" s="103" t="s">
        <v>274</v>
      </c>
      <c r="D81" s="221">
        <v>320</v>
      </c>
      <c r="E81" s="222">
        <v>1265</v>
      </c>
      <c r="F81" s="104"/>
      <c r="G81" s="217">
        <v>269</v>
      </c>
      <c r="H81" s="217">
        <v>1157</v>
      </c>
      <c r="I81" s="107"/>
      <c r="J81" s="217">
        <v>23</v>
      </c>
      <c r="K81" s="217">
        <v>42</v>
      </c>
      <c r="L81" s="110"/>
      <c r="M81" s="217">
        <v>22</v>
      </c>
      <c r="N81" s="217">
        <v>71</v>
      </c>
      <c r="O81" s="105"/>
      <c r="P81" s="211">
        <f t="shared" si="4"/>
        <v>25.296442687747035</v>
      </c>
      <c r="Q81" s="210">
        <f t="shared" si="5"/>
        <v>23.249783923941227</v>
      </c>
      <c r="R81" s="210">
        <f t="shared" si="6"/>
        <v>54.761904761904766</v>
      </c>
      <c r="S81" s="209">
        <f t="shared" si="7"/>
        <v>30.985915492957744</v>
      </c>
      <c r="T81" s="108"/>
      <c r="U81" s="109"/>
      <c r="V81" s="109"/>
    </row>
    <row r="82" spans="1:22">
      <c r="A82" s="101" t="s">
        <v>199</v>
      </c>
      <c r="B82" s="102" t="s">
        <v>200</v>
      </c>
      <c r="C82" s="103" t="s">
        <v>273</v>
      </c>
      <c r="D82" s="221">
        <v>416</v>
      </c>
      <c r="E82" s="222">
        <v>1302</v>
      </c>
      <c r="F82" s="104"/>
      <c r="G82" s="217">
        <v>202</v>
      </c>
      <c r="H82" s="217">
        <v>875</v>
      </c>
      <c r="I82" s="107"/>
      <c r="J82" s="217">
        <v>175</v>
      </c>
      <c r="K82" s="217">
        <v>276</v>
      </c>
      <c r="L82" s="110"/>
      <c r="M82" s="217">
        <v>24</v>
      </c>
      <c r="N82" s="217">
        <v>125</v>
      </c>
      <c r="O82" s="105"/>
      <c r="P82" s="211">
        <f t="shared" si="4"/>
        <v>31.95084485407066</v>
      </c>
      <c r="Q82" s="210">
        <f t="shared" si="5"/>
        <v>23.085714285714285</v>
      </c>
      <c r="R82" s="210">
        <f t="shared" si="6"/>
        <v>63.405797101449281</v>
      </c>
      <c r="S82" s="209">
        <f t="shared" si="7"/>
        <v>19.2</v>
      </c>
      <c r="T82" s="108"/>
      <c r="U82" s="109"/>
      <c r="V82" s="109"/>
    </row>
    <row r="83" spans="1:22">
      <c r="A83" s="101" t="s">
        <v>203</v>
      </c>
      <c r="B83" s="102" t="s">
        <v>805</v>
      </c>
      <c r="C83" s="103" t="s">
        <v>272</v>
      </c>
      <c r="D83" s="221">
        <v>5421</v>
      </c>
      <c r="E83" s="222">
        <v>22594</v>
      </c>
      <c r="F83" s="104"/>
      <c r="G83" s="217">
        <v>4101</v>
      </c>
      <c r="H83" s="217">
        <v>19297</v>
      </c>
      <c r="I83" s="107"/>
      <c r="J83" s="217">
        <v>784</v>
      </c>
      <c r="K83" s="217">
        <v>1384</v>
      </c>
      <c r="L83" s="110"/>
      <c r="M83" s="217">
        <v>238</v>
      </c>
      <c r="N83" s="217">
        <v>833</v>
      </c>
      <c r="O83" s="105"/>
      <c r="P83" s="211">
        <f t="shared" si="4"/>
        <v>23.993095512082853</v>
      </c>
      <c r="Q83" s="210">
        <f t="shared" si="5"/>
        <v>21.25200808415816</v>
      </c>
      <c r="R83" s="210">
        <f t="shared" si="6"/>
        <v>56.647398843930638</v>
      </c>
      <c r="S83" s="209">
        <f t="shared" si="7"/>
        <v>28.571428571428569</v>
      </c>
      <c r="T83" s="108"/>
      <c r="U83" s="109"/>
      <c r="V83" s="109"/>
    </row>
    <row r="84" spans="1:22">
      <c r="A84" s="101" t="s">
        <v>205</v>
      </c>
      <c r="B84" s="102" t="s">
        <v>303</v>
      </c>
      <c r="C84" s="103" t="s">
        <v>272</v>
      </c>
      <c r="D84" s="221">
        <v>1602</v>
      </c>
      <c r="E84" s="222">
        <v>5638</v>
      </c>
      <c r="F84" s="104"/>
      <c r="G84" s="217">
        <v>1357</v>
      </c>
      <c r="H84" s="217">
        <v>5119</v>
      </c>
      <c r="I84" s="107"/>
      <c r="J84" s="217">
        <v>137</v>
      </c>
      <c r="K84" s="217">
        <v>227</v>
      </c>
      <c r="L84" s="110"/>
      <c r="M84" s="217">
        <v>53</v>
      </c>
      <c r="N84" s="217">
        <v>160</v>
      </c>
      <c r="O84" s="105"/>
      <c r="P84" s="211">
        <f t="shared" si="4"/>
        <v>28.414331323164244</v>
      </c>
      <c r="Q84" s="210">
        <f t="shared" si="5"/>
        <v>26.509083805430748</v>
      </c>
      <c r="R84" s="210">
        <f t="shared" si="6"/>
        <v>60.352422907488986</v>
      </c>
      <c r="S84" s="209">
        <f t="shared" si="7"/>
        <v>33.125</v>
      </c>
      <c r="T84" s="108"/>
      <c r="U84" s="109"/>
      <c r="V84" s="109"/>
    </row>
    <row r="85" spans="1:22">
      <c r="A85" s="101" t="s">
        <v>207</v>
      </c>
      <c r="B85" s="102" t="s">
        <v>304</v>
      </c>
      <c r="C85" s="103" t="s">
        <v>274</v>
      </c>
      <c r="D85" s="221">
        <v>5746</v>
      </c>
      <c r="E85" s="222">
        <v>22670</v>
      </c>
      <c r="F85" s="104"/>
      <c r="G85" s="217">
        <v>4074</v>
      </c>
      <c r="H85" s="217">
        <v>18481</v>
      </c>
      <c r="I85" s="107"/>
      <c r="J85" s="217">
        <v>513</v>
      </c>
      <c r="K85" s="217">
        <v>877</v>
      </c>
      <c r="L85" s="110"/>
      <c r="M85" s="217">
        <v>1366</v>
      </c>
      <c r="N85" s="217">
        <v>3697</v>
      </c>
      <c r="O85" s="105"/>
      <c r="P85" s="211">
        <f t="shared" si="4"/>
        <v>25.34627260696956</v>
      </c>
      <c r="Q85" s="210">
        <f t="shared" si="5"/>
        <v>22.044261674151834</v>
      </c>
      <c r="R85" s="210">
        <f t="shared" si="6"/>
        <v>58.494868871151652</v>
      </c>
      <c r="S85" s="209">
        <f t="shared" si="7"/>
        <v>36.948877468217475</v>
      </c>
      <c r="T85" s="108"/>
      <c r="U85" s="109"/>
      <c r="V85" s="109"/>
    </row>
    <row r="86" spans="1:22">
      <c r="A86" s="101" t="s">
        <v>209</v>
      </c>
      <c r="B86" s="102" t="s">
        <v>210</v>
      </c>
      <c r="C86" s="103" t="s">
        <v>275</v>
      </c>
      <c r="D86" s="221">
        <v>1191</v>
      </c>
      <c r="E86" s="222">
        <v>5014</v>
      </c>
      <c r="F86" s="104"/>
      <c r="G86" s="217">
        <v>1138</v>
      </c>
      <c r="H86" s="217">
        <v>4887</v>
      </c>
      <c r="I86" s="107"/>
      <c r="J86" s="217">
        <v>6</v>
      </c>
      <c r="K86" s="217">
        <v>24</v>
      </c>
      <c r="L86" s="110"/>
      <c r="M86" s="217">
        <v>34</v>
      </c>
      <c r="N86" s="217">
        <v>83</v>
      </c>
      <c r="O86" s="105"/>
      <c r="P86" s="211">
        <f t="shared" si="4"/>
        <v>23.753490227363383</v>
      </c>
      <c r="Q86" s="210">
        <f t="shared" si="5"/>
        <v>23.286269695109475</v>
      </c>
      <c r="R86" s="210">
        <f t="shared" si="6"/>
        <v>25</v>
      </c>
      <c r="S86" s="209">
        <f t="shared" si="7"/>
        <v>40.963855421686745</v>
      </c>
      <c r="T86" s="108"/>
      <c r="U86" s="109"/>
      <c r="V86" s="109"/>
    </row>
    <row r="87" spans="1:22">
      <c r="A87" s="101" t="s">
        <v>211</v>
      </c>
      <c r="B87" s="102" t="s">
        <v>212</v>
      </c>
      <c r="C87" s="103" t="s">
        <v>275</v>
      </c>
      <c r="D87" s="221">
        <v>959</v>
      </c>
      <c r="E87" s="222">
        <v>3843</v>
      </c>
      <c r="F87" s="104"/>
      <c r="G87" s="217">
        <v>910</v>
      </c>
      <c r="H87" s="217">
        <v>3735</v>
      </c>
      <c r="I87" s="107"/>
      <c r="J87" s="217">
        <v>6</v>
      </c>
      <c r="K87" s="217">
        <v>16</v>
      </c>
      <c r="L87" s="110"/>
      <c r="M87" s="217">
        <v>36</v>
      </c>
      <c r="N87" s="217">
        <v>76</v>
      </c>
      <c r="O87" s="105"/>
      <c r="P87" s="211">
        <f t="shared" si="4"/>
        <v>24.954462659380692</v>
      </c>
      <c r="Q87" s="210">
        <f t="shared" si="5"/>
        <v>24.364123159303883</v>
      </c>
      <c r="R87" s="210">
        <f t="shared" si="6"/>
        <v>37.5</v>
      </c>
      <c r="S87" s="209">
        <f t="shared" si="7"/>
        <v>47.368421052631575</v>
      </c>
      <c r="T87" s="108"/>
      <c r="U87" s="109"/>
      <c r="V87" s="109"/>
    </row>
    <row r="88" spans="1:22">
      <c r="A88" s="101" t="s">
        <v>213</v>
      </c>
      <c r="B88" s="102" t="s">
        <v>214</v>
      </c>
      <c r="C88" s="103" t="s">
        <v>274</v>
      </c>
      <c r="D88" s="221">
        <v>2330</v>
      </c>
      <c r="E88" s="222">
        <v>8141</v>
      </c>
      <c r="F88" s="104"/>
      <c r="G88" s="217">
        <v>2035</v>
      </c>
      <c r="H88" s="217">
        <v>7261</v>
      </c>
      <c r="I88" s="107"/>
      <c r="J88" s="217">
        <v>66</v>
      </c>
      <c r="K88" s="217">
        <v>133</v>
      </c>
      <c r="L88" s="110"/>
      <c r="M88" s="217">
        <v>300</v>
      </c>
      <c r="N88" s="217">
        <v>869</v>
      </c>
      <c r="O88" s="105"/>
      <c r="P88" s="211">
        <f t="shared" si="4"/>
        <v>28.620562584449083</v>
      </c>
      <c r="Q88" s="210">
        <f t="shared" si="5"/>
        <v>28.026442638754993</v>
      </c>
      <c r="R88" s="210">
        <f t="shared" si="6"/>
        <v>49.624060150375939</v>
      </c>
      <c r="S88" s="209">
        <f t="shared" si="7"/>
        <v>34.522439585730723</v>
      </c>
      <c r="T88" s="108"/>
      <c r="U88" s="109"/>
      <c r="V88" s="109"/>
    </row>
    <row r="89" spans="1:22">
      <c r="A89" s="101" t="s">
        <v>215</v>
      </c>
      <c r="B89" s="102" t="s">
        <v>216</v>
      </c>
      <c r="C89" s="103" t="s">
        <v>275</v>
      </c>
      <c r="D89" s="221">
        <v>1901</v>
      </c>
      <c r="E89" s="222">
        <v>5684</v>
      </c>
      <c r="F89" s="104"/>
      <c r="G89" s="217">
        <v>1714</v>
      </c>
      <c r="H89" s="217">
        <v>5361</v>
      </c>
      <c r="I89" s="107"/>
      <c r="J89" s="217">
        <v>65</v>
      </c>
      <c r="K89" s="217">
        <v>92</v>
      </c>
      <c r="L89" s="110"/>
      <c r="M89" s="217">
        <v>83</v>
      </c>
      <c r="N89" s="217">
        <v>166</v>
      </c>
      <c r="O89" s="105"/>
      <c r="P89" s="211">
        <f t="shared" si="4"/>
        <v>33.444757213230119</v>
      </c>
      <c r="Q89" s="210">
        <f t="shared" si="5"/>
        <v>31.971647080768513</v>
      </c>
      <c r="R89" s="210">
        <f t="shared" si="6"/>
        <v>70.652173913043484</v>
      </c>
      <c r="S89" s="209">
        <f t="shared" si="7"/>
        <v>50</v>
      </c>
      <c r="T89" s="108"/>
      <c r="U89" s="109"/>
      <c r="V89" s="109"/>
    </row>
    <row r="90" spans="1:22">
      <c r="A90" s="101" t="s">
        <v>217</v>
      </c>
      <c r="B90" s="102" t="s">
        <v>218</v>
      </c>
      <c r="C90" s="103" t="s">
        <v>271</v>
      </c>
      <c r="D90" s="221">
        <v>1022</v>
      </c>
      <c r="E90" s="222">
        <v>3228</v>
      </c>
      <c r="F90" s="104"/>
      <c r="G90" s="217">
        <v>421</v>
      </c>
      <c r="H90" s="217">
        <v>2128</v>
      </c>
      <c r="I90" s="107"/>
      <c r="J90" s="217">
        <v>534</v>
      </c>
      <c r="K90" s="217">
        <v>937</v>
      </c>
      <c r="L90" s="110"/>
      <c r="M90" s="217">
        <v>29</v>
      </c>
      <c r="N90" s="217">
        <v>75</v>
      </c>
      <c r="O90" s="105"/>
      <c r="P90" s="211">
        <f t="shared" si="4"/>
        <v>31.660470879801732</v>
      </c>
      <c r="Q90" s="210">
        <f t="shared" si="5"/>
        <v>19.783834586466163</v>
      </c>
      <c r="R90" s="210">
        <f t="shared" si="6"/>
        <v>56.990394877267882</v>
      </c>
      <c r="S90" s="209">
        <f t="shared" si="7"/>
        <v>38.666666666666664</v>
      </c>
      <c r="T90" s="108"/>
      <c r="U90" s="109"/>
      <c r="V90" s="109"/>
    </row>
    <row r="91" spans="1:22">
      <c r="A91" s="101" t="s">
        <v>219</v>
      </c>
      <c r="B91" s="102" t="s">
        <v>220</v>
      </c>
      <c r="C91" s="103" t="s">
        <v>274</v>
      </c>
      <c r="D91" s="221">
        <v>6530</v>
      </c>
      <c r="E91" s="222">
        <v>29736</v>
      </c>
      <c r="F91" s="104"/>
      <c r="G91" s="217">
        <v>3861</v>
      </c>
      <c r="H91" s="217">
        <v>21338</v>
      </c>
      <c r="I91" s="107"/>
      <c r="J91" s="217">
        <v>1756</v>
      </c>
      <c r="K91" s="217">
        <v>4503</v>
      </c>
      <c r="L91" s="110"/>
      <c r="M91" s="217">
        <v>686</v>
      </c>
      <c r="N91" s="217">
        <v>2924</v>
      </c>
      <c r="O91" s="105"/>
      <c r="P91" s="211">
        <f t="shared" si="4"/>
        <v>21.959913909066451</v>
      </c>
      <c r="Q91" s="210">
        <f t="shared" si="5"/>
        <v>18.094479332645982</v>
      </c>
      <c r="R91" s="210">
        <f t="shared" si="6"/>
        <v>38.996224739062846</v>
      </c>
      <c r="S91" s="209">
        <f t="shared" si="7"/>
        <v>23.461012311901506</v>
      </c>
      <c r="T91" s="108"/>
      <c r="U91" s="109"/>
      <c r="V91" s="109"/>
    </row>
    <row r="92" spans="1:22">
      <c r="A92" s="101" t="s">
        <v>221</v>
      </c>
      <c r="B92" s="102" t="s">
        <v>222</v>
      </c>
      <c r="C92" s="103" t="s">
        <v>274</v>
      </c>
      <c r="D92" s="221">
        <v>6789</v>
      </c>
      <c r="E92" s="222">
        <v>33357</v>
      </c>
      <c r="F92" s="104"/>
      <c r="G92" s="217">
        <v>3655</v>
      </c>
      <c r="H92" s="217">
        <v>22763</v>
      </c>
      <c r="I92" s="107"/>
      <c r="J92" s="217">
        <v>2028</v>
      </c>
      <c r="K92" s="217">
        <v>5715</v>
      </c>
      <c r="L92" s="110"/>
      <c r="M92" s="217">
        <v>841</v>
      </c>
      <c r="N92" s="217">
        <v>4030</v>
      </c>
      <c r="O92" s="105"/>
      <c r="P92" s="211">
        <f t="shared" si="4"/>
        <v>20.352549689720298</v>
      </c>
      <c r="Q92" s="210">
        <f t="shared" si="5"/>
        <v>16.056758775205378</v>
      </c>
      <c r="R92" s="210">
        <f t="shared" si="6"/>
        <v>35.485564304461938</v>
      </c>
      <c r="S92" s="209">
        <f t="shared" si="7"/>
        <v>20.868486352357323</v>
      </c>
      <c r="T92" s="108"/>
      <c r="U92" s="109"/>
      <c r="V92" s="109"/>
    </row>
    <row r="93" spans="1:22">
      <c r="A93" s="101" t="s">
        <v>225</v>
      </c>
      <c r="B93" s="102" t="s">
        <v>226</v>
      </c>
      <c r="C93" s="103" t="s">
        <v>271</v>
      </c>
      <c r="D93" s="221">
        <v>346</v>
      </c>
      <c r="E93" s="222">
        <v>1149</v>
      </c>
      <c r="F93" s="104"/>
      <c r="G93" s="217">
        <v>122</v>
      </c>
      <c r="H93" s="217">
        <v>613</v>
      </c>
      <c r="I93" s="107"/>
      <c r="J93" s="217">
        <v>194</v>
      </c>
      <c r="K93" s="217">
        <v>484</v>
      </c>
      <c r="L93" s="110"/>
      <c r="M93" s="217">
        <v>12</v>
      </c>
      <c r="N93" s="217">
        <v>19</v>
      </c>
      <c r="O93" s="105"/>
      <c r="P93" s="211">
        <f t="shared" si="4"/>
        <v>30.113141862489123</v>
      </c>
      <c r="Q93" s="210">
        <f t="shared" si="5"/>
        <v>19.902120717781401</v>
      </c>
      <c r="R93" s="210">
        <f t="shared" si="6"/>
        <v>40.082644628099175</v>
      </c>
      <c r="S93" s="209">
        <f t="shared" si="7"/>
        <v>63.157894736842103</v>
      </c>
      <c r="T93" s="108"/>
      <c r="U93" s="109"/>
      <c r="V93" s="109"/>
    </row>
    <row r="94" spans="1:22">
      <c r="A94" s="101" t="s">
        <v>227</v>
      </c>
      <c r="B94" s="102" t="s">
        <v>228</v>
      </c>
      <c r="C94" s="103" t="s">
        <v>271</v>
      </c>
      <c r="D94" s="221">
        <v>725</v>
      </c>
      <c r="E94" s="222">
        <v>1634</v>
      </c>
      <c r="F94" s="104"/>
      <c r="G94" s="217">
        <v>174</v>
      </c>
      <c r="H94" s="217">
        <v>692</v>
      </c>
      <c r="I94" s="107"/>
      <c r="J94" s="217">
        <v>530</v>
      </c>
      <c r="K94" s="217">
        <v>881</v>
      </c>
      <c r="L94" s="110"/>
      <c r="M94" s="217">
        <v>18</v>
      </c>
      <c r="N94" s="217">
        <v>56</v>
      </c>
      <c r="O94" s="105"/>
      <c r="P94" s="211">
        <f t="shared" si="4"/>
        <v>44.369645042839657</v>
      </c>
      <c r="Q94" s="210">
        <f t="shared" si="5"/>
        <v>25.144508670520231</v>
      </c>
      <c r="R94" s="210">
        <f t="shared" si="6"/>
        <v>60.158910329171398</v>
      </c>
      <c r="S94" s="209">
        <f t="shared" si="7"/>
        <v>32.142857142857146</v>
      </c>
      <c r="T94" s="108"/>
      <c r="U94" s="109"/>
      <c r="V94" s="109"/>
    </row>
    <row r="95" spans="1:22">
      <c r="A95" s="101" t="s">
        <v>229</v>
      </c>
      <c r="B95" s="102" t="s">
        <v>230</v>
      </c>
      <c r="C95" s="103" t="s">
        <v>275</v>
      </c>
      <c r="D95" s="221">
        <v>2116</v>
      </c>
      <c r="E95" s="222">
        <v>7837</v>
      </c>
      <c r="F95" s="104"/>
      <c r="G95" s="217">
        <v>1916</v>
      </c>
      <c r="H95" s="217">
        <v>7392</v>
      </c>
      <c r="I95" s="107"/>
      <c r="J95" s="217">
        <v>88</v>
      </c>
      <c r="K95" s="217">
        <v>160</v>
      </c>
      <c r="L95" s="110"/>
      <c r="M95" s="217">
        <v>19</v>
      </c>
      <c r="N95" s="217">
        <v>75</v>
      </c>
      <c r="O95" s="105"/>
      <c r="P95" s="211">
        <f t="shared" si="4"/>
        <v>27.000127599846881</v>
      </c>
      <c r="Q95" s="210">
        <f t="shared" si="5"/>
        <v>25.919913419913421</v>
      </c>
      <c r="R95" s="210">
        <f t="shared" si="6"/>
        <v>55.000000000000007</v>
      </c>
      <c r="S95" s="209">
        <f t="shared" si="7"/>
        <v>25.333333333333336</v>
      </c>
      <c r="T95" s="108"/>
      <c r="U95" s="109"/>
      <c r="V95" s="109"/>
    </row>
    <row r="96" spans="1:22">
      <c r="A96" s="101" t="s">
        <v>233</v>
      </c>
      <c r="B96" s="102" t="s">
        <v>234</v>
      </c>
      <c r="C96" s="103" t="s">
        <v>274</v>
      </c>
      <c r="D96" s="221">
        <v>2070</v>
      </c>
      <c r="E96" s="222">
        <v>7925</v>
      </c>
      <c r="F96" s="104"/>
      <c r="G96" s="217">
        <v>1704</v>
      </c>
      <c r="H96" s="217">
        <v>7018</v>
      </c>
      <c r="I96" s="107"/>
      <c r="J96" s="217">
        <v>144</v>
      </c>
      <c r="K96" s="217">
        <v>291</v>
      </c>
      <c r="L96" s="110"/>
      <c r="M96" s="217">
        <v>143</v>
      </c>
      <c r="N96" s="217">
        <v>441</v>
      </c>
      <c r="O96" s="105"/>
      <c r="P96" s="211">
        <f t="shared" si="4"/>
        <v>26.119873817034701</v>
      </c>
      <c r="Q96" s="210">
        <f t="shared" si="5"/>
        <v>24.280421772584781</v>
      </c>
      <c r="R96" s="210">
        <f t="shared" si="6"/>
        <v>49.484536082474229</v>
      </c>
      <c r="S96" s="209">
        <f t="shared" si="7"/>
        <v>32.426303854875286</v>
      </c>
      <c r="T96" s="108"/>
      <c r="U96" s="109"/>
      <c r="V96" s="109"/>
    </row>
    <row r="97" spans="1:22">
      <c r="A97" s="101" t="s">
        <v>235</v>
      </c>
      <c r="B97" s="102" t="s">
        <v>236</v>
      </c>
      <c r="C97" s="103" t="s">
        <v>275</v>
      </c>
      <c r="D97" s="221">
        <v>2248</v>
      </c>
      <c r="E97" s="222">
        <v>9297</v>
      </c>
      <c r="F97" s="104"/>
      <c r="G97" s="217">
        <v>2095</v>
      </c>
      <c r="H97" s="217">
        <v>8962</v>
      </c>
      <c r="I97" s="107"/>
      <c r="J97" s="217">
        <v>53</v>
      </c>
      <c r="K97" s="217">
        <v>84</v>
      </c>
      <c r="L97" s="110"/>
      <c r="M97" s="217">
        <v>79</v>
      </c>
      <c r="N97" s="217">
        <v>201</v>
      </c>
      <c r="O97" s="105"/>
      <c r="P97" s="211">
        <f t="shared" si="4"/>
        <v>24.179842960094653</v>
      </c>
      <c r="Q97" s="210">
        <f t="shared" si="5"/>
        <v>23.37647846462843</v>
      </c>
      <c r="R97" s="210">
        <f t="shared" si="6"/>
        <v>63.095238095238095</v>
      </c>
      <c r="S97" s="209">
        <f t="shared" si="7"/>
        <v>39.303482587064678</v>
      </c>
      <c r="T97" s="108"/>
      <c r="U97" s="109"/>
      <c r="V97" s="109"/>
    </row>
    <row r="98" spans="1:22">
      <c r="A98" s="101" t="s">
        <v>237</v>
      </c>
      <c r="B98" s="102" t="s">
        <v>238</v>
      </c>
      <c r="C98" s="103" t="s">
        <v>273</v>
      </c>
      <c r="D98" s="221">
        <v>1006</v>
      </c>
      <c r="E98" s="222">
        <v>2739</v>
      </c>
      <c r="F98" s="104"/>
      <c r="G98" s="217">
        <v>433</v>
      </c>
      <c r="H98" s="217">
        <v>1603</v>
      </c>
      <c r="I98" s="107"/>
      <c r="J98" s="217">
        <v>458</v>
      </c>
      <c r="K98" s="217">
        <v>793</v>
      </c>
      <c r="L98" s="110"/>
      <c r="M98" s="217">
        <v>68</v>
      </c>
      <c r="N98" s="217">
        <v>302</v>
      </c>
      <c r="O98" s="105"/>
      <c r="P98" s="211">
        <f t="shared" si="4"/>
        <v>36.728733114275279</v>
      </c>
      <c r="Q98" s="210">
        <f t="shared" si="5"/>
        <v>27.011852776044915</v>
      </c>
      <c r="R98" s="210">
        <f t="shared" si="6"/>
        <v>57.755359394703653</v>
      </c>
      <c r="S98" s="209">
        <f t="shared" si="7"/>
        <v>22.516556291390728</v>
      </c>
      <c r="T98" s="108"/>
      <c r="U98" s="109"/>
      <c r="V98" s="109"/>
    </row>
    <row r="99" spans="1:22">
      <c r="A99" s="101" t="s">
        <v>243</v>
      </c>
      <c r="B99" s="102" t="s">
        <v>244</v>
      </c>
      <c r="C99" s="103" t="s">
        <v>275</v>
      </c>
      <c r="D99" s="221">
        <v>2271</v>
      </c>
      <c r="E99" s="222">
        <v>7274</v>
      </c>
      <c r="F99" s="104"/>
      <c r="G99" s="217">
        <v>2128</v>
      </c>
      <c r="H99" s="217">
        <v>6976</v>
      </c>
      <c r="I99" s="107"/>
      <c r="J99" s="217">
        <v>47</v>
      </c>
      <c r="K99" s="217">
        <v>89</v>
      </c>
      <c r="L99" s="110"/>
      <c r="M99" s="217">
        <v>41</v>
      </c>
      <c r="N99" s="217">
        <v>121</v>
      </c>
      <c r="O99" s="105"/>
      <c r="P99" s="211">
        <f t="shared" si="4"/>
        <v>31.220786362386583</v>
      </c>
      <c r="Q99" s="210">
        <f t="shared" si="5"/>
        <v>30.504587155963304</v>
      </c>
      <c r="R99" s="210">
        <f t="shared" si="6"/>
        <v>52.80898876404494</v>
      </c>
      <c r="S99" s="209">
        <f t="shared" si="7"/>
        <v>33.884297520661157</v>
      </c>
      <c r="T99" s="108"/>
      <c r="U99" s="109"/>
      <c r="V99" s="109"/>
    </row>
    <row r="100" spans="1:22">
      <c r="A100" s="101" t="s">
        <v>245</v>
      </c>
      <c r="B100" s="102" t="s">
        <v>246</v>
      </c>
      <c r="C100" s="103" t="s">
        <v>275</v>
      </c>
      <c r="D100" s="221">
        <v>1508</v>
      </c>
      <c r="E100" s="222">
        <v>5325</v>
      </c>
      <c r="F100" s="104"/>
      <c r="G100" s="217">
        <v>1326</v>
      </c>
      <c r="H100" s="217">
        <v>4963</v>
      </c>
      <c r="I100" s="107"/>
      <c r="J100" s="217">
        <v>94</v>
      </c>
      <c r="K100" s="217">
        <v>149</v>
      </c>
      <c r="L100" s="110"/>
      <c r="M100" s="217">
        <v>22</v>
      </c>
      <c r="N100" s="217">
        <v>83</v>
      </c>
      <c r="O100" s="105"/>
      <c r="P100" s="211">
        <f t="shared" si="4"/>
        <v>28.319248826291084</v>
      </c>
      <c r="Q100" s="210">
        <f t="shared" si="5"/>
        <v>26.717711061857745</v>
      </c>
      <c r="R100" s="210">
        <f t="shared" si="6"/>
        <v>63.087248322147651</v>
      </c>
      <c r="S100" s="209">
        <f t="shared" si="7"/>
        <v>26.506024096385545</v>
      </c>
      <c r="T100" s="108"/>
      <c r="U100" s="109"/>
      <c r="V100" s="109"/>
    </row>
    <row r="101" spans="1:22">
      <c r="A101" s="101" t="s">
        <v>247</v>
      </c>
      <c r="B101" s="102" t="s">
        <v>248</v>
      </c>
      <c r="C101" s="103" t="s">
        <v>271</v>
      </c>
      <c r="D101" s="221">
        <v>3643</v>
      </c>
      <c r="E101" s="222">
        <v>18746</v>
      </c>
      <c r="F101" s="104"/>
      <c r="G101" s="217">
        <v>2415</v>
      </c>
      <c r="H101" s="217">
        <v>14197</v>
      </c>
      <c r="I101" s="107"/>
      <c r="J101" s="217">
        <v>762</v>
      </c>
      <c r="K101" s="217">
        <v>1988</v>
      </c>
      <c r="L101" s="110"/>
      <c r="M101" s="217">
        <v>268</v>
      </c>
      <c r="N101" s="217">
        <v>1170</v>
      </c>
      <c r="O101" s="105"/>
      <c r="P101" s="211">
        <f t="shared" si="4"/>
        <v>19.433479142217006</v>
      </c>
      <c r="Q101" s="210">
        <f t="shared" si="5"/>
        <v>17.010636049869689</v>
      </c>
      <c r="R101" s="210">
        <f t="shared" si="6"/>
        <v>38.329979879275655</v>
      </c>
      <c r="S101" s="209">
        <f t="shared" si="7"/>
        <v>22.905982905982906</v>
      </c>
      <c r="T101" s="108"/>
      <c r="U101" s="109"/>
      <c r="V101" s="109"/>
    </row>
    <row r="102" spans="1:22">
      <c r="A102" s="101" t="s">
        <v>14</v>
      </c>
      <c r="B102" s="102" t="s">
        <v>15</v>
      </c>
      <c r="C102" s="103" t="s">
        <v>274</v>
      </c>
      <c r="D102" s="221">
        <v>6099</v>
      </c>
      <c r="E102" s="222">
        <v>21259</v>
      </c>
      <c r="F102" s="104"/>
      <c r="G102" s="217">
        <v>1819</v>
      </c>
      <c r="H102" s="217">
        <v>11110</v>
      </c>
      <c r="I102" s="107"/>
      <c r="J102" s="217">
        <v>2819</v>
      </c>
      <c r="K102" s="217">
        <v>5285</v>
      </c>
      <c r="L102" s="110"/>
      <c r="M102" s="217">
        <v>1768</v>
      </c>
      <c r="N102" s="217">
        <v>4639</v>
      </c>
      <c r="O102" s="105"/>
      <c r="P102" s="211">
        <f t="shared" si="4"/>
        <v>28.689025824356744</v>
      </c>
      <c r="Q102" s="210">
        <f t="shared" si="5"/>
        <v>16.372637263726372</v>
      </c>
      <c r="R102" s="210">
        <f t="shared" si="6"/>
        <v>53.33964049195837</v>
      </c>
      <c r="S102" s="209">
        <f t="shared" si="7"/>
        <v>38.111661996119857</v>
      </c>
      <c r="T102" s="108"/>
      <c r="U102" s="109"/>
      <c r="V102" s="109"/>
    </row>
    <row r="103" spans="1:22">
      <c r="A103" s="101" t="s">
        <v>35</v>
      </c>
      <c r="B103" s="102" t="s">
        <v>36</v>
      </c>
      <c r="C103" s="103" t="s">
        <v>275</v>
      </c>
      <c r="D103" s="221">
        <v>1324</v>
      </c>
      <c r="E103" s="222">
        <v>3160</v>
      </c>
      <c r="F103" s="104"/>
      <c r="G103" s="217">
        <v>1051</v>
      </c>
      <c r="H103" s="217">
        <v>2720</v>
      </c>
      <c r="I103" s="107"/>
      <c r="J103" s="217">
        <v>138</v>
      </c>
      <c r="K103" s="217">
        <v>212</v>
      </c>
      <c r="L103" s="110"/>
      <c r="M103" s="217">
        <v>44</v>
      </c>
      <c r="N103" s="217">
        <v>67</v>
      </c>
      <c r="O103" s="105"/>
      <c r="P103" s="211">
        <f t="shared" si="4"/>
        <v>41.898734177215189</v>
      </c>
      <c r="Q103" s="210">
        <f t="shared" si="5"/>
        <v>38.639705882352942</v>
      </c>
      <c r="R103" s="210">
        <f t="shared" si="6"/>
        <v>65.094339622641513</v>
      </c>
      <c r="S103" s="209">
        <f t="shared" si="7"/>
        <v>65.671641791044777</v>
      </c>
      <c r="T103" s="108"/>
      <c r="U103" s="109"/>
      <c r="V103" s="109"/>
    </row>
    <row r="104" spans="1:22">
      <c r="A104" s="101" t="s">
        <v>53</v>
      </c>
      <c r="B104" s="102" t="s">
        <v>54</v>
      </c>
      <c r="C104" s="103" t="s">
        <v>272</v>
      </c>
      <c r="D104" s="221">
        <v>2163</v>
      </c>
      <c r="E104" s="222">
        <v>5586</v>
      </c>
      <c r="F104" s="104"/>
      <c r="G104" s="217">
        <v>660</v>
      </c>
      <c r="H104" s="217">
        <v>3177</v>
      </c>
      <c r="I104" s="107"/>
      <c r="J104" s="217">
        <v>1258</v>
      </c>
      <c r="K104" s="217">
        <v>1629</v>
      </c>
      <c r="L104" s="110"/>
      <c r="M104" s="217">
        <v>160</v>
      </c>
      <c r="N104" s="217">
        <v>429</v>
      </c>
      <c r="O104" s="105"/>
      <c r="P104" s="211">
        <f t="shared" si="4"/>
        <v>38.721804511278194</v>
      </c>
      <c r="Q104" s="210">
        <f t="shared" si="5"/>
        <v>20.774315391879131</v>
      </c>
      <c r="R104" s="210">
        <f t="shared" si="6"/>
        <v>77.225291589932482</v>
      </c>
      <c r="S104" s="209">
        <f t="shared" si="7"/>
        <v>37.296037296037298</v>
      </c>
      <c r="T104" s="108"/>
      <c r="U104" s="109"/>
      <c r="V104" s="109"/>
    </row>
    <row r="105" spans="1:22">
      <c r="A105" s="101" t="s">
        <v>55</v>
      </c>
      <c r="B105" s="102" t="s">
        <v>56</v>
      </c>
      <c r="C105" s="103" t="s">
        <v>271</v>
      </c>
      <c r="D105" s="221">
        <v>14601</v>
      </c>
      <c r="E105" s="222">
        <v>50056</v>
      </c>
      <c r="F105" s="104"/>
      <c r="G105" s="217">
        <v>5508</v>
      </c>
      <c r="H105" s="217">
        <v>29895</v>
      </c>
      <c r="I105" s="107"/>
      <c r="J105" s="217">
        <v>7658</v>
      </c>
      <c r="K105" s="217">
        <v>14588</v>
      </c>
      <c r="L105" s="110"/>
      <c r="M105" s="217">
        <v>917</v>
      </c>
      <c r="N105" s="217">
        <v>3205</v>
      </c>
      <c r="O105" s="105"/>
      <c r="P105" s="211">
        <f t="shared" si="4"/>
        <v>29.169330350007993</v>
      </c>
      <c r="Q105" s="210">
        <f t="shared" si="5"/>
        <v>18.424485699949823</v>
      </c>
      <c r="R105" s="210">
        <f t="shared" si="6"/>
        <v>52.495201535508642</v>
      </c>
      <c r="S105" s="209">
        <f t="shared" si="7"/>
        <v>28.611544461778472</v>
      </c>
      <c r="T105" s="108"/>
      <c r="U105" s="109"/>
      <c r="V105" s="109"/>
    </row>
    <row r="106" spans="1:22">
      <c r="A106" s="101" t="s">
        <v>67</v>
      </c>
      <c r="B106" s="102" t="s">
        <v>68</v>
      </c>
      <c r="C106" s="103" t="s">
        <v>272</v>
      </c>
      <c r="D106" s="221">
        <v>4439</v>
      </c>
      <c r="E106" s="222">
        <v>7583</v>
      </c>
      <c r="F106" s="104"/>
      <c r="G106" s="217">
        <v>870</v>
      </c>
      <c r="H106" s="217">
        <v>2468</v>
      </c>
      <c r="I106" s="107"/>
      <c r="J106" s="217">
        <v>3318</v>
      </c>
      <c r="K106" s="217">
        <v>4519</v>
      </c>
      <c r="L106" s="110"/>
      <c r="M106" s="217">
        <v>139</v>
      </c>
      <c r="N106" s="217">
        <v>421</v>
      </c>
      <c r="O106" s="105"/>
      <c r="P106" s="211">
        <f t="shared" si="4"/>
        <v>58.538836871950416</v>
      </c>
      <c r="Q106" s="210">
        <f t="shared" si="5"/>
        <v>35.25121555915721</v>
      </c>
      <c r="R106" s="210">
        <f t="shared" si="6"/>
        <v>73.423323744191194</v>
      </c>
      <c r="S106" s="209">
        <f t="shared" si="7"/>
        <v>33.016627078384801</v>
      </c>
      <c r="T106" s="108"/>
      <c r="U106" s="109"/>
      <c r="V106" s="109"/>
    </row>
    <row r="107" spans="1:22">
      <c r="A107" s="101" t="s">
        <v>83</v>
      </c>
      <c r="B107" s="102" t="s">
        <v>333</v>
      </c>
      <c r="C107" s="103" t="s">
        <v>271</v>
      </c>
      <c r="D107" s="221">
        <v>919</v>
      </c>
      <c r="E107" s="222">
        <v>1745</v>
      </c>
      <c r="F107" s="104"/>
      <c r="G107" s="217">
        <v>104</v>
      </c>
      <c r="H107" s="217">
        <v>535</v>
      </c>
      <c r="I107" s="107"/>
      <c r="J107" s="217">
        <v>767</v>
      </c>
      <c r="K107" s="217">
        <v>1085</v>
      </c>
      <c r="L107" s="110"/>
      <c r="M107" s="217">
        <v>17</v>
      </c>
      <c r="N107" s="217">
        <v>51</v>
      </c>
      <c r="O107" s="105"/>
      <c r="P107" s="211">
        <f t="shared" si="4"/>
        <v>52.664756446991404</v>
      </c>
      <c r="Q107" s="210">
        <f t="shared" si="5"/>
        <v>19.439252336448597</v>
      </c>
      <c r="R107" s="210">
        <f t="shared" si="6"/>
        <v>70.691244239631331</v>
      </c>
      <c r="S107" s="209">
        <f t="shared" si="7"/>
        <v>33.333333333333329</v>
      </c>
      <c r="T107" s="108"/>
      <c r="U107" s="109"/>
      <c r="V107" s="109"/>
    </row>
    <row r="108" spans="1:22">
      <c r="A108" s="101" t="s">
        <v>89</v>
      </c>
      <c r="B108" s="102" t="s">
        <v>90</v>
      </c>
      <c r="C108" s="103" t="s">
        <v>274</v>
      </c>
      <c r="D108" s="221">
        <v>1818</v>
      </c>
      <c r="E108" s="222">
        <v>4129</v>
      </c>
      <c r="F108" s="104"/>
      <c r="G108" s="217">
        <v>613</v>
      </c>
      <c r="H108" s="217">
        <v>1974</v>
      </c>
      <c r="I108" s="107"/>
      <c r="J108" s="217">
        <v>857</v>
      </c>
      <c r="K108" s="217">
        <v>1294</v>
      </c>
      <c r="L108" s="110"/>
      <c r="M108" s="217">
        <v>282</v>
      </c>
      <c r="N108" s="217">
        <v>689</v>
      </c>
      <c r="O108" s="105"/>
      <c r="P108" s="211">
        <f t="shared" si="4"/>
        <v>44.030031484620977</v>
      </c>
      <c r="Q108" s="210">
        <f t="shared" si="5"/>
        <v>31.053698074974672</v>
      </c>
      <c r="R108" s="210">
        <f t="shared" si="6"/>
        <v>66.228748068006183</v>
      </c>
      <c r="S108" s="209">
        <f t="shared" si="7"/>
        <v>40.9288824383164</v>
      </c>
      <c r="T108" s="108"/>
      <c r="U108" s="109"/>
      <c r="V108" s="109"/>
    </row>
    <row r="109" spans="1:22">
      <c r="A109" s="101" t="s">
        <v>91</v>
      </c>
      <c r="B109" s="102" t="s">
        <v>92</v>
      </c>
      <c r="C109" s="103" t="s">
        <v>275</v>
      </c>
      <c r="D109" s="221">
        <v>524</v>
      </c>
      <c r="E109" s="222">
        <v>1339</v>
      </c>
      <c r="F109" s="104"/>
      <c r="G109" s="217">
        <v>356</v>
      </c>
      <c r="H109" s="217">
        <v>1010</v>
      </c>
      <c r="I109" s="107"/>
      <c r="J109" s="217">
        <v>67</v>
      </c>
      <c r="K109" s="217">
        <v>104</v>
      </c>
      <c r="L109" s="110"/>
      <c r="M109" s="217">
        <v>156</v>
      </c>
      <c r="N109" s="217">
        <v>385</v>
      </c>
      <c r="O109" s="105"/>
      <c r="P109" s="211">
        <f t="shared" si="4"/>
        <v>39.133681852128454</v>
      </c>
      <c r="Q109" s="210">
        <f t="shared" si="5"/>
        <v>35.247524752475243</v>
      </c>
      <c r="R109" s="210">
        <f t="shared" si="6"/>
        <v>64.423076923076934</v>
      </c>
      <c r="S109" s="209">
        <f t="shared" si="7"/>
        <v>40.519480519480524</v>
      </c>
      <c r="T109" s="108"/>
      <c r="U109" s="109"/>
      <c r="V109" s="109"/>
    </row>
    <row r="110" spans="1:22">
      <c r="A110" s="101" t="s">
        <v>107</v>
      </c>
      <c r="B110" s="102" t="s">
        <v>108</v>
      </c>
      <c r="C110" s="103" t="s">
        <v>271</v>
      </c>
      <c r="D110" s="221">
        <v>11547</v>
      </c>
      <c r="E110" s="222">
        <v>26282</v>
      </c>
      <c r="F110" s="104"/>
      <c r="G110" s="217">
        <v>2332</v>
      </c>
      <c r="H110" s="217">
        <v>9333</v>
      </c>
      <c r="I110" s="107"/>
      <c r="J110" s="217">
        <v>8024</v>
      </c>
      <c r="K110" s="217">
        <v>13815</v>
      </c>
      <c r="L110" s="110"/>
      <c r="M110" s="217">
        <v>695</v>
      </c>
      <c r="N110" s="217">
        <v>1857</v>
      </c>
      <c r="O110" s="105"/>
      <c r="P110" s="211">
        <f t="shared" si="4"/>
        <v>43.935012556122061</v>
      </c>
      <c r="Q110" s="210">
        <f t="shared" si="5"/>
        <v>24.986606664523734</v>
      </c>
      <c r="R110" s="210">
        <f t="shared" si="6"/>
        <v>58.081795150199056</v>
      </c>
      <c r="S110" s="209">
        <f t="shared" si="7"/>
        <v>37.425955842757133</v>
      </c>
      <c r="T110" s="108"/>
      <c r="U110" s="109"/>
      <c r="V110" s="109"/>
    </row>
    <row r="111" spans="1:22">
      <c r="A111" s="101" t="s">
        <v>117</v>
      </c>
      <c r="B111" s="102" t="s">
        <v>118</v>
      </c>
      <c r="C111" s="103" t="s">
        <v>273</v>
      </c>
      <c r="D111" s="221">
        <v>2546</v>
      </c>
      <c r="E111" s="222">
        <v>4601</v>
      </c>
      <c r="F111" s="104"/>
      <c r="G111" s="217">
        <v>722</v>
      </c>
      <c r="H111" s="217">
        <v>1938</v>
      </c>
      <c r="I111" s="107"/>
      <c r="J111" s="217">
        <v>1574</v>
      </c>
      <c r="K111" s="217">
        <v>2141</v>
      </c>
      <c r="L111" s="110"/>
      <c r="M111" s="217">
        <v>162</v>
      </c>
      <c r="N111" s="217">
        <v>417</v>
      </c>
      <c r="O111" s="105"/>
      <c r="P111" s="211">
        <f t="shared" si="4"/>
        <v>55.335796565963925</v>
      </c>
      <c r="Q111" s="210">
        <f t="shared" si="5"/>
        <v>37.254901960784316</v>
      </c>
      <c r="R111" s="210">
        <f t="shared" si="6"/>
        <v>73.517048108360584</v>
      </c>
      <c r="S111" s="209">
        <f t="shared" si="7"/>
        <v>38.848920863309353</v>
      </c>
      <c r="T111" s="108"/>
      <c r="U111" s="109"/>
      <c r="V111" s="109"/>
    </row>
    <row r="112" spans="1:22">
      <c r="A112" s="101" t="s">
        <v>139</v>
      </c>
      <c r="B112" s="102" t="s">
        <v>140</v>
      </c>
      <c r="C112" s="103" t="s">
        <v>272</v>
      </c>
      <c r="D112" s="221">
        <v>5474</v>
      </c>
      <c r="E112" s="222">
        <v>12801</v>
      </c>
      <c r="F112" s="104"/>
      <c r="G112" s="217">
        <v>1492</v>
      </c>
      <c r="H112" s="217">
        <v>6542</v>
      </c>
      <c r="I112" s="107"/>
      <c r="J112" s="217">
        <v>3493</v>
      </c>
      <c r="K112" s="217">
        <v>4881</v>
      </c>
      <c r="L112" s="110"/>
      <c r="M112" s="217">
        <v>194</v>
      </c>
      <c r="N112" s="217">
        <v>518</v>
      </c>
      <c r="O112" s="105"/>
      <c r="P112" s="211">
        <f t="shared" si="4"/>
        <v>42.762284196547142</v>
      </c>
      <c r="Q112" s="210">
        <f t="shared" si="5"/>
        <v>22.806481198410271</v>
      </c>
      <c r="R112" s="210">
        <f t="shared" si="6"/>
        <v>71.563204261421845</v>
      </c>
      <c r="S112" s="209">
        <f t="shared" si="7"/>
        <v>37.451737451737451</v>
      </c>
      <c r="T112" s="108"/>
      <c r="U112" s="109"/>
      <c r="V112" s="109"/>
    </row>
    <row r="113" spans="1:22">
      <c r="A113" s="101" t="s">
        <v>143</v>
      </c>
      <c r="B113" s="102" t="s">
        <v>144</v>
      </c>
      <c r="C113" s="103" t="s">
        <v>274</v>
      </c>
      <c r="D113" s="221">
        <v>2509</v>
      </c>
      <c r="E113" s="222">
        <v>9107</v>
      </c>
      <c r="F113" s="104"/>
      <c r="G113" s="217">
        <v>1103</v>
      </c>
      <c r="H113" s="217">
        <v>5076</v>
      </c>
      <c r="I113" s="107"/>
      <c r="J113" s="217">
        <v>606</v>
      </c>
      <c r="K113" s="217">
        <v>1202</v>
      </c>
      <c r="L113" s="110"/>
      <c r="M113" s="217">
        <v>956</v>
      </c>
      <c r="N113" s="217">
        <v>3653</v>
      </c>
      <c r="O113" s="105"/>
      <c r="P113" s="211">
        <f t="shared" si="4"/>
        <v>27.550236082134621</v>
      </c>
      <c r="Q113" s="210">
        <f t="shared" si="5"/>
        <v>21.729708431836091</v>
      </c>
      <c r="R113" s="210">
        <f t="shared" si="6"/>
        <v>50.415973377703828</v>
      </c>
      <c r="S113" s="209">
        <f t="shared" si="7"/>
        <v>26.170271010128658</v>
      </c>
      <c r="T113" s="108"/>
      <c r="U113" s="109"/>
      <c r="V113" s="109"/>
    </row>
    <row r="114" spans="1:22">
      <c r="A114" s="101" t="s">
        <v>145</v>
      </c>
      <c r="B114" s="102" t="s">
        <v>146</v>
      </c>
      <c r="C114" s="103" t="s">
        <v>274</v>
      </c>
      <c r="D114" s="221">
        <v>818</v>
      </c>
      <c r="E114" s="222">
        <v>3427</v>
      </c>
      <c r="F114" s="104"/>
      <c r="G114" s="217">
        <v>394</v>
      </c>
      <c r="H114" s="217">
        <v>1745</v>
      </c>
      <c r="I114" s="107"/>
      <c r="J114" s="217">
        <v>165</v>
      </c>
      <c r="K114" s="217">
        <v>437</v>
      </c>
      <c r="L114" s="110"/>
      <c r="M114" s="217">
        <v>319</v>
      </c>
      <c r="N114" s="217">
        <v>1325</v>
      </c>
      <c r="O114" s="105"/>
      <c r="P114" s="211">
        <f t="shared" si="4"/>
        <v>23.869273416982782</v>
      </c>
      <c r="Q114" s="210">
        <f t="shared" si="5"/>
        <v>22.578796561604584</v>
      </c>
      <c r="R114" s="210">
        <f t="shared" si="6"/>
        <v>37.757437070938217</v>
      </c>
      <c r="S114" s="209">
        <f t="shared" si="7"/>
        <v>24.075471698113208</v>
      </c>
      <c r="T114" s="108"/>
      <c r="U114" s="109"/>
      <c r="V114" s="109"/>
    </row>
    <row r="115" spans="1:22">
      <c r="A115" s="101" t="s">
        <v>159</v>
      </c>
      <c r="B115" s="102" t="s">
        <v>160</v>
      </c>
      <c r="C115" s="103" t="s">
        <v>271</v>
      </c>
      <c r="D115" s="221">
        <v>16909</v>
      </c>
      <c r="E115" s="222">
        <v>38118</v>
      </c>
      <c r="F115" s="104"/>
      <c r="G115" s="217">
        <v>3558</v>
      </c>
      <c r="H115" s="217">
        <v>14677</v>
      </c>
      <c r="I115" s="107"/>
      <c r="J115" s="217">
        <v>11205</v>
      </c>
      <c r="K115" s="217">
        <v>17808</v>
      </c>
      <c r="L115" s="110"/>
      <c r="M115" s="217">
        <v>1543</v>
      </c>
      <c r="N115" s="217">
        <v>4095</v>
      </c>
      <c r="O115" s="105"/>
      <c r="P115" s="211">
        <f t="shared" si="4"/>
        <v>44.359620126974129</v>
      </c>
      <c r="Q115" s="210">
        <f t="shared" si="5"/>
        <v>24.242011310213261</v>
      </c>
      <c r="R115" s="210">
        <f t="shared" si="6"/>
        <v>62.921159029649601</v>
      </c>
      <c r="S115" s="209">
        <f t="shared" si="7"/>
        <v>37.680097680097681</v>
      </c>
      <c r="T115" s="108"/>
      <c r="U115" s="109"/>
      <c r="V115" s="109"/>
    </row>
    <row r="116" spans="1:22">
      <c r="A116" s="101" t="s">
        <v>161</v>
      </c>
      <c r="B116" s="102" t="s">
        <v>162</v>
      </c>
      <c r="C116" s="103" t="s">
        <v>271</v>
      </c>
      <c r="D116" s="221">
        <v>20474</v>
      </c>
      <c r="E116" s="222">
        <v>42273</v>
      </c>
      <c r="F116" s="104"/>
      <c r="G116" s="217">
        <v>4007</v>
      </c>
      <c r="H116" s="217">
        <v>15462</v>
      </c>
      <c r="I116" s="107"/>
      <c r="J116" s="217">
        <v>14354</v>
      </c>
      <c r="K116" s="217">
        <v>21188</v>
      </c>
      <c r="L116" s="110"/>
      <c r="M116" s="217">
        <v>1485</v>
      </c>
      <c r="N116" s="217">
        <v>3750</v>
      </c>
      <c r="O116" s="105"/>
      <c r="P116" s="211">
        <f t="shared" si="4"/>
        <v>48.43280580985499</v>
      </c>
      <c r="Q116" s="210">
        <f t="shared" si="5"/>
        <v>25.915146811537966</v>
      </c>
      <c r="R116" s="210">
        <f t="shared" si="6"/>
        <v>67.745893902208792</v>
      </c>
      <c r="S116" s="209">
        <f t="shared" si="7"/>
        <v>39.6</v>
      </c>
      <c r="T116" s="108"/>
      <c r="U116" s="109"/>
      <c r="V116" s="109"/>
    </row>
    <row r="117" spans="1:22">
      <c r="A117" s="101" t="s">
        <v>167</v>
      </c>
      <c r="B117" s="102" t="s">
        <v>168</v>
      </c>
      <c r="C117" s="103" t="s">
        <v>275</v>
      </c>
      <c r="D117" s="221">
        <v>345</v>
      </c>
      <c r="E117" s="222">
        <v>733</v>
      </c>
      <c r="F117" s="104"/>
      <c r="G117" s="217">
        <v>258</v>
      </c>
      <c r="H117" s="217">
        <v>598</v>
      </c>
      <c r="I117" s="107"/>
      <c r="J117" s="217">
        <v>39</v>
      </c>
      <c r="K117" s="217">
        <v>57</v>
      </c>
      <c r="L117" s="110"/>
      <c r="M117" s="217">
        <v>14</v>
      </c>
      <c r="N117" s="217">
        <v>18</v>
      </c>
      <c r="O117" s="105"/>
      <c r="P117" s="211">
        <f t="shared" si="4"/>
        <v>47.066848567530698</v>
      </c>
      <c r="Q117" s="210">
        <f t="shared" si="5"/>
        <v>43.143812709030101</v>
      </c>
      <c r="R117" s="210">
        <f t="shared" si="6"/>
        <v>68.421052631578945</v>
      </c>
      <c r="S117" s="209">
        <f t="shared" si="7"/>
        <v>77.777777777777786</v>
      </c>
      <c r="T117" s="108"/>
      <c r="U117" s="109"/>
      <c r="V117" s="109"/>
    </row>
    <row r="118" spans="1:22">
      <c r="A118" s="101" t="s">
        <v>177</v>
      </c>
      <c r="B118" s="102" t="s">
        <v>178</v>
      </c>
      <c r="C118" s="103" t="s">
        <v>273</v>
      </c>
      <c r="D118" s="221">
        <v>3407</v>
      </c>
      <c r="E118" s="222">
        <v>4980</v>
      </c>
      <c r="F118" s="104"/>
      <c r="G118" s="217">
        <v>162</v>
      </c>
      <c r="H118" s="217">
        <v>403</v>
      </c>
      <c r="I118" s="107"/>
      <c r="J118" s="217">
        <v>3058</v>
      </c>
      <c r="K118" s="217">
        <v>4173</v>
      </c>
      <c r="L118" s="110"/>
      <c r="M118" s="217">
        <v>125</v>
      </c>
      <c r="N118" s="217">
        <v>319</v>
      </c>
      <c r="O118" s="105"/>
      <c r="P118" s="211">
        <f t="shared" si="4"/>
        <v>68.413654618473899</v>
      </c>
      <c r="Q118" s="210">
        <f t="shared" si="5"/>
        <v>40.198511166253105</v>
      </c>
      <c r="R118" s="210">
        <f t="shared" si="6"/>
        <v>73.280613467529349</v>
      </c>
      <c r="S118" s="209">
        <f t="shared" si="7"/>
        <v>39.184952978056423</v>
      </c>
      <c r="T118" s="108"/>
      <c r="U118" s="109"/>
      <c r="V118" s="109"/>
    </row>
    <row r="119" spans="1:22">
      <c r="A119" s="101" t="s">
        <v>181</v>
      </c>
      <c r="B119" s="102" t="s">
        <v>182</v>
      </c>
      <c r="C119" s="103" t="s">
        <v>271</v>
      </c>
      <c r="D119" s="221">
        <v>9017</v>
      </c>
      <c r="E119" s="222">
        <v>18131</v>
      </c>
      <c r="F119" s="104"/>
      <c r="G119" s="217">
        <v>1561</v>
      </c>
      <c r="H119" s="217">
        <v>6070</v>
      </c>
      <c r="I119" s="107"/>
      <c r="J119" s="217">
        <v>6830</v>
      </c>
      <c r="K119" s="217">
        <v>10644</v>
      </c>
      <c r="L119" s="110"/>
      <c r="M119" s="217">
        <v>330</v>
      </c>
      <c r="N119" s="217">
        <v>793</v>
      </c>
      <c r="O119" s="105"/>
      <c r="P119" s="211">
        <f t="shared" si="4"/>
        <v>49.732502344051625</v>
      </c>
      <c r="Q119" s="210">
        <f t="shared" si="5"/>
        <v>25.716639209225701</v>
      </c>
      <c r="R119" s="210">
        <f t="shared" si="6"/>
        <v>64.167606163096579</v>
      </c>
      <c r="S119" s="209">
        <f t="shared" si="7"/>
        <v>41.614123581336699</v>
      </c>
      <c r="T119" s="108"/>
      <c r="U119" s="109"/>
      <c r="V119" s="109"/>
    </row>
    <row r="120" spans="1:22">
      <c r="A120" s="101" t="s">
        <v>193</v>
      </c>
      <c r="B120" s="102" t="s">
        <v>194</v>
      </c>
      <c r="C120" s="103" t="s">
        <v>275</v>
      </c>
      <c r="D120" s="221">
        <v>721</v>
      </c>
      <c r="E120" s="222">
        <v>1931</v>
      </c>
      <c r="F120" s="104"/>
      <c r="G120" s="217">
        <v>509</v>
      </c>
      <c r="H120" s="217">
        <v>1578</v>
      </c>
      <c r="I120" s="107"/>
      <c r="J120" s="217">
        <v>123</v>
      </c>
      <c r="K120" s="217">
        <v>175</v>
      </c>
      <c r="L120" s="110"/>
      <c r="M120" s="217">
        <v>26</v>
      </c>
      <c r="N120" s="217">
        <v>45</v>
      </c>
      <c r="O120" s="105"/>
      <c r="P120" s="211">
        <f t="shared" si="4"/>
        <v>37.338166752977727</v>
      </c>
      <c r="Q120" s="210">
        <f t="shared" si="5"/>
        <v>32.256020278833972</v>
      </c>
      <c r="R120" s="210">
        <f t="shared" si="6"/>
        <v>70.285714285714278</v>
      </c>
      <c r="S120" s="209">
        <f t="shared" si="7"/>
        <v>57.777777777777771</v>
      </c>
      <c r="T120" s="108"/>
      <c r="U120" s="109"/>
      <c r="V120" s="109"/>
    </row>
    <row r="121" spans="1:22">
      <c r="A121" s="101" t="s">
        <v>197</v>
      </c>
      <c r="B121" s="102" t="s">
        <v>334</v>
      </c>
      <c r="C121" s="103" t="s">
        <v>273</v>
      </c>
      <c r="D121" s="221">
        <v>18322</v>
      </c>
      <c r="E121" s="222">
        <v>31305</v>
      </c>
      <c r="F121" s="104"/>
      <c r="G121" s="217">
        <v>1555</v>
      </c>
      <c r="H121" s="217">
        <v>8307</v>
      </c>
      <c r="I121" s="107"/>
      <c r="J121" s="217">
        <v>15392</v>
      </c>
      <c r="K121" s="217">
        <v>19914</v>
      </c>
      <c r="L121" s="110"/>
      <c r="M121" s="217">
        <v>1145</v>
      </c>
      <c r="N121" s="217">
        <v>2711</v>
      </c>
      <c r="O121" s="105"/>
      <c r="P121" s="211">
        <f t="shared" si="4"/>
        <v>58.52739179044881</v>
      </c>
      <c r="Q121" s="210">
        <f t="shared" si="5"/>
        <v>18.719152521969423</v>
      </c>
      <c r="R121" s="210">
        <f t="shared" si="6"/>
        <v>77.292357135683446</v>
      </c>
      <c r="S121" s="209">
        <f t="shared" si="7"/>
        <v>42.235337513832533</v>
      </c>
      <c r="T121" s="108"/>
      <c r="U121" s="109"/>
      <c r="V121" s="109"/>
    </row>
    <row r="122" spans="1:22">
      <c r="A122" s="101" t="s">
        <v>201</v>
      </c>
      <c r="B122" s="102" t="s">
        <v>335</v>
      </c>
      <c r="C122" s="103" t="s">
        <v>272</v>
      </c>
      <c r="D122" s="221">
        <v>8836</v>
      </c>
      <c r="E122" s="222">
        <v>17849</v>
      </c>
      <c r="F122" s="104"/>
      <c r="G122" s="217">
        <v>3165</v>
      </c>
      <c r="H122" s="217">
        <v>9224</v>
      </c>
      <c r="I122" s="107"/>
      <c r="J122" s="217">
        <v>4457</v>
      </c>
      <c r="K122" s="217">
        <v>6273</v>
      </c>
      <c r="L122" s="110"/>
      <c r="M122" s="217">
        <v>699</v>
      </c>
      <c r="N122" s="217">
        <v>1535</v>
      </c>
      <c r="O122" s="105"/>
      <c r="P122" s="211">
        <f t="shared" si="4"/>
        <v>49.5041739032999</v>
      </c>
      <c r="Q122" s="210">
        <f t="shared" si="5"/>
        <v>34.31266261925412</v>
      </c>
      <c r="R122" s="210">
        <f t="shared" si="6"/>
        <v>71.050534034752104</v>
      </c>
      <c r="S122" s="209">
        <f t="shared" si="7"/>
        <v>45.537459283387619</v>
      </c>
      <c r="T122" s="108"/>
      <c r="U122" s="109"/>
      <c r="V122" s="109"/>
    </row>
    <row r="123" spans="1:22">
      <c r="A123" s="101" t="s">
        <v>223</v>
      </c>
      <c r="B123" s="102" t="s">
        <v>224</v>
      </c>
      <c r="C123" s="103" t="s">
        <v>271</v>
      </c>
      <c r="D123" s="221">
        <v>5891</v>
      </c>
      <c r="E123" s="222">
        <v>19024</v>
      </c>
      <c r="F123" s="104"/>
      <c r="G123" s="217">
        <v>1476</v>
      </c>
      <c r="H123" s="217">
        <v>9054</v>
      </c>
      <c r="I123" s="107"/>
      <c r="J123" s="217">
        <v>4058</v>
      </c>
      <c r="K123" s="217">
        <v>8404</v>
      </c>
      <c r="L123" s="110"/>
      <c r="M123" s="217">
        <v>217</v>
      </c>
      <c r="N123" s="217">
        <v>828</v>
      </c>
      <c r="O123" s="105"/>
      <c r="P123" s="211">
        <f t="shared" si="4"/>
        <v>30.966148023549202</v>
      </c>
      <c r="Q123" s="210">
        <f t="shared" si="5"/>
        <v>16.302186878727635</v>
      </c>
      <c r="R123" s="210">
        <f t="shared" si="6"/>
        <v>48.286530223703004</v>
      </c>
      <c r="S123" s="209">
        <f t="shared" si="7"/>
        <v>26.207729468599034</v>
      </c>
      <c r="T123" s="108"/>
      <c r="U123" s="109"/>
      <c r="V123" s="109"/>
    </row>
    <row r="124" spans="1:22">
      <c r="A124" s="101" t="s">
        <v>231</v>
      </c>
      <c r="B124" s="102" t="s">
        <v>232</v>
      </c>
      <c r="C124" s="103" t="s">
        <v>271</v>
      </c>
      <c r="D124" s="221">
        <v>27662</v>
      </c>
      <c r="E124" s="222">
        <v>93307</v>
      </c>
      <c r="F124" s="104"/>
      <c r="G124" s="217">
        <v>12802</v>
      </c>
      <c r="H124" s="217">
        <v>57570</v>
      </c>
      <c r="I124" s="107"/>
      <c r="J124" s="217">
        <v>10389</v>
      </c>
      <c r="K124" s="217">
        <v>19927</v>
      </c>
      <c r="L124" s="110"/>
      <c r="M124" s="217">
        <v>3040</v>
      </c>
      <c r="N124" s="217">
        <v>9133</v>
      </c>
      <c r="O124" s="105"/>
      <c r="P124" s="211">
        <f t="shared" si="4"/>
        <v>29.646221612526389</v>
      </c>
      <c r="Q124" s="210">
        <f t="shared" si="5"/>
        <v>22.237276359214871</v>
      </c>
      <c r="R124" s="210">
        <f t="shared" si="6"/>
        <v>52.135293822451942</v>
      </c>
      <c r="S124" s="209">
        <f t="shared" si="7"/>
        <v>33.285886346217012</v>
      </c>
      <c r="T124" s="108"/>
      <c r="U124" s="109"/>
      <c r="V124" s="109"/>
    </row>
    <row r="125" spans="1:22">
      <c r="A125" s="101" t="s">
        <v>239</v>
      </c>
      <c r="B125" s="102" t="s">
        <v>240</v>
      </c>
      <c r="C125" s="103" t="s">
        <v>271</v>
      </c>
      <c r="D125" s="221">
        <v>464</v>
      </c>
      <c r="E125" s="222">
        <v>1231</v>
      </c>
      <c r="F125" s="104"/>
      <c r="G125" s="217">
        <v>179</v>
      </c>
      <c r="H125" s="217">
        <v>722</v>
      </c>
      <c r="I125" s="107"/>
      <c r="J125" s="217">
        <v>200</v>
      </c>
      <c r="K125" s="217">
        <v>295</v>
      </c>
      <c r="L125" s="110"/>
      <c r="M125" s="217">
        <v>57</v>
      </c>
      <c r="N125" s="217">
        <v>146</v>
      </c>
      <c r="O125" s="105"/>
      <c r="P125" s="211">
        <f t="shared" si="4"/>
        <v>37.692932575142166</v>
      </c>
      <c r="Q125" s="210">
        <f t="shared" si="5"/>
        <v>24.792243767313018</v>
      </c>
      <c r="R125" s="210">
        <f t="shared" si="6"/>
        <v>67.796610169491515</v>
      </c>
      <c r="S125" s="209">
        <f t="shared" si="7"/>
        <v>39.041095890410958</v>
      </c>
      <c r="T125" s="108"/>
      <c r="U125" s="109"/>
      <c r="V125" s="109"/>
    </row>
    <row r="126" spans="1:22">
      <c r="A126" s="171" t="s">
        <v>241</v>
      </c>
      <c r="B126" s="172" t="s">
        <v>242</v>
      </c>
      <c r="C126" s="111" t="s">
        <v>274</v>
      </c>
      <c r="D126" s="223">
        <v>1867</v>
      </c>
      <c r="E126" s="224">
        <v>5010</v>
      </c>
      <c r="F126" s="112"/>
      <c r="G126" s="218">
        <v>1033</v>
      </c>
      <c r="H126" s="218">
        <v>3159</v>
      </c>
      <c r="I126" s="106"/>
      <c r="J126" s="218">
        <v>355</v>
      </c>
      <c r="K126" s="218">
        <v>586</v>
      </c>
      <c r="L126" s="113"/>
      <c r="M126" s="218">
        <v>454</v>
      </c>
      <c r="N126" s="218">
        <v>1275</v>
      </c>
      <c r="O126" s="114"/>
      <c r="P126" s="212">
        <f t="shared" si="4"/>
        <v>37.265469061876253</v>
      </c>
      <c r="Q126" s="213">
        <f t="shared" si="5"/>
        <v>32.700221589110477</v>
      </c>
      <c r="R126" s="213">
        <f t="shared" si="6"/>
        <v>60.580204778156997</v>
      </c>
      <c r="S126" s="214">
        <f t="shared" si="7"/>
        <v>35.607843137254903</v>
      </c>
      <c r="T126" s="108"/>
      <c r="U126" s="109"/>
      <c r="V126" s="109"/>
    </row>
    <row r="127" spans="1:22">
      <c r="A127" s="115"/>
      <c r="B127" s="116"/>
      <c r="C127" s="116"/>
      <c r="D127" s="116"/>
      <c r="E127" s="116"/>
      <c r="F127" s="116"/>
      <c r="G127" s="105"/>
      <c r="H127" s="105"/>
      <c r="I127" s="107"/>
      <c r="J127" s="105"/>
      <c r="K127" s="105"/>
      <c r="L127" s="110"/>
      <c r="M127" s="105"/>
      <c r="N127" s="105"/>
      <c r="O127" s="105"/>
      <c r="Q127" s="118"/>
      <c r="R127" s="118"/>
      <c r="S127" s="107"/>
      <c r="T127" s="108"/>
      <c r="U127" s="109"/>
      <c r="V127" s="109"/>
    </row>
    <row r="128" spans="1:22">
      <c r="A128" s="115" t="s">
        <v>252</v>
      </c>
      <c r="B128" s="96"/>
      <c r="C128" s="338"/>
      <c r="D128" s="338"/>
      <c r="E128" s="338"/>
      <c r="F128" s="338"/>
      <c r="G128" s="105"/>
      <c r="H128" s="105"/>
      <c r="I128" s="107"/>
      <c r="J128" s="105"/>
      <c r="K128" s="105"/>
      <c r="L128" s="110"/>
      <c r="M128" s="105"/>
      <c r="N128" s="105"/>
      <c r="O128" s="105"/>
      <c r="Q128" s="118"/>
      <c r="R128" s="118"/>
      <c r="S128" s="107"/>
      <c r="T128" s="108"/>
      <c r="U128" s="109"/>
      <c r="V128" s="109"/>
    </row>
    <row r="129" spans="1:22">
      <c r="A129" s="338" t="s">
        <v>273</v>
      </c>
      <c r="B129" s="96"/>
      <c r="C129" s="338"/>
      <c r="D129" s="340">
        <f>D10+D21+D23+D25+D27+D31+D34+D38+D43+D48+D49+D54+D56+D57+D61+D65+D68+D70+D71+D76+D77+D82+D98+D111+D118+D121</f>
        <v>85415</v>
      </c>
      <c r="E129" s="340">
        <f>E10+E21+E23+E25+E27+E31+E34+E38+E43+E48+E49+E54+E56+E57+E61+E65+E68+E70+E71+E76+E77+E82+E98+E111+E118+E121</f>
        <v>263081</v>
      </c>
      <c r="F129" s="338"/>
      <c r="G129" s="340">
        <f>G10+G21+G23+G25+G27+G31+G34+G38+G43+G48+G49+G54+G56+G57+G61+G65+G68+G70+G71+G76+G77+G82+G98+G111+G118+G121</f>
        <v>29474</v>
      </c>
      <c r="H129" s="340">
        <f>H10+H21+H23+H25+H27+H31+H34+H38+H43+H48+H49+H54+H56+H57+H61+H65+H68+H70+H71+H76+H77+H82+H98+H111+H118+H121</f>
        <v>155169</v>
      </c>
      <c r="I129" s="107"/>
      <c r="J129" s="340">
        <f>J10+J21+J23+J25+J27+J31+J34+J38+J43+J48+J49+J54+J56+J57+J61+J65+J68+J70+J71+J76+J77+J82+J98+J111+J118+J121</f>
        <v>47586</v>
      </c>
      <c r="K129" s="340">
        <f>K10+K21+K23+K25+K27+K31+K34+K38+K43+K48+K49+K54+K56+K57+K61+K65+K68+K70+K71+K76+K77+K82+K98+K111+K118+K121</f>
        <v>77872</v>
      </c>
      <c r="L129" s="110"/>
      <c r="M129" s="340">
        <f>M10+M21+M23+M25+M27+M31+M34+M38+M43+M48+M49+M54+M56+M57+M61+M65+M68+M70+M71+M76+M77+M82+M98+M111+M118+M121</f>
        <v>5871</v>
      </c>
      <c r="N129" s="340">
        <f>N10+N21+N23+N25+N27+N31+N34+N38+N43+N48+N49+N54+N56+N57+N61+N65+N68+N70+N71+N76+N77+N82+N98+N111+N118+N121</f>
        <v>18288</v>
      </c>
      <c r="O129" s="105"/>
      <c r="P129" s="341">
        <f>(D129/E129)*100</f>
        <v>32.467186912015691</v>
      </c>
      <c r="Q129" s="342">
        <f>(G129/H129)*100</f>
        <v>18.994773440571247</v>
      </c>
      <c r="R129" s="342">
        <f>(J129/K129)*100</f>
        <v>61.107972056708448</v>
      </c>
      <c r="S129" s="343">
        <f>IF(N129&lt;1,"NA", ((M129/N129)*100))</f>
        <v>32.10301837270341</v>
      </c>
      <c r="T129" s="108"/>
      <c r="U129" s="109"/>
      <c r="V129" s="109"/>
    </row>
    <row r="130" spans="1:22">
      <c r="A130" s="338" t="s">
        <v>271</v>
      </c>
      <c r="B130" s="96"/>
      <c r="C130" s="338"/>
      <c r="D130" s="340">
        <f>D7+D19+D33+D42+D46+D52+D53+D63+D69+D78+D90+D93+D94+D124+D101+D105+D107+D110+D115+D116+D119+D123+D125</f>
        <v>129637</v>
      </c>
      <c r="E130" s="340">
        <f>E7+E19+E33+E42+E46+E52+E53+E63+E69+E78+E90+E93+E94+E124+E101+E105+E107+E110+E115+E116+E119+E123+E125</f>
        <v>368826</v>
      </c>
      <c r="F130" s="338"/>
      <c r="G130" s="340">
        <f>G7+G19+G33+G42+G46+G52+G53+G63+G69+G78+G90+G93+G94+G124+G101+G105+G107+G110+G115+G116+G119+G123+G125</f>
        <v>42187</v>
      </c>
      <c r="H130" s="340">
        <f>H7+H19+H33+H42+H46+H52+H53+H63+H69+H78+H90+H93+H94+H124+H101+H105+H107+H110+H115+H116+H119+H123+H125</f>
        <v>196948</v>
      </c>
      <c r="I130" s="107"/>
      <c r="J130" s="340">
        <f>J7+J19+J33+J42+J46+J52+J53+J63+J69+J78+J90+J93+J94+J124+J101+J105+J107+J110+J115+J116+J119+J123+J125</f>
        <v>72980</v>
      </c>
      <c r="K130" s="340">
        <f>K7+K19+K33+K42+K46+K52+K53+K63+K69+K78+K90+K93+K94+K124+K101+K105+K107+K110+K115+K116+K119+K123+K125</f>
        <v>125301</v>
      </c>
      <c r="L130" s="110"/>
      <c r="M130" s="340">
        <f>M7+M19+M33+M42+M46+M52+M53+M63+M69+M78+M90+M93+M94+M124+M101+M105+M107+M110+M115+M116+M119+M123+M125</f>
        <v>9659</v>
      </c>
      <c r="N130" s="340">
        <f>N7+N19+N33+N42+N46+N52+N53+N63+N69+N78+N90+N93+N94+N124+N101+N105+N107+N110+N115+N116+N119+N123+N125</f>
        <v>28855</v>
      </c>
      <c r="O130" s="105"/>
      <c r="P130" s="341">
        <f>(D130/E130)*100</f>
        <v>35.148552433939038</v>
      </c>
      <c r="Q130" s="342">
        <f>(G130/H130)*100</f>
        <v>21.420374921299022</v>
      </c>
      <c r="R130" s="342">
        <f>(J130/K130)*100</f>
        <v>58.243749052282098</v>
      </c>
      <c r="S130" s="343">
        <f>IF(N130&lt;1,"NA", ((M130/N130)*100))</f>
        <v>33.474267891180034</v>
      </c>
      <c r="T130" s="108"/>
      <c r="U130" s="109"/>
      <c r="V130" s="109"/>
    </row>
    <row r="131" spans="1:22">
      <c r="A131" s="338" t="s">
        <v>274</v>
      </c>
      <c r="B131" s="96"/>
      <c r="C131" s="338"/>
      <c r="D131" s="340">
        <f>D13+D28+D30+D35+D36+D40+D45+D55+D59+D60+D62+D72+D73+D79+D81+D85+D88+D91+D92+D96+D102+D108+D113+D114+D126</f>
        <v>133285</v>
      </c>
      <c r="E131" s="340">
        <f>E13+E28+E30+E35+E36+E40+E45+E55+E59+E60+E62+E72+E73+E79+E81+E85+E88+E91+E92+E96+E102+E108+E113+E114+E126</f>
        <v>692685</v>
      </c>
      <c r="F131" s="338"/>
      <c r="G131" s="340">
        <f>G13+G28+G30+G35+G36+G40+G45+G55+G59+G60+G62+G72+G73+G79+G81+G85+G88+G91+G92+G96+G102+G108+G113+G114+G126</f>
        <v>69868</v>
      </c>
      <c r="H131" s="340">
        <f>H13+H28+H30+H35+H36+H40+H45+H55+H59+H60+H62+H72+H73+H79+H81+H85+H88+H91+H92+H96+H102+H108+H113+H114+H126</f>
        <v>443527</v>
      </c>
      <c r="I131" s="107"/>
      <c r="J131" s="340">
        <f>J13+J28+J30+J35+J36+J40+J45+J55+J59+J60+J62+J72+J73+J79+J81+J85+J88+J91+J92+J96+J102+J108+J113+J114+J126</f>
        <v>32405</v>
      </c>
      <c r="K131" s="340">
        <f>K13+K28+K30+K35+K36+K40+K45+K55+K59+K60+K62+K72+K73+K79+K81+K85+K88+K91+K92+K96+K102+K108+K113+K114+K126</f>
        <v>79293</v>
      </c>
      <c r="L131" s="110"/>
      <c r="M131" s="340">
        <f>M13+M28+M30+M35+M36+M40+M45+M55+M59+M60+M62+M72+M73+M79+M81+M85+M88+M91+M92+M96+M102+M108+M113+M114+M126</f>
        <v>29151</v>
      </c>
      <c r="N131" s="340">
        <f>N13+N28+N30+N35+N36+N40+N45+N55+N59+N60+N62+N72+N73+N79+N81+N85+N88+N91+N92+N96+N102+N108+N113+N114+N126</f>
        <v>113332</v>
      </c>
      <c r="O131" s="105"/>
      <c r="P131" s="341">
        <f>(D131/E131)*100</f>
        <v>19.241791001681861</v>
      </c>
      <c r="Q131" s="342">
        <f>(G131/H131)*100</f>
        <v>15.752817754048795</v>
      </c>
      <c r="R131" s="342">
        <f>(J131/K131)*100</f>
        <v>40.867415787017769</v>
      </c>
      <c r="S131" s="343">
        <f>IF(N131&lt;1,"NA", ((M131/N131)*100))</f>
        <v>25.721773197331732</v>
      </c>
      <c r="T131" s="108"/>
      <c r="U131" s="109"/>
      <c r="V131" s="109"/>
    </row>
    <row r="132" spans="1:22">
      <c r="A132" s="338" t="s">
        <v>272</v>
      </c>
      <c r="B132" s="96"/>
      <c r="C132" s="338"/>
      <c r="D132" s="340">
        <f>D8+D9+D11+D12+D14+D15+D16+D18+D22+D26+D29+D39+D47+D50+D51+D64+D67+D75+D83+D84+D104+D106+D112+D122</f>
        <v>67810</v>
      </c>
      <c r="E132" s="340">
        <f>E8+E9+E11+E12+E14+E15+E16+E18+E22+E26+E29+E39+E47+E50+E51+E64+E67+E75+E83+E84+E104+E106+E112+E122</f>
        <v>210526</v>
      </c>
      <c r="F132" s="338"/>
      <c r="G132" s="340">
        <f>G8+G9+G11+G12+G14+G15+G16+G18+G22+G26+G29+G39+G47+G50+G51+G64+G67+G75+G83+G84+G104+G106+G112+G122</f>
        <v>36951</v>
      </c>
      <c r="H132" s="340">
        <f>H8+H9+H11+H12+H14+H15+H16+H18+H22+H26+H29+H39+H47+H50+H51+H64+H67+H75+H83+H84+H104+H106+H112+H122</f>
        <v>155662</v>
      </c>
      <c r="I132" s="107"/>
      <c r="J132" s="340">
        <f>J8+J9+J11+J12+J14+J15+J16+J18+J22+J26+J29+J39+J47+J50+J51+J64+J67+J75+J83+J84+J104+J106+J112+J122</f>
        <v>24207</v>
      </c>
      <c r="K132" s="340">
        <f>K8+K9+K11+K12+K14+K15+K16+K18+K22+K26+K29+K39+K47+K50+K51+K64+K67+K75+K83+K84+K104+K106+K112+K122</f>
        <v>37258</v>
      </c>
      <c r="L132" s="110"/>
      <c r="M132" s="340">
        <f>M8+M9+M11+M12+M14+M15+M16+M18+M22+M26+M29+M39+M47+M50+M51+M64+M67+M75+M83+M84+M104+M106+M112+M122</f>
        <v>3539</v>
      </c>
      <c r="N132" s="340">
        <f>N8+N9+N11+N12+N14+N15+N16+N18+N22+N26+N29+N39+N47+N50+N51+N64+N67+N75+N83+N84+N104+N106+N112+N122</f>
        <v>10270</v>
      </c>
      <c r="O132" s="105"/>
      <c r="P132" s="341">
        <f>(D132/E132)*100</f>
        <v>32.209798314697473</v>
      </c>
      <c r="Q132" s="342">
        <f>(G132/H132)*100</f>
        <v>23.737970731456617</v>
      </c>
      <c r="R132" s="342">
        <f>(J132/K132)*100</f>
        <v>64.971281335552106</v>
      </c>
      <c r="S132" s="343">
        <f>IF(N132&lt;1,"NA", ((M132/N132)*100))</f>
        <v>34.459591041869523</v>
      </c>
      <c r="T132" s="108"/>
      <c r="U132" s="109"/>
      <c r="V132" s="109"/>
    </row>
    <row r="133" spans="1:22">
      <c r="A133" s="338" t="s">
        <v>275</v>
      </c>
      <c r="B133" s="96"/>
      <c r="C133" s="338"/>
      <c r="D133" s="340">
        <f>D17+D20+D24+D32+D37+D41+D44+D58+D66+D74+D80+D86+D87+D89+D95+D97+D99+D100+D103+D109+D117+D120</f>
        <v>28145</v>
      </c>
      <c r="E133" s="340">
        <f>E17+E20+E24+E32+E37+E41+E44+E58+E66+E74+E80+E86+E87+E89+E95+E97+E99+E100+E103+E109+E117+E120</f>
        <v>100242</v>
      </c>
      <c r="F133" s="338"/>
      <c r="G133" s="340">
        <f>G17+G20+G24+G32+G37+G41+G44+G58+G66+G74+G80+G86+G87+G89+G95+G97+G99+G100+G103+G109+G117+G120</f>
        <v>24955</v>
      </c>
      <c r="H133" s="340">
        <f>H17+H20+H24+H32+H37+H41+H44+H58+H66+H74+H80+H86+H87+H89+H95+H97+H99+H100+H103+H109+H117+H120</f>
        <v>93350</v>
      </c>
      <c r="I133" s="107"/>
      <c r="J133" s="340">
        <f>J17+J20+J24+J32+J37+J41+J44+J58+J66+J74+J80+J86+J87+J89+J95+J97+J99+J100+J103+J109+J117+J120</f>
        <v>1431</v>
      </c>
      <c r="K133" s="340">
        <f>K17+K20+K24+K32+K37+K41+K44+K58+K66+K74+K80+K86+K87+K89+K95+K97+K99+K100+K103+K109+K117+K120</f>
        <v>2353</v>
      </c>
      <c r="L133" s="110"/>
      <c r="M133" s="340">
        <f>M17+M20+M24+M32+M37+M41+M44+M58+M66+M74+M80+M86+M87+M89+M95+M97+M99+M100+M103+M109+M117+M120</f>
        <v>1039</v>
      </c>
      <c r="N133" s="340">
        <f>N17+N20+N24+N32+N37+N41+N44+N58+N66+N74+N80+N86+N87+N89+N95+N97+N99+N100+N103+N109+N117+N120</f>
        <v>2765</v>
      </c>
      <c r="O133" s="105"/>
      <c r="P133" s="341">
        <f>(D133/E133)*100</f>
        <v>28.077053530456297</v>
      </c>
      <c r="Q133" s="342">
        <f>(G133/H133)*100</f>
        <v>26.732726298875203</v>
      </c>
      <c r="R133" s="342">
        <f>(J133/K133)*100</f>
        <v>60.815979600509984</v>
      </c>
      <c r="S133" s="343">
        <f>IF(N133&lt;1,"NA", ((M133/N133)*100))</f>
        <v>37.576853526220617</v>
      </c>
      <c r="T133" s="108"/>
      <c r="U133" s="109"/>
      <c r="V133" s="109"/>
    </row>
    <row r="134" spans="1:22">
      <c r="A134" s="115"/>
      <c r="B134" s="338"/>
      <c r="C134" s="338"/>
      <c r="D134" s="338"/>
      <c r="E134" s="338"/>
      <c r="F134" s="338"/>
      <c r="G134" s="105"/>
      <c r="H134" s="105"/>
      <c r="I134" s="107"/>
      <c r="J134" s="105"/>
      <c r="K134" s="105"/>
      <c r="L134" s="110"/>
      <c r="M134" s="105"/>
      <c r="N134" s="105"/>
      <c r="O134" s="105"/>
      <c r="Q134" s="118"/>
      <c r="R134" s="118"/>
      <c r="S134" s="107"/>
      <c r="T134" s="108"/>
      <c r="U134" s="109"/>
      <c r="V134" s="109"/>
    </row>
    <row r="135" spans="1:22" ht="68.25" customHeight="1">
      <c r="A135" s="187"/>
      <c r="B135" s="187"/>
      <c r="C135" s="187"/>
      <c r="D135" s="1702" t="s">
        <v>824</v>
      </c>
      <c r="E135" s="1702"/>
      <c r="F135" s="1702"/>
      <c r="G135" s="1702"/>
      <c r="H135" s="1702"/>
      <c r="I135" s="1702"/>
      <c r="J135" s="1702"/>
      <c r="K135" s="1702"/>
      <c r="L135" s="1702"/>
      <c r="M135" s="1702"/>
      <c r="N135" s="119"/>
      <c r="O135" s="119"/>
      <c r="P135" s="120"/>
      <c r="Q135" s="120"/>
      <c r="R135" s="120"/>
    </row>
    <row r="136" spans="1:22" ht="18" customHeight="1">
      <c r="B136" s="121"/>
      <c r="C136" s="121"/>
      <c r="D136" s="1703" t="s">
        <v>249</v>
      </c>
      <c r="E136" s="1703"/>
      <c r="F136" s="1703"/>
      <c r="G136" s="1703"/>
      <c r="H136" s="1703"/>
      <c r="I136" s="1703"/>
      <c r="J136" s="1703"/>
      <c r="K136" s="1703"/>
      <c r="L136" s="1703"/>
      <c r="M136" s="1703"/>
      <c r="N136" s="121"/>
      <c r="O136" s="121"/>
      <c r="P136" s="122"/>
      <c r="Q136" s="122"/>
      <c r="R136" s="122"/>
    </row>
    <row r="137" spans="1:22" ht="18.75" customHeight="1">
      <c r="B137" s="96"/>
      <c r="C137" s="123"/>
      <c r="D137" s="124" t="s">
        <v>250</v>
      </c>
      <c r="E137" s="1704" t="s">
        <v>251</v>
      </c>
      <c r="F137" s="1704"/>
      <c r="G137" s="1704"/>
      <c r="H137" s="123"/>
    </row>
  </sheetData>
  <mergeCells count="9">
    <mergeCell ref="P4:S4"/>
    <mergeCell ref="D135:M135"/>
    <mergeCell ref="D136:M136"/>
    <mergeCell ref="E137:G137"/>
    <mergeCell ref="A1:K1"/>
    <mergeCell ref="D4:E4"/>
    <mergeCell ref="G4:H4"/>
    <mergeCell ref="J4:K4"/>
    <mergeCell ref="M4:N4"/>
  </mergeCells>
  <hyperlinks>
    <hyperlink ref="E137" r:id="rId1"/>
  </hyperlinks>
  <pageMargins left="0.7" right="0.7" top="0.75" bottom="0.75" header="0.3" footer="0.3"/>
</worksheet>
</file>

<file path=xl/worksheets/sheet41.xml><?xml version="1.0" encoding="utf-8"?>
<worksheet xmlns="http://schemas.openxmlformats.org/spreadsheetml/2006/main" xmlns:r="http://schemas.openxmlformats.org/officeDocument/2006/relationships">
  <dimension ref="A1:O137"/>
  <sheetViews>
    <sheetView workbookViewId="0">
      <pane ySplit="6" topLeftCell="A112" activePane="bottomLeft" state="frozen"/>
      <selection pane="bottomLeft" activeCell="D129" sqref="D129:D133"/>
    </sheetView>
  </sheetViews>
  <sheetFormatPr defaultRowHeight="15.75"/>
  <cols>
    <col min="1" max="1" width="7.75" style="134" customWidth="1"/>
    <col min="2" max="2" width="28.625" style="160" customWidth="1"/>
    <col min="3" max="3" width="10" style="160" customWidth="1"/>
    <col min="4" max="4" width="8.375" style="160" customWidth="1"/>
    <col min="5" max="7" width="8.375" style="159" customWidth="1"/>
    <col min="8" max="11" width="6.875" style="134" customWidth="1"/>
    <col min="12" max="15" width="6.875" style="135" customWidth="1"/>
    <col min="16" max="16384" width="9" style="134"/>
  </cols>
  <sheetData>
    <row r="1" spans="1:15">
      <c r="A1" s="333" t="s">
        <v>1028</v>
      </c>
      <c r="B1" s="333"/>
      <c r="C1" s="333"/>
      <c r="D1" s="333"/>
      <c r="E1" s="333"/>
      <c r="F1" s="333"/>
      <c r="G1" s="333"/>
      <c r="H1" s="333"/>
      <c r="I1" s="334"/>
      <c r="J1" s="334"/>
      <c r="K1" s="334"/>
      <c r="L1" s="334"/>
      <c r="M1" s="334"/>
      <c r="N1" s="334"/>
      <c r="O1" s="334"/>
    </row>
    <row r="2" spans="1:15">
      <c r="A2" s="96"/>
      <c r="B2" s="136"/>
      <c r="C2" s="136"/>
      <c r="D2" s="136"/>
      <c r="E2" s="1709"/>
      <c r="F2" s="1709"/>
      <c r="G2" s="1709"/>
    </row>
    <row r="3" spans="1:15" s="142" customFormat="1" ht="15.75" customHeight="1">
      <c r="A3" s="137"/>
      <c r="B3" s="138"/>
      <c r="C3" s="138"/>
      <c r="D3" s="139" t="s">
        <v>828</v>
      </c>
      <c r="E3" s="140"/>
      <c r="F3" s="140"/>
      <c r="G3" s="141"/>
      <c r="H3" s="1706" t="s">
        <v>829</v>
      </c>
      <c r="I3" s="1707"/>
      <c r="J3" s="1707"/>
      <c r="K3" s="1707"/>
      <c r="L3" s="1707"/>
      <c r="M3" s="1707"/>
      <c r="N3" s="1707"/>
      <c r="O3" s="1707"/>
    </row>
    <row r="4" spans="1:15" s="142" customFormat="1" ht="24.75" customHeight="1">
      <c r="A4" s="1710" t="s">
        <v>4</v>
      </c>
      <c r="B4" s="1712" t="s">
        <v>5</v>
      </c>
      <c r="C4" s="1712" t="s">
        <v>252</v>
      </c>
      <c r="D4" s="1706" t="s">
        <v>830</v>
      </c>
      <c r="E4" s="1707"/>
      <c r="F4" s="1707"/>
      <c r="G4" s="1708"/>
      <c r="H4" s="1706" t="s">
        <v>831</v>
      </c>
      <c r="I4" s="1707"/>
      <c r="J4" s="1707"/>
      <c r="K4" s="1708"/>
      <c r="L4" s="1706" t="s">
        <v>832</v>
      </c>
      <c r="M4" s="1707"/>
      <c r="N4" s="1707"/>
      <c r="O4" s="1708"/>
    </row>
    <row r="5" spans="1:15" s="142" customFormat="1" ht="15" customHeight="1">
      <c r="A5" s="1711"/>
      <c r="B5" s="1713"/>
      <c r="C5" s="1713"/>
      <c r="D5" s="143" t="s">
        <v>833</v>
      </c>
      <c r="E5" s="144" t="s">
        <v>729</v>
      </c>
      <c r="F5" s="144" t="s">
        <v>730</v>
      </c>
      <c r="G5" s="309" t="s">
        <v>834</v>
      </c>
      <c r="H5" s="143" t="s">
        <v>833</v>
      </c>
      <c r="I5" s="144" t="s">
        <v>729</v>
      </c>
      <c r="J5" s="144" t="s">
        <v>730</v>
      </c>
      <c r="K5" s="309" t="s">
        <v>834</v>
      </c>
      <c r="L5" s="143" t="s">
        <v>833</v>
      </c>
      <c r="M5" s="144" t="s">
        <v>729</v>
      </c>
      <c r="N5" s="144" t="s">
        <v>730</v>
      </c>
      <c r="O5" s="145" t="s">
        <v>834</v>
      </c>
    </row>
    <row r="6" spans="1:15" s="142" customFormat="1" ht="15.75" customHeight="1">
      <c r="A6" s="146" t="s">
        <v>8</v>
      </c>
      <c r="B6" s="147" t="s">
        <v>9</v>
      </c>
      <c r="C6" s="148"/>
      <c r="D6" s="310">
        <v>102525</v>
      </c>
      <c r="E6" s="311">
        <v>69503</v>
      </c>
      <c r="F6" s="311">
        <v>22015</v>
      </c>
      <c r="G6" s="312">
        <v>11007</v>
      </c>
      <c r="H6" s="310">
        <v>36390</v>
      </c>
      <c r="I6" s="311">
        <v>19353</v>
      </c>
      <c r="J6" s="311">
        <v>14674</v>
      </c>
      <c r="K6" s="312">
        <v>2363</v>
      </c>
      <c r="L6" s="299">
        <f>(H6/D6)</f>
        <v>0.35493782004389174</v>
      </c>
      <c r="M6" s="299">
        <f>(I6/E6)</f>
        <v>0.27844841229874967</v>
      </c>
      <c r="N6" s="299">
        <f>(J6/F6)</f>
        <v>0.6665455371337724</v>
      </c>
      <c r="O6" s="299">
        <f>(K6/G6)</f>
        <v>0.21468156627600618</v>
      </c>
    </row>
    <row r="7" spans="1:15" s="142" customFormat="1" ht="15.75" customHeight="1">
      <c r="A7" s="149" t="s">
        <v>10</v>
      </c>
      <c r="B7" s="194" t="s">
        <v>11</v>
      </c>
      <c r="C7" s="150" t="s">
        <v>271</v>
      </c>
      <c r="D7" s="306">
        <v>478</v>
      </c>
      <c r="E7" s="154">
        <v>314</v>
      </c>
      <c r="F7" s="153">
        <v>156</v>
      </c>
      <c r="G7" s="308">
        <v>8</v>
      </c>
      <c r="H7" s="306">
        <v>276</v>
      </c>
      <c r="I7" s="154">
        <v>147</v>
      </c>
      <c r="J7" s="153">
        <v>126</v>
      </c>
      <c r="K7" s="308">
        <v>3</v>
      </c>
      <c r="L7" s="300">
        <f t="shared" ref="L7:L38" si="0">IF(D7=0,"NA",(H7/D7))</f>
        <v>0.57740585774058573</v>
      </c>
      <c r="M7" s="301">
        <f t="shared" ref="M7:M38" si="1">IF(E7=0,"NA",(I7/E7))</f>
        <v>0.46815286624203822</v>
      </c>
      <c r="N7" s="301">
        <f t="shared" ref="N7:N38" si="2">IF(F7=0,"NA",(J7/F7))</f>
        <v>0.80769230769230771</v>
      </c>
      <c r="O7" s="302">
        <f t="shared" ref="O7:O38" si="3">IF(G7=0,"NA",(K7/G7))</f>
        <v>0.375</v>
      </c>
    </row>
    <row r="8" spans="1:15" s="142" customFormat="1" ht="15.75" customHeight="1">
      <c r="A8" s="149" t="s">
        <v>12</v>
      </c>
      <c r="B8" s="195" t="s">
        <v>13</v>
      </c>
      <c r="C8" s="150" t="s">
        <v>272</v>
      </c>
      <c r="D8" s="306">
        <v>1059</v>
      </c>
      <c r="E8" s="154">
        <v>854</v>
      </c>
      <c r="F8" s="153">
        <v>125</v>
      </c>
      <c r="G8" s="308">
        <v>80</v>
      </c>
      <c r="H8" s="306">
        <v>295</v>
      </c>
      <c r="I8" s="154">
        <v>210</v>
      </c>
      <c r="J8" s="153">
        <v>76</v>
      </c>
      <c r="K8" s="308">
        <v>9</v>
      </c>
      <c r="L8" s="300">
        <f t="shared" si="0"/>
        <v>0.2785646836638338</v>
      </c>
      <c r="M8" s="301">
        <f t="shared" si="1"/>
        <v>0.24590163934426229</v>
      </c>
      <c r="N8" s="301">
        <f t="shared" si="2"/>
        <v>0.60799999999999998</v>
      </c>
      <c r="O8" s="302">
        <f t="shared" si="3"/>
        <v>0.1125</v>
      </c>
    </row>
    <row r="9" spans="1:15" s="142" customFormat="1" ht="15.75" customHeight="1">
      <c r="A9" s="149" t="s">
        <v>16</v>
      </c>
      <c r="B9" s="195" t="s">
        <v>307</v>
      </c>
      <c r="C9" s="150" t="s">
        <v>272</v>
      </c>
      <c r="D9" s="306">
        <v>221</v>
      </c>
      <c r="E9" s="154">
        <v>211</v>
      </c>
      <c r="F9" s="153">
        <v>8</v>
      </c>
      <c r="G9" s="308">
        <v>2</v>
      </c>
      <c r="H9" s="306">
        <v>107</v>
      </c>
      <c r="I9" s="154">
        <v>105</v>
      </c>
      <c r="J9" s="153">
        <v>2</v>
      </c>
      <c r="K9" s="308">
        <v>0</v>
      </c>
      <c r="L9" s="300">
        <f t="shared" si="0"/>
        <v>0.48416289592760181</v>
      </c>
      <c r="M9" s="301">
        <f t="shared" si="1"/>
        <v>0.49763033175355448</v>
      </c>
      <c r="N9" s="301">
        <f t="shared" si="2"/>
        <v>0.25</v>
      </c>
      <c r="O9" s="302">
        <f t="shared" si="3"/>
        <v>0</v>
      </c>
    </row>
    <row r="10" spans="1:15" s="142" customFormat="1" ht="15.75" customHeight="1">
      <c r="A10" s="149" t="s">
        <v>18</v>
      </c>
      <c r="B10" s="195" t="s">
        <v>19</v>
      </c>
      <c r="C10" s="150" t="s">
        <v>273</v>
      </c>
      <c r="D10" s="306">
        <v>125</v>
      </c>
      <c r="E10" s="154">
        <v>102</v>
      </c>
      <c r="F10" s="153">
        <v>22</v>
      </c>
      <c r="G10" s="308">
        <v>1</v>
      </c>
      <c r="H10" s="306">
        <v>46</v>
      </c>
      <c r="I10" s="154">
        <v>29</v>
      </c>
      <c r="J10" s="153">
        <v>16</v>
      </c>
      <c r="K10" s="308">
        <v>1</v>
      </c>
      <c r="L10" s="300">
        <f t="shared" si="0"/>
        <v>0.36799999999999999</v>
      </c>
      <c r="M10" s="301">
        <f t="shared" si="1"/>
        <v>0.28431372549019607</v>
      </c>
      <c r="N10" s="301">
        <f t="shared" si="2"/>
        <v>0.72727272727272729</v>
      </c>
      <c r="O10" s="302">
        <f t="shared" si="3"/>
        <v>1</v>
      </c>
    </row>
    <row r="11" spans="1:15" s="142" customFormat="1" ht="15.75" customHeight="1">
      <c r="A11" s="149" t="s">
        <v>20</v>
      </c>
      <c r="B11" s="195" t="s">
        <v>21</v>
      </c>
      <c r="C11" s="150" t="s">
        <v>272</v>
      </c>
      <c r="D11" s="306">
        <v>343</v>
      </c>
      <c r="E11" s="154">
        <v>273</v>
      </c>
      <c r="F11" s="153">
        <v>61</v>
      </c>
      <c r="G11" s="308">
        <v>9</v>
      </c>
      <c r="H11" s="306">
        <v>141</v>
      </c>
      <c r="I11" s="154">
        <v>91</v>
      </c>
      <c r="J11" s="153">
        <v>47</v>
      </c>
      <c r="K11" s="308">
        <v>3</v>
      </c>
      <c r="L11" s="300">
        <f t="shared" si="0"/>
        <v>0.41107871720116618</v>
      </c>
      <c r="M11" s="301">
        <f t="shared" si="1"/>
        <v>0.33333333333333331</v>
      </c>
      <c r="N11" s="301">
        <f t="shared" si="2"/>
        <v>0.77049180327868849</v>
      </c>
      <c r="O11" s="302">
        <f t="shared" si="3"/>
        <v>0.33333333333333331</v>
      </c>
    </row>
    <row r="12" spans="1:15" s="142" customFormat="1" ht="15.75" customHeight="1">
      <c r="A12" s="149" t="s">
        <v>22</v>
      </c>
      <c r="B12" s="195" t="s">
        <v>23</v>
      </c>
      <c r="C12" s="150" t="s">
        <v>272</v>
      </c>
      <c r="D12" s="306">
        <v>180</v>
      </c>
      <c r="E12" s="154">
        <v>138</v>
      </c>
      <c r="F12" s="153">
        <v>41</v>
      </c>
      <c r="G12" s="308">
        <v>1</v>
      </c>
      <c r="H12" s="306">
        <v>65</v>
      </c>
      <c r="I12" s="154">
        <v>33</v>
      </c>
      <c r="J12" s="153">
        <v>32</v>
      </c>
      <c r="K12" s="308">
        <v>0</v>
      </c>
      <c r="L12" s="300">
        <f t="shared" si="0"/>
        <v>0.3611111111111111</v>
      </c>
      <c r="M12" s="301">
        <f t="shared" si="1"/>
        <v>0.2391304347826087</v>
      </c>
      <c r="N12" s="301">
        <f t="shared" si="2"/>
        <v>0.78048780487804881</v>
      </c>
      <c r="O12" s="302">
        <f t="shared" si="3"/>
        <v>0</v>
      </c>
    </row>
    <row r="13" spans="1:15" s="142" customFormat="1" ht="15.75" customHeight="1">
      <c r="A13" s="149" t="s">
        <v>24</v>
      </c>
      <c r="B13" s="195" t="s">
        <v>25</v>
      </c>
      <c r="C13" s="150" t="s">
        <v>274</v>
      </c>
      <c r="D13" s="306">
        <v>3049</v>
      </c>
      <c r="E13" s="154">
        <v>2399</v>
      </c>
      <c r="F13" s="153">
        <v>201</v>
      </c>
      <c r="G13" s="308">
        <v>449</v>
      </c>
      <c r="H13" s="306">
        <v>529</v>
      </c>
      <c r="I13" s="154">
        <v>396</v>
      </c>
      <c r="J13" s="153">
        <v>84</v>
      </c>
      <c r="K13" s="308">
        <v>49</v>
      </c>
      <c r="L13" s="300">
        <f t="shared" si="0"/>
        <v>0.17349950803542144</v>
      </c>
      <c r="M13" s="301">
        <f t="shared" si="1"/>
        <v>0.16506877865777408</v>
      </c>
      <c r="N13" s="301">
        <f t="shared" si="2"/>
        <v>0.41791044776119401</v>
      </c>
      <c r="O13" s="302">
        <f t="shared" si="3"/>
        <v>0.10913140311804009</v>
      </c>
    </row>
    <row r="14" spans="1:15" s="142" customFormat="1" ht="15.75" customHeight="1">
      <c r="A14" s="149" t="s">
        <v>26</v>
      </c>
      <c r="B14" s="195" t="s">
        <v>308</v>
      </c>
      <c r="C14" s="150" t="s">
        <v>272</v>
      </c>
      <c r="D14" s="306">
        <v>1309</v>
      </c>
      <c r="E14" s="154">
        <v>1200</v>
      </c>
      <c r="F14" s="153">
        <v>93</v>
      </c>
      <c r="G14" s="308">
        <v>16</v>
      </c>
      <c r="H14" s="306">
        <v>472</v>
      </c>
      <c r="I14" s="154">
        <v>399</v>
      </c>
      <c r="J14" s="153">
        <v>67</v>
      </c>
      <c r="K14" s="308">
        <v>6</v>
      </c>
      <c r="L14" s="300">
        <f t="shared" si="0"/>
        <v>0.36058059587471353</v>
      </c>
      <c r="M14" s="301">
        <f t="shared" si="1"/>
        <v>0.33250000000000002</v>
      </c>
      <c r="N14" s="301">
        <f t="shared" si="2"/>
        <v>0.72043010752688175</v>
      </c>
      <c r="O14" s="302">
        <f t="shared" si="3"/>
        <v>0.375</v>
      </c>
    </row>
    <row r="15" spans="1:15" s="142" customFormat="1" ht="15.75" customHeight="1">
      <c r="A15" s="149" t="s">
        <v>27</v>
      </c>
      <c r="B15" s="195" t="s">
        <v>28</v>
      </c>
      <c r="C15" s="150" t="s">
        <v>272</v>
      </c>
      <c r="D15" s="306">
        <v>39</v>
      </c>
      <c r="E15" s="154">
        <v>35</v>
      </c>
      <c r="F15" s="153">
        <v>4</v>
      </c>
      <c r="G15" s="308">
        <v>0</v>
      </c>
      <c r="H15" s="306">
        <v>13</v>
      </c>
      <c r="I15" s="154">
        <v>10</v>
      </c>
      <c r="J15" s="153">
        <v>3</v>
      </c>
      <c r="K15" s="308">
        <v>0</v>
      </c>
      <c r="L15" s="300">
        <f t="shared" si="0"/>
        <v>0.33333333333333331</v>
      </c>
      <c r="M15" s="301">
        <f t="shared" si="1"/>
        <v>0.2857142857142857</v>
      </c>
      <c r="N15" s="301">
        <f t="shared" si="2"/>
        <v>0.75</v>
      </c>
      <c r="O15" s="302" t="str">
        <f t="shared" si="3"/>
        <v>NA</v>
      </c>
    </row>
    <row r="16" spans="1:15" s="142" customFormat="1" ht="15.75" customHeight="1">
      <c r="A16" s="149" t="s">
        <v>29</v>
      </c>
      <c r="B16" s="195" t="s">
        <v>804</v>
      </c>
      <c r="C16" s="150" t="s">
        <v>272</v>
      </c>
      <c r="D16" s="306">
        <v>644</v>
      </c>
      <c r="E16" s="154">
        <v>578</v>
      </c>
      <c r="F16" s="153">
        <v>53</v>
      </c>
      <c r="G16" s="308">
        <v>13</v>
      </c>
      <c r="H16" s="306">
        <v>207</v>
      </c>
      <c r="I16" s="154">
        <v>166</v>
      </c>
      <c r="J16" s="153">
        <v>38</v>
      </c>
      <c r="K16" s="308">
        <v>3</v>
      </c>
      <c r="L16" s="300">
        <f t="shared" si="0"/>
        <v>0.32142857142857145</v>
      </c>
      <c r="M16" s="301">
        <f t="shared" si="1"/>
        <v>0.28719723183391005</v>
      </c>
      <c r="N16" s="301">
        <f t="shared" si="2"/>
        <v>0.71698113207547165</v>
      </c>
      <c r="O16" s="302">
        <f t="shared" si="3"/>
        <v>0.23076923076923078</v>
      </c>
    </row>
    <row r="17" spans="1:15" s="142" customFormat="1" ht="15.75" customHeight="1">
      <c r="A17" s="149" t="s">
        <v>31</v>
      </c>
      <c r="B17" s="195" t="s">
        <v>32</v>
      </c>
      <c r="C17" s="150" t="s">
        <v>275</v>
      </c>
      <c r="D17" s="306">
        <v>53</v>
      </c>
      <c r="E17" s="154">
        <v>52</v>
      </c>
      <c r="F17" s="153">
        <v>1</v>
      </c>
      <c r="G17" s="308">
        <v>0</v>
      </c>
      <c r="H17" s="306">
        <v>29</v>
      </c>
      <c r="I17" s="154">
        <v>29</v>
      </c>
      <c r="J17" s="153">
        <v>0</v>
      </c>
      <c r="K17" s="308">
        <v>0</v>
      </c>
      <c r="L17" s="300">
        <f t="shared" si="0"/>
        <v>0.54716981132075471</v>
      </c>
      <c r="M17" s="301">
        <f t="shared" si="1"/>
        <v>0.55769230769230771</v>
      </c>
      <c r="N17" s="301">
        <f t="shared" si="2"/>
        <v>0</v>
      </c>
      <c r="O17" s="302" t="str">
        <f t="shared" si="3"/>
        <v>NA</v>
      </c>
    </row>
    <row r="18" spans="1:15" s="142" customFormat="1" ht="15.75" customHeight="1">
      <c r="A18" s="149" t="s">
        <v>33</v>
      </c>
      <c r="B18" s="195" t="s">
        <v>34</v>
      </c>
      <c r="C18" s="150" t="s">
        <v>272</v>
      </c>
      <c r="D18" s="306">
        <v>221</v>
      </c>
      <c r="E18" s="154">
        <v>213</v>
      </c>
      <c r="F18" s="153">
        <v>5</v>
      </c>
      <c r="G18" s="308">
        <v>3</v>
      </c>
      <c r="H18" s="306">
        <v>60</v>
      </c>
      <c r="I18" s="154">
        <v>60</v>
      </c>
      <c r="J18" s="153">
        <v>0</v>
      </c>
      <c r="K18" s="308">
        <v>0</v>
      </c>
      <c r="L18" s="300">
        <f t="shared" si="0"/>
        <v>0.27149321266968324</v>
      </c>
      <c r="M18" s="301">
        <f t="shared" si="1"/>
        <v>0.28169014084507044</v>
      </c>
      <c r="N18" s="301">
        <f t="shared" si="2"/>
        <v>0</v>
      </c>
      <c r="O18" s="302">
        <f t="shared" si="3"/>
        <v>0</v>
      </c>
    </row>
    <row r="19" spans="1:15" s="142" customFormat="1" ht="15.75" customHeight="1">
      <c r="A19" s="149" t="s">
        <v>37</v>
      </c>
      <c r="B19" s="195" t="s">
        <v>38</v>
      </c>
      <c r="C19" s="150" t="s">
        <v>271</v>
      </c>
      <c r="D19" s="306">
        <v>141</v>
      </c>
      <c r="E19" s="154">
        <v>56</v>
      </c>
      <c r="F19" s="153">
        <v>84</v>
      </c>
      <c r="G19" s="308">
        <v>1</v>
      </c>
      <c r="H19" s="306">
        <v>90</v>
      </c>
      <c r="I19" s="154">
        <v>23</v>
      </c>
      <c r="J19" s="153">
        <v>67</v>
      </c>
      <c r="K19" s="308">
        <v>0</v>
      </c>
      <c r="L19" s="300">
        <f t="shared" si="0"/>
        <v>0.63829787234042556</v>
      </c>
      <c r="M19" s="301">
        <f t="shared" si="1"/>
        <v>0.4107142857142857</v>
      </c>
      <c r="N19" s="301">
        <f t="shared" si="2"/>
        <v>0.79761904761904767</v>
      </c>
      <c r="O19" s="302">
        <f t="shared" si="3"/>
        <v>0</v>
      </c>
    </row>
    <row r="20" spans="1:15" s="142" customFormat="1" ht="15.75" customHeight="1">
      <c r="A20" s="149" t="s">
        <v>39</v>
      </c>
      <c r="B20" s="195" t="s">
        <v>40</v>
      </c>
      <c r="C20" s="150" t="s">
        <v>275</v>
      </c>
      <c r="D20" s="306">
        <v>216</v>
      </c>
      <c r="E20" s="154">
        <v>215</v>
      </c>
      <c r="F20" s="153">
        <v>1</v>
      </c>
      <c r="G20" s="308">
        <v>0</v>
      </c>
      <c r="H20" s="306">
        <v>72</v>
      </c>
      <c r="I20" s="154">
        <v>72</v>
      </c>
      <c r="J20" s="153">
        <v>0</v>
      </c>
      <c r="K20" s="308">
        <v>0</v>
      </c>
      <c r="L20" s="300">
        <f t="shared" si="0"/>
        <v>0.33333333333333331</v>
      </c>
      <c r="M20" s="301">
        <f t="shared" si="1"/>
        <v>0.33488372093023255</v>
      </c>
      <c r="N20" s="301">
        <f t="shared" si="2"/>
        <v>0</v>
      </c>
      <c r="O20" s="302" t="str">
        <f t="shared" si="3"/>
        <v>NA</v>
      </c>
    </row>
    <row r="21" spans="1:15" s="142" customFormat="1" ht="15.75" customHeight="1">
      <c r="A21" s="149" t="s">
        <v>41</v>
      </c>
      <c r="B21" s="195" t="s">
        <v>42</v>
      </c>
      <c r="C21" s="150" t="s">
        <v>273</v>
      </c>
      <c r="D21" s="306">
        <v>160</v>
      </c>
      <c r="E21" s="154">
        <v>112</v>
      </c>
      <c r="F21" s="153">
        <v>48</v>
      </c>
      <c r="G21" s="308">
        <v>0</v>
      </c>
      <c r="H21" s="306">
        <v>88</v>
      </c>
      <c r="I21" s="154">
        <v>47</v>
      </c>
      <c r="J21" s="153">
        <v>41</v>
      </c>
      <c r="K21" s="308">
        <v>0</v>
      </c>
      <c r="L21" s="300">
        <f t="shared" si="0"/>
        <v>0.55000000000000004</v>
      </c>
      <c r="M21" s="301">
        <f t="shared" si="1"/>
        <v>0.41964285714285715</v>
      </c>
      <c r="N21" s="301">
        <f t="shared" si="2"/>
        <v>0.85416666666666663</v>
      </c>
      <c r="O21" s="302" t="str">
        <f t="shared" si="3"/>
        <v>NA</v>
      </c>
    </row>
    <row r="22" spans="1:15" s="142" customFormat="1" ht="15.75" customHeight="1">
      <c r="A22" s="149" t="s">
        <v>43</v>
      </c>
      <c r="B22" s="195" t="s">
        <v>44</v>
      </c>
      <c r="C22" s="150" t="s">
        <v>272</v>
      </c>
      <c r="D22" s="306">
        <v>539</v>
      </c>
      <c r="E22" s="154">
        <v>461</v>
      </c>
      <c r="F22" s="153">
        <v>73</v>
      </c>
      <c r="G22" s="308">
        <v>5</v>
      </c>
      <c r="H22" s="306">
        <v>206</v>
      </c>
      <c r="I22" s="154">
        <v>150</v>
      </c>
      <c r="J22" s="153">
        <v>56</v>
      </c>
      <c r="K22" s="308">
        <v>0</v>
      </c>
      <c r="L22" s="300">
        <f t="shared" si="0"/>
        <v>0.38218923933209648</v>
      </c>
      <c r="M22" s="301">
        <f t="shared" si="1"/>
        <v>0.32537960954446854</v>
      </c>
      <c r="N22" s="301">
        <f t="shared" si="2"/>
        <v>0.76712328767123283</v>
      </c>
      <c r="O22" s="302">
        <f t="shared" si="3"/>
        <v>0</v>
      </c>
    </row>
    <row r="23" spans="1:15" s="142" customFormat="1" ht="15.75" customHeight="1">
      <c r="A23" s="149" t="s">
        <v>45</v>
      </c>
      <c r="B23" s="195" t="s">
        <v>46</v>
      </c>
      <c r="C23" s="150" t="s">
        <v>273</v>
      </c>
      <c r="D23" s="306">
        <v>394</v>
      </c>
      <c r="E23" s="154">
        <v>285</v>
      </c>
      <c r="F23" s="153">
        <v>96</v>
      </c>
      <c r="G23" s="308">
        <v>13</v>
      </c>
      <c r="H23" s="306">
        <v>178</v>
      </c>
      <c r="I23" s="154">
        <v>104</v>
      </c>
      <c r="J23" s="153">
        <v>69</v>
      </c>
      <c r="K23" s="308">
        <v>5</v>
      </c>
      <c r="L23" s="300">
        <f t="shared" si="0"/>
        <v>0.45177664974619292</v>
      </c>
      <c r="M23" s="301">
        <f t="shared" si="1"/>
        <v>0.36491228070175441</v>
      </c>
      <c r="N23" s="301">
        <f t="shared" si="2"/>
        <v>0.71875</v>
      </c>
      <c r="O23" s="302">
        <f t="shared" si="3"/>
        <v>0.38461538461538464</v>
      </c>
    </row>
    <row r="24" spans="1:15" s="142" customFormat="1" ht="15.75" customHeight="1">
      <c r="A24" s="149" t="s">
        <v>47</v>
      </c>
      <c r="B24" s="195" t="s">
        <v>48</v>
      </c>
      <c r="C24" s="150" t="s">
        <v>275</v>
      </c>
      <c r="D24" s="306">
        <v>237</v>
      </c>
      <c r="E24" s="154">
        <v>233</v>
      </c>
      <c r="F24" s="153">
        <v>1</v>
      </c>
      <c r="G24" s="308">
        <v>3</v>
      </c>
      <c r="H24" s="306">
        <v>86</v>
      </c>
      <c r="I24" s="154">
        <v>82</v>
      </c>
      <c r="J24" s="153">
        <v>1</v>
      </c>
      <c r="K24" s="308">
        <v>3</v>
      </c>
      <c r="L24" s="300">
        <f t="shared" si="0"/>
        <v>0.3628691983122363</v>
      </c>
      <c r="M24" s="301">
        <f t="shared" si="1"/>
        <v>0.35193133047210301</v>
      </c>
      <c r="N24" s="301">
        <f t="shared" si="2"/>
        <v>1</v>
      </c>
      <c r="O24" s="302">
        <f t="shared" si="3"/>
        <v>1</v>
      </c>
    </row>
    <row r="25" spans="1:15" s="142" customFormat="1" ht="15.75" customHeight="1">
      <c r="A25" s="149" t="s">
        <v>49</v>
      </c>
      <c r="B25" s="195" t="s">
        <v>276</v>
      </c>
      <c r="C25" s="150" t="s">
        <v>273</v>
      </c>
      <c r="D25" s="306">
        <v>48</v>
      </c>
      <c r="E25" s="154">
        <v>19</v>
      </c>
      <c r="F25" s="153">
        <v>28</v>
      </c>
      <c r="G25" s="308">
        <v>1</v>
      </c>
      <c r="H25" s="306">
        <v>28</v>
      </c>
      <c r="I25" s="154">
        <v>11</v>
      </c>
      <c r="J25" s="153">
        <v>17</v>
      </c>
      <c r="K25" s="308">
        <v>0</v>
      </c>
      <c r="L25" s="300">
        <f t="shared" si="0"/>
        <v>0.58333333333333337</v>
      </c>
      <c r="M25" s="301">
        <f t="shared" si="1"/>
        <v>0.57894736842105265</v>
      </c>
      <c r="N25" s="301">
        <f t="shared" si="2"/>
        <v>0.6071428571428571</v>
      </c>
      <c r="O25" s="302">
        <f t="shared" si="3"/>
        <v>0</v>
      </c>
    </row>
    <row r="26" spans="1:15" s="142" customFormat="1" ht="15.75" customHeight="1">
      <c r="A26" s="149" t="s">
        <v>51</v>
      </c>
      <c r="B26" s="195" t="s">
        <v>52</v>
      </c>
      <c r="C26" s="150" t="s">
        <v>272</v>
      </c>
      <c r="D26" s="306">
        <v>153</v>
      </c>
      <c r="E26" s="154">
        <v>102</v>
      </c>
      <c r="F26" s="153">
        <v>51</v>
      </c>
      <c r="G26" s="308">
        <v>0</v>
      </c>
      <c r="H26" s="306">
        <v>69</v>
      </c>
      <c r="I26" s="154">
        <v>32</v>
      </c>
      <c r="J26" s="153">
        <v>37</v>
      </c>
      <c r="K26" s="308">
        <v>0</v>
      </c>
      <c r="L26" s="300">
        <f t="shared" si="0"/>
        <v>0.45098039215686275</v>
      </c>
      <c r="M26" s="301">
        <f t="shared" si="1"/>
        <v>0.31372549019607843</v>
      </c>
      <c r="N26" s="301">
        <f t="shared" si="2"/>
        <v>0.72549019607843135</v>
      </c>
      <c r="O26" s="302" t="str">
        <f t="shared" si="3"/>
        <v>NA</v>
      </c>
    </row>
    <row r="27" spans="1:15" s="142" customFormat="1" ht="15.75" customHeight="1">
      <c r="A27" s="149" t="s">
        <v>57</v>
      </c>
      <c r="B27" s="195" t="s">
        <v>305</v>
      </c>
      <c r="C27" s="150" t="s">
        <v>273</v>
      </c>
      <c r="D27" s="306">
        <v>3903</v>
      </c>
      <c r="E27" s="154">
        <v>2558</v>
      </c>
      <c r="F27" s="153">
        <v>871</v>
      </c>
      <c r="G27" s="308">
        <v>474</v>
      </c>
      <c r="H27" s="306">
        <v>1396</v>
      </c>
      <c r="I27" s="154">
        <v>638</v>
      </c>
      <c r="J27" s="153">
        <v>533</v>
      </c>
      <c r="K27" s="308">
        <v>225</v>
      </c>
      <c r="L27" s="300">
        <f t="shared" si="0"/>
        <v>0.35767358442223929</v>
      </c>
      <c r="M27" s="301">
        <f t="shared" si="1"/>
        <v>0.24941360437842064</v>
      </c>
      <c r="N27" s="301">
        <f t="shared" si="2"/>
        <v>0.61194029850746268</v>
      </c>
      <c r="O27" s="302">
        <f t="shared" si="3"/>
        <v>0.47468354430379744</v>
      </c>
    </row>
    <row r="28" spans="1:15" s="142" customFormat="1" ht="15.75" customHeight="1">
      <c r="A28" s="149" t="s">
        <v>59</v>
      </c>
      <c r="B28" s="195" t="s">
        <v>60</v>
      </c>
      <c r="C28" s="150" t="s">
        <v>274</v>
      </c>
      <c r="D28" s="306">
        <v>126</v>
      </c>
      <c r="E28" s="154">
        <v>122</v>
      </c>
      <c r="F28" s="153">
        <v>4</v>
      </c>
      <c r="G28" s="308">
        <v>0</v>
      </c>
      <c r="H28" s="306">
        <v>47</v>
      </c>
      <c r="I28" s="154">
        <v>44</v>
      </c>
      <c r="J28" s="153">
        <v>3</v>
      </c>
      <c r="K28" s="308">
        <v>0</v>
      </c>
      <c r="L28" s="300">
        <f t="shared" si="0"/>
        <v>0.37301587301587302</v>
      </c>
      <c r="M28" s="301">
        <f t="shared" si="1"/>
        <v>0.36065573770491804</v>
      </c>
      <c r="N28" s="301">
        <f t="shared" si="2"/>
        <v>0.75</v>
      </c>
      <c r="O28" s="302" t="str">
        <f t="shared" si="3"/>
        <v>NA</v>
      </c>
    </row>
    <row r="29" spans="1:15" s="142" customFormat="1" ht="15.75" customHeight="1">
      <c r="A29" s="149" t="s">
        <v>61</v>
      </c>
      <c r="B29" s="195" t="s">
        <v>62</v>
      </c>
      <c r="C29" s="150" t="s">
        <v>272</v>
      </c>
      <c r="D29" s="306">
        <v>41</v>
      </c>
      <c r="E29" s="154">
        <v>41</v>
      </c>
      <c r="F29" s="153">
        <v>0</v>
      </c>
      <c r="G29" s="308">
        <v>0</v>
      </c>
      <c r="H29" s="306">
        <v>17</v>
      </c>
      <c r="I29" s="154">
        <v>17</v>
      </c>
      <c r="J29" s="153">
        <v>0</v>
      </c>
      <c r="K29" s="308">
        <v>0</v>
      </c>
      <c r="L29" s="300">
        <f t="shared" si="0"/>
        <v>0.41463414634146339</v>
      </c>
      <c r="M29" s="301">
        <f t="shared" si="1"/>
        <v>0.41463414634146339</v>
      </c>
      <c r="N29" s="301" t="str">
        <f t="shared" si="2"/>
        <v>NA</v>
      </c>
      <c r="O29" s="302" t="str">
        <f t="shared" si="3"/>
        <v>NA</v>
      </c>
    </row>
    <row r="30" spans="1:15" s="142" customFormat="1" ht="15.75" customHeight="1">
      <c r="A30" s="149" t="s">
        <v>63</v>
      </c>
      <c r="B30" s="195" t="s">
        <v>64</v>
      </c>
      <c r="C30" s="150" t="s">
        <v>274</v>
      </c>
      <c r="D30" s="306">
        <v>627</v>
      </c>
      <c r="E30" s="154">
        <v>512</v>
      </c>
      <c r="F30" s="153">
        <v>88</v>
      </c>
      <c r="G30" s="308">
        <v>27</v>
      </c>
      <c r="H30" s="306">
        <v>276</v>
      </c>
      <c r="I30" s="154">
        <v>196</v>
      </c>
      <c r="J30" s="153">
        <v>69</v>
      </c>
      <c r="K30" s="308">
        <v>11</v>
      </c>
      <c r="L30" s="300">
        <f t="shared" si="0"/>
        <v>0.44019138755980863</v>
      </c>
      <c r="M30" s="301">
        <f t="shared" si="1"/>
        <v>0.3828125</v>
      </c>
      <c r="N30" s="301">
        <f t="shared" si="2"/>
        <v>0.78409090909090906</v>
      </c>
      <c r="O30" s="302">
        <f t="shared" si="3"/>
        <v>0.40740740740740738</v>
      </c>
    </row>
    <row r="31" spans="1:15" s="142" customFormat="1" ht="15.75" customHeight="1">
      <c r="A31" s="149" t="s">
        <v>65</v>
      </c>
      <c r="B31" s="195" t="s">
        <v>66</v>
      </c>
      <c r="C31" s="150" t="s">
        <v>273</v>
      </c>
      <c r="D31" s="306">
        <v>116</v>
      </c>
      <c r="E31" s="154">
        <v>74</v>
      </c>
      <c r="F31" s="153">
        <v>39</v>
      </c>
      <c r="G31" s="308">
        <v>3</v>
      </c>
      <c r="H31" s="306">
        <v>62</v>
      </c>
      <c r="I31" s="154">
        <v>31</v>
      </c>
      <c r="J31" s="153">
        <v>30</v>
      </c>
      <c r="K31" s="308">
        <v>1</v>
      </c>
      <c r="L31" s="300">
        <f t="shared" si="0"/>
        <v>0.53448275862068961</v>
      </c>
      <c r="M31" s="301">
        <f t="shared" si="1"/>
        <v>0.41891891891891891</v>
      </c>
      <c r="N31" s="301">
        <f t="shared" si="2"/>
        <v>0.76923076923076927</v>
      </c>
      <c r="O31" s="302">
        <f t="shared" si="3"/>
        <v>0.33333333333333331</v>
      </c>
    </row>
    <row r="32" spans="1:15" s="142" customFormat="1" ht="15.75" customHeight="1">
      <c r="A32" s="149" t="s">
        <v>69</v>
      </c>
      <c r="B32" s="195" t="s">
        <v>70</v>
      </c>
      <c r="C32" s="150" t="s">
        <v>275</v>
      </c>
      <c r="D32" s="306">
        <v>183</v>
      </c>
      <c r="E32" s="154">
        <v>181</v>
      </c>
      <c r="F32" s="153">
        <v>2</v>
      </c>
      <c r="G32" s="308">
        <v>0</v>
      </c>
      <c r="H32" s="306">
        <v>66</v>
      </c>
      <c r="I32" s="154">
        <v>65</v>
      </c>
      <c r="J32" s="153">
        <v>1</v>
      </c>
      <c r="K32" s="308">
        <v>0</v>
      </c>
      <c r="L32" s="300">
        <f t="shared" si="0"/>
        <v>0.36065573770491804</v>
      </c>
      <c r="M32" s="301">
        <f t="shared" si="1"/>
        <v>0.35911602209944754</v>
      </c>
      <c r="N32" s="301">
        <f t="shared" si="2"/>
        <v>0.5</v>
      </c>
      <c r="O32" s="302" t="str">
        <f t="shared" si="3"/>
        <v>NA</v>
      </c>
    </row>
    <row r="33" spans="1:15" s="142" customFormat="1" ht="15.75" customHeight="1">
      <c r="A33" s="149" t="s">
        <v>71</v>
      </c>
      <c r="B33" s="195" t="s">
        <v>72</v>
      </c>
      <c r="C33" s="150" t="s">
        <v>271</v>
      </c>
      <c r="D33" s="306">
        <v>248</v>
      </c>
      <c r="E33" s="154">
        <v>175</v>
      </c>
      <c r="F33" s="153">
        <v>69</v>
      </c>
      <c r="G33" s="308">
        <v>4</v>
      </c>
      <c r="H33" s="306">
        <v>117</v>
      </c>
      <c r="I33" s="154">
        <v>67</v>
      </c>
      <c r="J33" s="153">
        <v>47</v>
      </c>
      <c r="K33" s="308">
        <v>3</v>
      </c>
      <c r="L33" s="300">
        <f t="shared" si="0"/>
        <v>0.47177419354838712</v>
      </c>
      <c r="M33" s="301">
        <f t="shared" si="1"/>
        <v>0.38285714285714284</v>
      </c>
      <c r="N33" s="301">
        <f t="shared" si="2"/>
        <v>0.6811594202898551</v>
      </c>
      <c r="O33" s="302">
        <f t="shared" si="3"/>
        <v>0.75</v>
      </c>
    </row>
    <row r="34" spans="1:15" s="142" customFormat="1" ht="15.75" customHeight="1">
      <c r="A34" s="149" t="s">
        <v>73</v>
      </c>
      <c r="B34" s="195" t="s">
        <v>74</v>
      </c>
      <c r="C34" s="150" t="s">
        <v>273</v>
      </c>
      <c r="D34" s="306">
        <v>130</v>
      </c>
      <c r="E34" s="154">
        <v>68</v>
      </c>
      <c r="F34" s="153">
        <v>60</v>
      </c>
      <c r="G34" s="308">
        <v>2</v>
      </c>
      <c r="H34" s="306">
        <v>73</v>
      </c>
      <c r="I34" s="154">
        <v>24</v>
      </c>
      <c r="J34" s="153">
        <v>49</v>
      </c>
      <c r="K34" s="308">
        <v>0</v>
      </c>
      <c r="L34" s="300">
        <f t="shared" si="0"/>
        <v>0.56153846153846154</v>
      </c>
      <c r="M34" s="301">
        <f t="shared" si="1"/>
        <v>0.35294117647058826</v>
      </c>
      <c r="N34" s="301">
        <f t="shared" si="2"/>
        <v>0.81666666666666665</v>
      </c>
      <c r="O34" s="302">
        <f t="shared" si="3"/>
        <v>0</v>
      </c>
    </row>
    <row r="35" spans="1:15" s="142" customFormat="1" ht="15.75" customHeight="1">
      <c r="A35" s="149" t="s">
        <v>75</v>
      </c>
      <c r="B35" s="195" t="s">
        <v>803</v>
      </c>
      <c r="C35" s="150" t="s">
        <v>274</v>
      </c>
      <c r="D35" s="306">
        <v>15792</v>
      </c>
      <c r="E35" s="154">
        <v>10679</v>
      </c>
      <c r="F35" s="153">
        <v>1617</v>
      </c>
      <c r="G35" s="308">
        <v>3496</v>
      </c>
      <c r="H35" s="306">
        <v>3532</v>
      </c>
      <c r="I35" s="154">
        <v>2552</v>
      </c>
      <c r="J35" s="153">
        <v>655</v>
      </c>
      <c r="K35" s="308">
        <v>325</v>
      </c>
      <c r="L35" s="300">
        <f t="shared" si="0"/>
        <v>0.22365754812563324</v>
      </c>
      <c r="M35" s="301">
        <f t="shared" si="1"/>
        <v>0.23897368667478228</v>
      </c>
      <c r="N35" s="301">
        <f t="shared" si="2"/>
        <v>0.40507111935683365</v>
      </c>
      <c r="O35" s="302">
        <f t="shared" si="3"/>
        <v>9.2963386727688793E-2</v>
      </c>
    </row>
    <row r="36" spans="1:15" s="142" customFormat="1" ht="15.75" customHeight="1">
      <c r="A36" s="149" t="s">
        <v>77</v>
      </c>
      <c r="B36" s="195" t="s">
        <v>78</v>
      </c>
      <c r="C36" s="150" t="s">
        <v>274</v>
      </c>
      <c r="D36" s="306">
        <v>769</v>
      </c>
      <c r="E36" s="154">
        <v>633</v>
      </c>
      <c r="F36" s="153">
        <v>70</v>
      </c>
      <c r="G36" s="308">
        <v>66</v>
      </c>
      <c r="H36" s="306">
        <v>242</v>
      </c>
      <c r="I36" s="154">
        <v>178</v>
      </c>
      <c r="J36" s="153">
        <v>43</v>
      </c>
      <c r="K36" s="308">
        <v>21</v>
      </c>
      <c r="L36" s="300">
        <f t="shared" si="0"/>
        <v>0.31469440832249673</v>
      </c>
      <c r="M36" s="301">
        <f t="shared" si="1"/>
        <v>0.28120063191153238</v>
      </c>
      <c r="N36" s="301">
        <f t="shared" si="2"/>
        <v>0.61428571428571432</v>
      </c>
      <c r="O36" s="302">
        <f t="shared" si="3"/>
        <v>0.31818181818181818</v>
      </c>
    </row>
    <row r="37" spans="1:15" s="142" customFormat="1" ht="15.75" customHeight="1">
      <c r="A37" s="149" t="s">
        <v>79</v>
      </c>
      <c r="B37" s="195" t="s">
        <v>80</v>
      </c>
      <c r="C37" s="150" t="s">
        <v>275</v>
      </c>
      <c r="D37" s="306">
        <v>144</v>
      </c>
      <c r="E37" s="154">
        <v>138</v>
      </c>
      <c r="F37" s="153">
        <v>2</v>
      </c>
      <c r="G37" s="308">
        <v>4</v>
      </c>
      <c r="H37" s="306">
        <v>39</v>
      </c>
      <c r="I37" s="154">
        <v>36</v>
      </c>
      <c r="J37" s="153">
        <v>1</v>
      </c>
      <c r="K37" s="308">
        <v>2</v>
      </c>
      <c r="L37" s="300">
        <f t="shared" si="0"/>
        <v>0.27083333333333331</v>
      </c>
      <c r="M37" s="301">
        <f t="shared" si="1"/>
        <v>0.2608695652173913</v>
      </c>
      <c r="N37" s="301">
        <f t="shared" si="2"/>
        <v>0.5</v>
      </c>
      <c r="O37" s="302">
        <f t="shared" si="3"/>
        <v>0.5</v>
      </c>
    </row>
    <row r="38" spans="1:15" s="142" customFormat="1" ht="15.75" customHeight="1">
      <c r="A38" s="149" t="s">
        <v>81</v>
      </c>
      <c r="B38" s="195" t="s">
        <v>82</v>
      </c>
      <c r="C38" s="150" t="s">
        <v>273</v>
      </c>
      <c r="D38" s="306">
        <v>278</v>
      </c>
      <c r="E38" s="154">
        <v>240</v>
      </c>
      <c r="F38" s="153">
        <v>33</v>
      </c>
      <c r="G38" s="308">
        <v>5</v>
      </c>
      <c r="H38" s="306">
        <v>82</v>
      </c>
      <c r="I38" s="154">
        <v>56</v>
      </c>
      <c r="J38" s="153">
        <v>24</v>
      </c>
      <c r="K38" s="308">
        <v>2</v>
      </c>
      <c r="L38" s="300">
        <f t="shared" si="0"/>
        <v>0.29496402877697842</v>
      </c>
      <c r="M38" s="301">
        <f t="shared" si="1"/>
        <v>0.23333333333333334</v>
      </c>
      <c r="N38" s="301">
        <f t="shared" si="2"/>
        <v>0.72727272727272729</v>
      </c>
      <c r="O38" s="302">
        <f t="shared" si="3"/>
        <v>0.4</v>
      </c>
    </row>
    <row r="39" spans="1:15" s="142" customFormat="1" ht="15.75" customHeight="1">
      <c r="A39" s="149" t="s">
        <v>85</v>
      </c>
      <c r="B39" s="195" t="s">
        <v>86</v>
      </c>
      <c r="C39" s="150" t="s">
        <v>272</v>
      </c>
      <c r="D39" s="306">
        <v>523</v>
      </c>
      <c r="E39" s="154">
        <v>485</v>
      </c>
      <c r="F39" s="153">
        <v>30</v>
      </c>
      <c r="G39" s="308">
        <v>8</v>
      </c>
      <c r="H39" s="306">
        <v>224</v>
      </c>
      <c r="I39" s="154">
        <v>189</v>
      </c>
      <c r="J39" s="153">
        <v>30</v>
      </c>
      <c r="K39" s="308">
        <v>5</v>
      </c>
      <c r="L39" s="300">
        <f t="shared" ref="L39:L70" si="4">IF(D39=0,"NA",(H39/D39))</f>
        <v>0.42829827915869984</v>
      </c>
      <c r="M39" s="301">
        <f t="shared" ref="M39:M70" si="5">IF(E39=0,"NA",(I39/E39))</f>
        <v>0.38969072164948454</v>
      </c>
      <c r="N39" s="301">
        <f t="shared" ref="N39:N70" si="6">IF(F39=0,"NA",(J39/F39))</f>
        <v>1</v>
      </c>
      <c r="O39" s="302">
        <f t="shared" ref="O39:O70" si="7">IF(G39=0,"NA",(K39/G39))</f>
        <v>0.625</v>
      </c>
    </row>
    <row r="40" spans="1:15" s="142" customFormat="1" ht="15.75" customHeight="1">
      <c r="A40" s="149" t="s">
        <v>87</v>
      </c>
      <c r="B40" s="195" t="s">
        <v>88</v>
      </c>
      <c r="C40" s="150" t="s">
        <v>274</v>
      </c>
      <c r="D40" s="306">
        <v>887</v>
      </c>
      <c r="E40" s="154">
        <v>812</v>
      </c>
      <c r="F40" s="153">
        <v>37</v>
      </c>
      <c r="G40" s="308">
        <v>38</v>
      </c>
      <c r="H40" s="306">
        <v>307</v>
      </c>
      <c r="I40" s="154">
        <v>270</v>
      </c>
      <c r="J40" s="153">
        <v>23</v>
      </c>
      <c r="K40" s="308">
        <v>14</v>
      </c>
      <c r="L40" s="300">
        <f t="shared" si="4"/>
        <v>0.34611048478015782</v>
      </c>
      <c r="M40" s="301">
        <f t="shared" si="5"/>
        <v>0.33251231527093594</v>
      </c>
      <c r="N40" s="301">
        <f t="shared" si="6"/>
        <v>0.6216216216216216</v>
      </c>
      <c r="O40" s="302">
        <f t="shared" si="7"/>
        <v>0.36842105263157893</v>
      </c>
    </row>
    <row r="41" spans="1:15" s="142" customFormat="1" ht="15.75" customHeight="1">
      <c r="A41" s="149" t="s">
        <v>93</v>
      </c>
      <c r="B41" s="195" t="s">
        <v>94</v>
      </c>
      <c r="C41" s="150" t="s">
        <v>275</v>
      </c>
      <c r="D41" s="306">
        <v>179</v>
      </c>
      <c r="E41" s="154">
        <v>178</v>
      </c>
      <c r="F41" s="153">
        <v>1</v>
      </c>
      <c r="G41" s="308">
        <v>0</v>
      </c>
      <c r="H41" s="306">
        <v>74</v>
      </c>
      <c r="I41" s="154">
        <v>73</v>
      </c>
      <c r="J41" s="153">
        <v>1</v>
      </c>
      <c r="K41" s="308">
        <v>0</v>
      </c>
      <c r="L41" s="300">
        <f t="shared" si="4"/>
        <v>0.41340782122905029</v>
      </c>
      <c r="M41" s="301">
        <f t="shared" si="5"/>
        <v>0.4101123595505618</v>
      </c>
      <c r="N41" s="301">
        <f t="shared" si="6"/>
        <v>1</v>
      </c>
      <c r="O41" s="302" t="str">
        <f t="shared" si="7"/>
        <v>NA</v>
      </c>
    </row>
    <row r="42" spans="1:15" s="142" customFormat="1" ht="15.75" customHeight="1">
      <c r="A42" s="149" t="s">
        <v>95</v>
      </c>
      <c r="B42" s="195" t="s">
        <v>96</v>
      </c>
      <c r="C42" s="150" t="s">
        <v>271</v>
      </c>
      <c r="D42" s="306">
        <v>341</v>
      </c>
      <c r="E42" s="154">
        <v>311</v>
      </c>
      <c r="F42" s="153">
        <v>17</v>
      </c>
      <c r="G42" s="308">
        <v>13</v>
      </c>
      <c r="H42" s="306">
        <v>122</v>
      </c>
      <c r="I42" s="154">
        <v>104</v>
      </c>
      <c r="J42" s="153">
        <v>9</v>
      </c>
      <c r="K42" s="308">
        <v>9</v>
      </c>
      <c r="L42" s="300">
        <f t="shared" si="4"/>
        <v>0.35777126099706746</v>
      </c>
      <c r="M42" s="301">
        <f t="shared" si="5"/>
        <v>0.33440514469453375</v>
      </c>
      <c r="N42" s="301">
        <f t="shared" si="6"/>
        <v>0.52941176470588236</v>
      </c>
      <c r="O42" s="302">
        <f t="shared" si="7"/>
        <v>0.69230769230769229</v>
      </c>
    </row>
    <row r="43" spans="1:15" s="142" customFormat="1" ht="15.75" customHeight="1">
      <c r="A43" s="149" t="s">
        <v>97</v>
      </c>
      <c r="B43" s="195" t="s">
        <v>98</v>
      </c>
      <c r="C43" s="150" t="s">
        <v>273</v>
      </c>
      <c r="D43" s="306">
        <v>151</v>
      </c>
      <c r="E43" s="154">
        <v>115</v>
      </c>
      <c r="F43" s="153">
        <v>31</v>
      </c>
      <c r="G43" s="308">
        <v>5</v>
      </c>
      <c r="H43" s="306">
        <v>36</v>
      </c>
      <c r="I43" s="154">
        <v>17</v>
      </c>
      <c r="J43" s="153">
        <v>18</v>
      </c>
      <c r="K43" s="308">
        <v>1</v>
      </c>
      <c r="L43" s="300">
        <f t="shared" si="4"/>
        <v>0.23841059602649006</v>
      </c>
      <c r="M43" s="301">
        <f t="shared" si="5"/>
        <v>0.14782608695652175</v>
      </c>
      <c r="N43" s="301">
        <f t="shared" si="6"/>
        <v>0.58064516129032262</v>
      </c>
      <c r="O43" s="302">
        <f t="shared" si="7"/>
        <v>0.2</v>
      </c>
    </row>
    <row r="44" spans="1:15" s="142" customFormat="1" ht="15.75" customHeight="1">
      <c r="A44" s="149" t="s">
        <v>99</v>
      </c>
      <c r="B44" s="195" t="s">
        <v>100</v>
      </c>
      <c r="C44" s="150" t="s">
        <v>275</v>
      </c>
      <c r="D44" s="306">
        <v>117</v>
      </c>
      <c r="E44" s="154">
        <v>116</v>
      </c>
      <c r="F44" s="153">
        <v>1</v>
      </c>
      <c r="G44" s="307">
        <v>0</v>
      </c>
      <c r="H44" s="306">
        <v>53</v>
      </c>
      <c r="I44" s="154">
        <v>52</v>
      </c>
      <c r="J44" s="153">
        <v>1</v>
      </c>
      <c r="K44" s="308">
        <v>0</v>
      </c>
      <c r="L44" s="300">
        <f t="shared" si="4"/>
        <v>0.45299145299145299</v>
      </c>
      <c r="M44" s="301">
        <f t="shared" si="5"/>
        <v>0.44827586206896552</v>
      </c>
      <c r="N44" s="301">
        <f t="shared" si="6"/>
        <v>1</v>
      </c>
      <c r="O44" s="302" t="str">
        <f t="shared" si="7"/>
        <v>NA</v>
      </c>
    </row>
    <row r="45" spans="1:15" s="142" customFormat="1" ht="15.75" customHeight="1">
      <c r="A45" s="149" t="s">
        <v>101</v>
      </c>
      <c r="B45" s="195" t="s">
        <v>102</v>
      </c>
      <c r="C45" s="150" t="s">
        <v>274</v>
      </c>
      <c r="D45" s="306">
        <v>227</v>
      </c>
      <c r="E45" s="154">
        <v>208</v>
      </c>
      <c r="F45" s="153">
        <v>13</v>
      </c>
      <c r="G45" s="308">
        <v>6</v>
      </c>
      <c r="H45" s="306">
        <v>81</v>
      </c>
      <c r="I45" s="154">
        <v>69</v>
      </c>
      <c r="J45" s="153">
        <v>11</v>
      </c>
      <c r="K45" s="308">
        <v>1</v>
      </c>
      <c r="L45" s="300">
        <f t="shared" si="4"/>
        <v>0.35682819383259912</v>
      </c>
      <c r="M45" s="301">
        <f t="shared" si="5"/>
        <v>0.33173076923076922</v>
      </c>
      <c r="N45" s="301">
        <f t="shared" si="6"/>
        <v>0.84615384615384615</v>
      </c>
      <c r="O45" s="302">
        <f t="shared" si="7"/>
        <v>0.16666666666666666</v>
      </c>
    </row>
    <row r="46" spans="1:15" s="142" customFormat="1" ht="15.75" customHeight="1">
      <c r="A46" s="149" t="s">
        <v>103</v>
      </c>
      <c r="B46" s="195" t="s">
        <v>290</v>
      </c>
      <c r="C46" s="150" t="s">
        <v>271</v>
      </c>
      <c r="D46" s="306">
        <v>180</v>
      </c>
      <c r="E46" s="154">
        <v>47</v>
      </c>
      <c r="F46" s="153">
        <v>118</v>
      </c>
      <c r="G46" s="308">
        <v>15</v>
      </c>
      <c r="H46" s="306">
        <v>130</v>
      </c>
      <c r="I46" s="154">
        <v>16</v>
      </c>
      <c r="J46" s="153">
        <v>102</v>
      </c>
      <c r="K46" s="308">
        <v>12</v>
      </c>
      <c r="L46" s="300">
        <f t="shared" si="4"/>
        <v>0.72222222222222221</v>
      </c>
      <c r="M46" s="301">
        <f t="shared" si="5"/>
        <v>0.34042553191489361</v>
      </c>
      <c r="N46" s="301">
        <f t="shared" si="6"/>
        <v>0.86440677966101698</v>
      </c>
      <c r="O46" s="302">
        <f t="shared" si="7"/>
        <v>0.8</v>
      </c>
    </row>
    <row r="47" spans="1:15" s="142" customFormat="1" ht="15.75" customHeight="1">
      <c r="A47" s="149" t="s">
        <v>105</v>
      </c>
      <c r="B47" s="195" t="s">
        <v>106</v>
      </c>
      <c r="C47" s="150" t="s">
        <v>272</v>
      </c>
      <c r="D47" s="306">
        <v>316</v>
      </c>
      <c r="E47" s="154">
        <v>195</v>
      </c>
      <c r="F47" s="153">
        <v>116</v>
      </c>
      <c r="G47" s="308">
        <v>5</v>
      </c>
      <c r="H47" s="306">
        <v>157</v>
      </c>
      <c r="I47" s="154">
        <v>70</v>
      </c>
      <c r="J47" s="153">
        <v>86</v>
      </c>
      <c r="K47" s="308">
        <v>1</v>
      </c>
      <c r="L47" s="300">
        <f t="shared" si="4"/>
        <v>0.49683544303797467</v>
      </c>
      <c r="M47" s="301">
        <f t="shared" si="5"/>
        <v>0.35897435897435898</v>
      </c>
      <c r="N47" s="301">
        <f t="shared" si="6"/>
        <v>0.74137931034482762</v>
      </c>
      <c r="O47" s="302">
        <f t="shared" si="7"/>
        <v>0.2</v>
      </c>
    </row>
    <row r="48" spans="1:15" s="142" customFormat="1" ht="15.75" customHeight="1">
      <c r="A48" s="149" t="s">
        <v>109</v>
      </c>
      <c r="B48" s="195" t="s">
        <v>110</v>
      </c>
      <c r="C48" s="150" t="s">
        <v>273</v>
      </c>
      <c r="D48" s="306">
        <v>877</v>
      </c>
      <c r="E48" s="154">
        <v>759</v>
      </c>
      <c r="F48" s="153">
        <v>98</v>
      </c>
      <c r="G48" s="308">
        <v>20</v>
      </c>
      <c r="H48" s="306">
        <v>237</v>
      </c>
      <c r="I48" s="154">
        <v>172</v>
      </c>
      <c r="J48" s="153">
        <v>60</v>
      </c>
      <c r="K48" s="308">
        <v>5</v>
      </c>
      <c r="L48" s="300">
        <f t="shared" si="4"/>
        <v>0.27023945267958949</v>
      </c>
      <c r="M48" s="301">
        <f t="shared" si="5"/>
        <v>0.22661396574440051</v>
      </c>
      <c r="N48" s="301">
        <f t="shared" si="6"/>
        <v>0.61224489795918369</v>
      </c>
      <c r="O48" s="302">
        <f t="shared" si="7"/>
        <v>0.25</v>
      </c>
    </row>
    <row r="49" spans="1:15" s="142" customFormat="1" ht="15.75" customHeight="1">
      <c r="A49" s="149" t="s">
        <v>111</v>
      </c>
      <c r="B49" s="195" t="s">
        <v>112</v>
      </c>
      <c r="C49" s="150" t="s">
        <v>273</v>
      </c>
      <c r="D49" s="306">
        <v>3939</v>
      </c>
      <c r="E49" s="154">
        <v>2186</v>
      </c>
      <c r="F49" s="153">
        <v>1104</v>
      </c>
      <c r="G49" s="308">
        <v>649</v>
      </c>
      <c r="H49" s="306">
        <v>1354</v>
      </c>
      <c r="I49" s="154">
        <v>466</v>
      </c>
      <c r="J49" s="153">
        <v>775</v>
      </c>
      <c r="K49" s="308">
        <v>113</v>
      </c>
      <c r="L49" s="300">
        <f t="shared" si="4"/>
        <v>0.34374206651434375</v>
      </c>
      <c r="M49" s="301">
        <f t="shared" si="5"/>
        <v>0.2131747483989021</v>
      </c>
      <c r="N49" s="301">
        <f t="shared" si="6"/>
        <v>0.70199275362318836</v>
      </c>
      <c r="O49" s="302">
        <f t="shared" si="7"/>
        <v>0.17411402157164868</v>
      </c>
    </row>
    <row r="50" spans="1:15" s="142" customFormat="1" ht="15.75" customHeight="1">
      <c r="A50" s="149" t="s">
        <v>113</v>
      </c>
      <c r="B50" s="195" t="s">
        <v>310</v>
      </c>
      <c r="C50" s="150" t="s">
        <v>272</v>
      </c>
      <c r="D50" s="306">
        <v>750</v>
      </c>
      <c r="E50" s="154">
        <v>502</v>
      </c>
      <c r="F50" s="153">
        <v>222</v>
      </c>
      <c r="G50" s="308">
        <v>26</v>
      </c>
      <c r="H50" s="306">
        <v>429</v>
      </c>
      <c r="I50" s="154">
        <v>234</v>
      </c>
      <c r="J50" s="153">
        <v>183</v>
      </c>
      <c r="K50" s="308">
        <v>12</v>
      </c>
      <c r="L50" s="300">
        <f t="shared" si="4"/>
        <v>0.57199999999999995</v>
      </c>
      <c r="M50" s="301">
        <f t="shared" si="5"/>
        <v>0.46613545816733065</v>
      </c>
      <c r="N50" s="301">
        <f t="shared" si="6"/>
        <v>0.82432432432432434</v>
      </c>
      <c r="O50" s="302">
        <f t="shared" si="7"/>
        <v>0.46153846153846156</v>
      </c>
    </row>
    <row r="51" spans="1:15" s="142" customFormat="1" ht="15.75" customHeight="1">
      <c r="A51" s="149" t="s">
        <v>115</v>
      </c>
      <c r="B51" s="195" t="s">
        <v>116</v>
      </c>
      <c r="C51" s="150" t="s">
        <v>272</v>
      </c>
      <c r="D51" s="306">
        <v>14</v>
      </c>
      <c r="E51" s="154">
        <v>14</v>
      </c>
      <c r="F51" s="153">
        <v>0</v>
      </c>
      <c r="G51" s="308">
        <v>0</v>
      </c>
      <c r="H51" s="306">
        <v>2</v>
      </c>
      <c r="I51" s="154">
        <v>2</v>
      </c>
      <c r="J51" s="153">
        <v>0</v>
      </c>
      <c r="K51" s="308">
        <v>0</v>
      </c>
      <c r="L51" s="300">
        <f t="shared" si="4"/>
        <v>0.14285714285714285</v>
      </c>
      <c r="M51" s="301">
        <f t="shared" si="5"/>
        <v>0.14285714285714285</v>
      </c>
      <c r="N51" s="301" t="str">
        <f t="shared" si="6"/>
        <v>NA</v>
      </c>
      <c r="O51" s="302" t="str">
        <f t="shared" si="7"/>
        <v>NA</v>
      </c>
    </row>
    <row r="52" spans="1:15" s="142" customFormat="1" ht="15.75" customHeight="1">
      <c r="A52" s="149" t="s">
        <v>119</v>
      </c>
      <c r="B52" s="195" t="s">
        <v>277</v>
      </c>
      <c r="C52" s="150" t="s">
        <v>271</v>
      </c>
      <c r="D52" s="306">
        <v>319</v>
      </c>
      <c r="E52" s="154">
        <v>229</v>
      </c>
      <c r="F52" s="153">
        <v>75</v>
      </c>
      <c r="G52" s="308">
        <v>15</v>
      </c>
      <c r="H52" s="306">
        <v>129</v>
      </c>
      <c r="I52" s="154">
        <v>67</v>
      </c>
      <c r="J52" s="153">
        <v>57</v>
      </c>
      <c r="K52" s="308">
        <v>5</v>
      </c>
      <c r="L52" s="300">
        <f t="shared" si="4"/>
        <v>0.40438871473354232</v>
      </c>
      <c r="M52" s="301">
        <f t="shared" si="5"/>
        <v>0.29257641921397382</v>
      </c>
      <c r="N52" s="301">
        <f t="shared" si="6"/>
        <v>0.76</v>
      </c>
      <c r="O52" s="302">
        <f t="shared" si="7"/>
        <v>0.33333333333333331</v>
      </c>
    </row>
    <row r="53" spans="1:15" s="142" customFormat="1" ht="15.75" customHeight="1">
      <c r="A53" s="149" t="s">
        <v>121</v>
      </c>
      <c r="B53" s="195" t="s">
        <v>122</v>
      </c>
      <c r="C53" s="150" t="s">
        <v>271</v>
      </c>
      <c r="D53" s="306">
        <v>735</v>
      </c>
      <c r="E53" s="154">
        <v>496</v>
      </c>
      <c r="F53" s="153">
        <v>148</v>
      </c>
      <c r="G53" s="308">
        <v>91</v>
      </c>
      <c r="H53" s="306">
        <v>247</v>
      </c>
      <c r="I53" s="154">
        <v>115</v>
      </c>
      <c r="J53" s="153">
        <v>95</v>
      </c>
      <c r="K53" s="308">
        <v>37</v>
      </c>
      <c r="L53" s="300">
        <f t="shared" si="4"/>
        <v>0.33605442176870748</v>
      </c>
      <c r="M53" s="301">
        <f t="shared" si="5"/>
        <v>0.23185483870967741</v>
      </c>
      <c r="N53" s="301">
        <f t="shared" si="6"/>
        <v>0.64189189189189189</v>
      </c>
      <c r="O53" s="302">
        <f t="shared" si="7"/>
        <v>0.40659340659340659</v>
      </c>
    </row>
    <row r="54" spans="1:15" s="142" customFormat="1" ht="15.75" customHeight="1">
      <c r="A54" s="149" t="s">
        <v>123</v>
      </c>
      <c r="B54" s="195" t="s">
        <v>278</v>
      </c>
      <c r="C54" s="150" t="s">
        <v>273</v>
      </c>
      <c r="D54" s="306">
        <v>70</v>
      </c>
      <c r="E54" s="154">
        <v>47</v>
      </c>
      <c r="F54" s="153">
        <v>21</v>
      </c>
      <c r="G54" s="308">
        <v>2</v>
      </c>
      <c r="H54" s="306">
        <v>37</v>
      </c>
      <c r="I54" s="154">
        <v>18</v>
      </c>
      <c r="J54" s="153">
        <v>17</v>
      </c>
      <c r="K54" s="308">
        <v>2</v>
      </c>
      <c r="L54" s="300">
        <f t="shared" si="4"/>
        <v>0.52857142857142858</v>
      </c>
      <c r="M54" s="301">
        <f t="shared" si="5"/>
        <v>0.38297872340425532</v>
      </c>
      <c r="N54" s="301">
        <f t="shared" si="6"/>
        <v>0.80952380952380953</v>
      </c>
      <c r="O54" s="302">
        <f t="shared" si="7"/>
        <v>1</v>
      </c>
    </row>
    <row r="55" spans="1:15" s="142" customFormat="1" ht="15.75" customHeight="1">
      <c r="A55" s="149" t="s">
        <v>125</v>
      </c>
      <c r="B55" s="195" t="s">
        <v>126</v>
      </c>
      <c r="C55" s="150" t="s">
        <v>274</v>
      </c>
      <c r="D55" s="306">
        <v>312</v>
      </c>
      <c r="E55" s="154">
        <v>268</v>
      </c>
      <c r="F55" s="153">
        <v>36</v>
      </c>
      <c r="G55" s="308">
        <v>8</v>
      </c>
      <c r="H55" s="306">
        <v>94</v>
      </c>
      <c r="I55" s="154">
        <v>65</v>
      </c>
      <c r="J55" s="153">
        <v>27</v>
      </c>
      <c r="K55" s="308">
        <v>2</v>
      </c>
      <c r="L55" s="300">
        <f t="shared" si="4"/>
        <v>0.30128205128205127</v>
      </c>
      <c r="M55" s="301">
        <f t="shared" si="5"/>
        <v>0.24253731343283583</v>
      </c>
      <c r="N55" s="301">
        <f t="shared" si="6"/>
        <v>0.75</v>
      </c>
      <c r="O55" s="302">
        <f t="shared" si="7"/>
        <v>0.25</v>
      </c>
    </row>
    <row r="56" spans="1:15" s="142" customFormat="1" ht="15.75" customHeight="1">
      <c r="A56" s="149" t="s">
        <v>127</v>
      </c>
      <c r="B56" s="195" t="s">
        <v>128</v>
      </c>
      <c r="C56" s="150" t="s">
        <v>273</v>
      </c>
      <c r="D56" s="306">
        <v>183</v>
      </c>
      <c r="E56" s="154">
        <v>150</v>
      </c>
      <c r="F56" s="153">
        <v>27</v>
      </c>
      <c r="G56" s="308">
        <v>6</v>
      </c>
      <c r="H56" s="306">
        <v>59</v>
      </c>
      <c r="I56" s="154">
        <v>33</v>
      </c>
      <c r="J56" s="153">
        <v>22</v>
      </c>
      <c r="K56" s="308">
        <v>4</v>
      </c>
      <c r="L56" s="300">
        <f t="shared" si="4"/>
        <v>0.32240437158469948</v>
      </c>
      <c r="M56" s="301">
        <f t="shared" si="5"/>
        <v>0.22</v>
      </c>
      <c r="N56" s="301">
        <f t="shared" si="6"/>
        <v>0.81481481481481477</v>
      </c>
      <c r="O56" s="302">
        <f t="shared" si="7"/>
        <v>0.66666666666666663</v>
      </c>
    </row>
    <row r="57" spans="1:15" s="142" customFormat="1" ht="15.75" customHeight="1">
      <c r="A57" s="149" t="s">
        <v>129</v>
      </c>
      <c r="B57" s="195" t="s">
        <v>130</v>
      </c>
      <c r="C57" s="150" t="s">
        <v>273</v>
      </c>
      <c r="D57" s="306">
        <v>83</v>
      </c>
      <c r="E57" s="154">
        <v>47</v>
      </c>
      <c r="F57" s="153">
        <v>35</v>
      </c>
      <c r="G57" s="308">
        <v>1</v>
      </c>
      <c r="H57" s="306">
        <v>56</v>
      </c>
      <c r="I57" s="154">
        <v>23</v>
      </c>
      <c r="J57" s="153">
        <v>33</v>
      </c>
      <c r="K57" s="308">
        <v>0</v>
      </c>
      <c r="L57" s="300">
        <f t="shared" si="4"/>
        <v>0.67469879518072284</v>
      </c>
      <c r="M57" s="301">
        <f t="shared" si="5"/>
        <v>0.48936170212765956</v>
      </c>
      <c r="N57" s="301">
        <f t="shared" si="6"/>
        <v>0.94285714285714284</v>
      </c>
      <c r="O57" s="302">
        <f t="shared" si="7"/>
        <v>0</v>
      </c>
    </row>
    <row r="58" spans="1:15" s="142" customFormat="1" ht="15.75" customHeight="1">
      <c r="A58" s="149" t="s">
        <v>131</v>
      </c>
      <c r="B58" s="195" t="s">
        <v>132</v>
      </c>
      <c r="C58" s="150" t="s">
        <v>275</v>
      </c>
      <c r="D58" s="306">
        <v>267</v>
      </c>
      <c r="E58" s="154">
        <v>267</v>
      </c>
      <c r="F58" s="153">
        <v>0</v>
      </c>
      <c r="G58" s="308">
        <v>0</v>
      </c>
      <c r="H58" s="306">
        <v>99</v>
      </c>
      <c r="I58" s="154">
        <v>99</v>
      </c>
      <c r="J58" s="153">
        <v>0</v>
      </c>
      <c r="K58" s="308">
        <v>0</v>
      </c>
      <c r="L58" s="300">
        <f t="shared" si="4"/>
        <v>0.3707865168539326</v>
      </c>
      <c r="M58" s="301">
        <f t="shared" si="5"/>
        <v>0.3707865168539326</v>
      </c>
      <c r="N58" s="301" t="str">
        <f t="shared" si="6"/>
        <v>NA</v>
      </c>
      <c r="O58" s="302" t="str">
        <f t="shared" si="7"/>
        <v>NA</v>
      </c>
    </row>
    <row r="59" spans="1:15" s="142" customFormat="1" ht="15.75" customHeight="1">
      <c r="A59" s="149" t="s">
        <v>133</v>
      </c>
      <c r="B59" s="195" t="s">
        <v>134</v>
      </c>
      <c r="C59" s="150" t="s">
        <v>274</v>
      </c>
      <c r="D59" s="306">
        <v>4970</v>
      </c>
      <c r="E59" s="154">
        <v>3550</v>
      </c>
      <c r="F59" s="153">
        <v>354</v>
      </c>
      <c r="G59" s="308">
        <v>1066</v>
      </c>
      <c r="H59" s="306">
        <v>780</v>
      </c>
      <c r="I59" s="154">
        <v>602</v>
      </c>
      <c r="J59" s="153">
        <v>124</v>
      </c>
      <c r="K59" s="308">
        <v>54</v>
      </c>
      <c r="L59" s="300">
        <f t="shared" si="4"/>
        <v>0.15694164989939638</v>
      </c>
      <c r="M59" s="301">
        <f t="shared" si="5"/>
        <v>0.1695774647887324</v>
      </c>
      <c r="N59" s="301">
        <f t="shared" si="6"/>
        <v>0.35028248587570621</v>
      </c>
      <c r="O59" s="302">
        <f t="shared" si="7"/>
        <v>5.0656660412757973E-2</v>
      </c>
    </row>
    <row r="60" spans="1:15" s="142" customFormat="1" ht="15.75" customHeight="1">
      <c r="A60" s="149" t="s">
        <v>135</v>
      </c>
      <c r="B60" s="195" t="s">
        <v>136</v>
      </c>
      <c r="C60" s="150" t="s">
        <v>274</v>
      </c>
      <c r="D60" s="306">
        <v>374</v>
      </c>
      <c r="E60" s="154">
        <v>326</v>
      </c>
      <c r="F60" s="153">
        <v>48</v>
      </c>
      <c r="G60" s="308">
        <v>0</v>
      </c>
      <c r="H60" s="306">
        <v>138</v>
      </c>
      <c r="I60" s="154">
        <v>106</v>
      </c>
      <c r="J60" s="153">
        <v>32</v>
      </c>
      <c r="K60" s="308">
        <v>0</v>
      </c>
      <c r="L60" s="300">
        <f t="shared" si="4"/>
        <v>0.36898395721925131</v>
      </c>
      <c r="M60" s="301">
        <f t="shared" si="5"/>
        <v>0.32515337423312884</v>
      </c>
      <c r="N60" s="301">
        <f t="shared" si="6"/>
        <v>0.66666666666666663</v>
      </c>
      <c r="O60" s="302" t="str">
        <f t="shared" si="7"/>
        <v>NA</v>
      </c>
    </row>
    <row r="61" spans="1:15" s="142" customFormat="1" ht="15.75" customHeight="1">
      <c r="A61" s="149" t="s">
        <v>137</v>
      </c>
      <c r="B61" s="195" t="s">
        <v>138</v>
      </c>
      <c r="C61" s="150" t="s">
        <v>273</v>
      </c>
      <c r="D61" s="306">
        <v>117</v>
      </c>
      <c r="E61" s="154">
        <v>70</v>
      </c>
      <c r="F61" s="153">
        <v>39</v>
      </c>
      <c r="G61" s="308">
        <v>8</v>
      </c>
      <c r="H61" s="306">
        <v>65</v>
      </c>
      <c r="I61" s="154">
        <v>28</v>
      </c>
      <c r="J61" s="153">
        <v>32</v>
      </c>
      <c r="K61" s="308">
        <v>5</v>
      </c>
      <c r="L61" s="300">
        <f t="shared" si="4"/>
        <v>0.55555555555555558</v>
      </c>
      <c r="M61" s="301">
        <f t="shared" si="5"/>
        <v>0.4</v>
      </c>
      <c r="N61" s="301">
        <f t="shared" si="6"/>
        <v>0.82051282051282048</v>
      </c>
      <c r="O61" s="302">
        <f t="shared" si="7"/>
        <v>0.625</v>
      </c>
    </row>
    <row r="62" spans="1:15" s="142" customFormat="1" ht="15.75" customHeight="1">
      <c r="A62" s="149" t="s">
        <v>141</v>
      </c>
      <c r="B62" s="195" t="s">
        <v>142</v>
      </c>
      <c r="C62" s="150" t="s">
        <v>274</v>
      </c>
      <c r="D62" s="306">
        <v>130</v>
      </c>
      <c r="E62" s="154">
        <v>120</v>
      </c>
      <c r="F62" s="153">
        <v>8</v>
      </c>
      <c r="G62" s="308">
        <v>2</v>
      </c>
      <c r="H62" s="306">
        <v>37</v>
      </c>
      <c r="I62" s="154">
        <v>28</v>
      </c>
      <c r="J62" s="153">
        <v>8</v>
      </c>
      <c r="K62" s="308">
        <v>1</v>
      </c>
      <c r="L62" s="300">
        <f t="shared" si="4"/>
        <v>0.2846153846153846</v>
      </c>
      <c r="M62" s="301">
        <f t="shared" si="5"/>
        <v>0.23333333333333334</v>
      </c>
      <c r="N62" s="301">
        <f t="shared" si="6"/>
        <v>1</v>
      </c>
      <c r="O62" s="302">
        <f t="shared" si="7"/>
        <v>0.5</v>
      </c>
    </row>
    <row r="63" spans="1:15" s="142" customFormat="1" ht="15.75" customHeight="1">
      <c r="A63" s="149" t="s">
        <v>147</v>
      </c>
      <c r="B63" s="195" t="s">
        <v>148</v>
      </c>
      <c r="C63" s="150" t="s">
        <v>271</v>
      </c>
      <c r="D63" s="306">
        <v>64</v>
      </c>
      <c r="E63" s="154">
        <v>56</v>
      </c>
      <c r="F63" s="153">
        <v>5</v>
      </c>
      <c r="G63" s="308">
        <v>3</v>
      </c>
      <c r="H63" s="306">
        <v>25</v>
      </c>
      <c r="I63" s="154">
        <v>22</v>
      </c>
      <c r="J63" s="153">
        <v>2</v>
      </c>
      <c r="K63" s="308">
        <v>1</v>
      </c>
      <c r="L63" s="300">
        <f t="shared" si="4"/>
        <v>0.390625</v>
      </c>
      <c r="M63" s="301">
        <f t="shared" si="5"/>
        <v>0.39285714285714285</v>
      </c>
      <c r="N63" s="301">
        <f t="shared" si="6"/>
        <v>0.4</v>
      </c>
      <c r="O63" s="302">
        <f t="shared" si="7"/>
        <v>0.33333333333333331</v>
      </c>
    </row>
    <row r="64" spans="1:15" s="142" customFormat="1" ht="15.75" customHeight="1">
      <c r="A64" s="149" t="s">
        <v>149</v>
      </c>
      <c r="B64" s="195" t="s">
        <v>150</v>
      </c>
      <c r="C64" s="150" t="s">
        <v>272</v>
      </c>
      <c r="D64" s="306">
        <v>294</v>
      </c>
      <c r="E64" s="154">
        <v>146</v>
      </c>
      <c r="F64" s="153">
        <v>137</v>
      </c>
      <c r="G64" s="308">
        <v>11</v>
      </c>
      <c r="H64" s="306">
        <v>178</v>
      </c>
      <c r="I64" s="154">
        <v>60</v>
      </c>
      <c r="J64" s="153">
        <v>113</v>
      </c>
      <c r="K64" s="308">
        <v>5</v>
      </c>
      <c r="L64" s="300">
        <f t="shared" si="4"/>
        <v>0.60544217687074831</v>
      </c>
      <c r="M64" s="301">
        <f t="shared" si="5"/>
        <v>0.41095890410958902</v>
      </c>
      <c r="N64" s="301">
        <f t="shared" si="6"/>
        <v>0.82481751824817517</v>
      </c>
      <c r="O64" s="302">
        <f t="shared" si="7"/>
        <v>0.45454545454545453</v>
      </c>
    </row>
    <row r="65" spans="1:15" s="142" customFormat="1" ht="15.75" customHeight="1">
      <c r="A65" s="149" t="s">
        <v>151</v>
      </c>
      <c r="B65" s="195" t="s">
        <v>152</v>
      </c>
      <c r="C65" s="150" t="s">
        <v>273</v>
      </c>
      <c r="D65" s="306">
        <v>94</v>
      </c>
      <c r="E65" s="154">
        <v>74</v>
      </c>
      <c r="F65" s="153">
        <v>18</v>
      </c>
      <c r="G65" s="308">
        <v>2</v>
      </c>
      <c r="H65" s="306">
        <v>35</v>
      </c>
      <c r="I65" s="154">
        <v>23</v>
      </c>
      <c r="J65" s="153">
        <v>11</v>
      </c>
      <c r="K65" s="308">
        <v>1</v>
      </c>
      <c r="L65" s="300">
        <f t="shared" si="4"/>
        <v>0.37234042553191488</v>
      </c>
      <c r="M65" s="301">
        <f t="shared" si="5"/>
        <v>0.3108108108108108</v>
      </c>
      <c r="N65" s="301">
        <f t="shared" si="6"/>
        <v>0.61111111111111116</v>
      </c>
      <c r="O65" s="302">
        <f t="shared" si="7"/>
        <v>0.5</v>
      </c>
    </row>
    <row r="66" spans="1:15" s="142" customFormat="1" ht="15.75" customHeight="1">
      <c r="A66" s="149" t="s">
        <v>153</v>
      </c>
      <c r="B66" s="195" t="s">
        <v>154</v>
      </c>
      <c r="C66" s="150" t="s">
        <v>275</v>
      </c>
      <c r="D66" s="306">
        <v>891</v>
      </c>
      <c r="E66" s="154">
        <v>806</v>
      </c>
      <c r="F66" s="153">
        <v>30</v>
      </c>
      <c r="G66" s="308">
        <v>55</v>
      </c>
      <c r="H66" s="306">
        <v>247</v>
      </c>
      <c r="I66" s="154">
        <v>225</v>
      </c>
      <c r="J66" s="153">
        <v>21</v>
      </c>
      <c r="K66" s="308">
        <v>1</v>
      </c>
      <c r="L66" s="300">
        <f t="shared" si="4"/>
        <v>0.2772166105499439</v>
      </c>
      <c r="M66" s="301">
        <f t="shared" si="5"/>
        <v>0.27915632754342434</v>
      </c>
      <c r="N66" s="301">
        <f t="shared" si="6"/>
        <v>0.7</v>
      </c>
      <c r="O66" s="302">
        <f t="shared" si="7"/>
        <v>1.8181818181818181E-2</v>
      </c>
    </row>
    <row r="67" spans="1:15" s="142" customFormat="1" ht="15.75" customHeight="1">
      <c r="A67" s="149" t="s">
        <v>155</v>
      </c>
      <c r="B67" s="195" t="s">
        <v>156</v>
      </c>
      <c r="C67" s="150" t="s">
        <v>272</v>
      </c>
      <c r="D67" s="306">
        <v>125</v>
      </c>
      <c r="E67" s="154">
        <v>109</v>
      </c>
      <c r="F67" s="153">
        <v>16</v>
      </c>
      <c r="G67" s="308">
        <v>0</v>
      </c>
      <c r="H67" s="306">
        <v>54</v>
      </c>
      <c r="I67" s="154">
        <v>41</v>
      </c>
      <c r="J67" s="153">
        <v>13</v>
      </c>
      <c r="K67" s="308">
        <v>0</v>
      </c>
      <c r="L67" s="300">
        <f t="shared" si="4"/>
        <v>0.432</v>
      </c>
      <c r="M67" s="301">
        <f t="shared" si="5"/>
        <v>0.37614678899082571</v>
      </c>
      <c r="N67" s="301">
        <f t="shared" si="6"/>
        <v>0.8125</v>
      </c>
      <c r="O67" s="302" t="str">
        <f t="shared" si="7"/>
        <v>NA</v>
      </c>
    </row>
    <row r="68" spans="1:15" s="142" customFormat="1" ht="15.75" customHeight="1">
      <c r="A68" s="149" t="s">
        <v>157</v>
      </c>
      <c r="B68" s="195" t="s">
        <v>158</v>
      </c>
      <c r="C68" s="150" t="s">
        <v>273</v>
      </c>
      <c r="D68" s="306">
        <v>191</v>
      </c>
      <c r="E68" s="154">
        <v>169</v>
      </c>
      <c r="F68" s="153">
        <v>12</v>
      </c>
      <c r="G68" s="308">
        <v>10</v>
      </c>
      <c r="H68" s="306">
        <v>49</v>
      </c>
      <c r="I68" s="154">
        <v>38</v>
      </c>
      <c r="J68" s="153">
        <v>8</v>
      </c>
      <c r="K68" s="308">
        <v>3</v>
      </c>
      <c r="L68" s="300">
        <f t="shared" si="4"/>
        <v>0.25654450261780104</v>
      </c>
      <c r="M68" s="301">
        <f t="shared" si="5"/>
        <v>0.22485207100591717</v>
      </c>
      <c r="N68" s="301">
        <f t="shared" si="6"/>
        <v>0.66666666666666663</v>
      </c>
      <c r="O68" s="302">
        <f t="shared" si="7"/>
        <v>0.3</v>
      </c>
    </row>
    <row r="69" spans="1:15" s="142" customFormat="1" ht="15.75" customHeight="1">
      <c r="A69" s="149" t="s">
        <v>163</v>
      </c>
      <c r="B69" s="195" t="s">
        <v>164</v>
      </c>
      <c r="C69" s="150" t="s">
        <v>271</v>
      </c>
      <c r="D69" s="306">
        <v>162</v>
      </c>
      <c r="E69" s="154">
        <v>86</v>
      </c>
      <c r="F69" s="153">
        <v>73</v>
      </c>
      <c r="G69" s="308">
        <v>3</v>
      </c>
      <c r="H69" s="306">
        <v>110</v>
      </c>
      <c r="I69" s="154">
        <v>46</v>
      </c>
      <c r="J69" s="153">
        <v>62</v>
      </c>
      <c r="K69" s="308">
        <v>2</v>
      </c>
      <c r="L69" s="300">
        <f t="shared" si="4"/>
        <v>0.67901234567901236</v>
      </c>
      <c r="M69" s="301">
        <f t="shared" si="5"/>
        <v>0.53488372093023251</v>
      </c>
      <c r="N69" s="301">
        <f t="shared" si="6"/>
        <v>0.84931506849315064</v>
      </c>
      <c r="O69" s="302">
        <f t="shared" si="7"/>
        <v>0.66666666666666663</v>
      </c>
    </row>
    <row r="70" spans="1:15" s="142" customFormat="1" ht="15.75" customHeight="1">
      <c r="A70" s="149" t="s">
        <v>165</v>
      </c>
      <c r="B70" s="195" t="s">
        <v>166</v>
      </c>
      <c r="C70" s="150" t="s">
        <v>273</v>
      </c>
      <c r="D70" s="306">
        <v>90</v>
      </c>
      <c r="E70" s="154">
        <v>51</v>
      </c>
      <c r="F70" s="153">
        <v>35</v>
      </c>
      <c r="G70" s="308">
        <v>4</v>
      </c>
      <c r="H70" s="306">
        <v>51</v>
      </c>
      <c r="I70" s="154">
        <v>18</v>
      </c>
      <c r="J70" s="153">
        <v>30</v>
      </c>
      <c r="K70" s="308">
        <v>3</v>
      </c>
      <c r="L70" s="300">
        <f t="shared" si="4"/>
        <v>0.56666666666666665</v>
      </c>
      <c r="M70" s="301">
        <f t="shared" si="5"/>
        <v>0.35294117647058826</v>
      </c>
      <c r="N70" s="301">
        <f t="shared" si="6"/>
        <v>0.8571428571428571</v>
      </c>
      <c r="O70" s="302">
        <f t="shared" si="7"/>
        <v>0.75</v>
      </c>
    </row>
    <row r="71" spans="1:15" s="142" customFormat="1" ht="15.75" customHeight="1">
      <c r="A71" s="149" t="s">
        <v>169</v>
      </c>
      <c r="B71" s="195" t="s">
        <v>170</v>
      </c>
      <c r="C71" s="150" t="s">
        <v>273</v>
      </c>
      <c r="D71" s="306">
        <v>165</v>
      </c>
      <c r="E71" s="154">
        <v>97</v>
      </c>
      <c r="F71" s="153">
        <v>66</v>
      </c>
      <c r="G71" s="308">
        <v>2</v>
      </c>
      <c r="H71" s="306">
        <v>91</v>
      </c>
      <c r="I71" s="154">
        <v>37</v>
      </c>
      <c r="J71" s="153">
        <v>53</v>
      </c>
      <c r="K71" s="308">
        <v>1</v>
      </c>
      <c r="L71" s="300">
        <f t="shared" ref="L71:L102" si="8">IF(D71=0,"NA",(H71/D71))</f>
        <v>0.55151515151515151</v>
      </c>
      <c r="M71" s="301">
        <f t="shared" ref="M71:M102" si="9">IF(E71=0,"NA",(I71/E71))</f>
        <v>0.38144329896907214</v>
      </c>
      <c r="N71" s="301">
        <f t="shared" ref="N71:N102" si="10">IF(F71=0,"NA",(J71/F71))</f>
        <v>0.80303030303030298</v>
      </c>
      <c r="O71" s="302">
        <f t="shared" ref="O71:O102" si="11">IF(G71=0,"NA",(K71/G71))</f>
        <v>0.5</v>
      </c>
    </row>
    <row r="72" spans="1:15" s="142" customFormat="1" ht="15.75" customHeight="1">
      <c r="A72" s="149" t="s">
        <v>171</v>
      </c>
      <c r="B72" s="195" t="s">
        <v>172</v>
      </c>
      <c r="C72" s="150" t="s">
        <v>274</v>
      </c>
      <c r="D72" s="306">
        <v>413</v>
      </c>
      <c r="E72" s="154">
        <v>348</v>
      </c>
      <c r="F72" s="153">
        <v>56</v>
      </c>
      <c r="G72" s="308">
        <v>9</v>
      </c>
      <c r="H72" s="306">
        <v>159</v>
      </c>
      <c r="I72" s="154">
        <v>118</v>
      </c>
      <c r="J72" s="153">
        <v>40</v>
      </c>
      <c r="K72" s="308">
        <v>1</v>
      </c>
      <c r="L72" s="300">
        <f t="shared" si="8"/>
        <v>0.38498789346246975</v>
      </c>
      <c r="M72" s="301">
        <f t="shared" si="9"/>
        <v>0.33908045977011492</v>
      </c>
      <c r="N72" s="301">
        <f t="shared" si="10"/>
        <v>0.7142857142857143</v>
      </c>
      <c r="O72" s="302">
        <f t="shared" si="11"/>
        <v>0.1111111111111111</v>
      </c>
    </row>
    <row r="73" spans="1:15" s="142" customFormat="1" ht="15.75" customHeight="1">
      <c r="A73" s="149" t="s">
        <v>173</v>
      </c>
      <c r="B73" s="195" t="s">
        <v>174</v>
      </c>
      <c r="C73" s="150" t="s">
        <v>274</v>
      </c>
      <c r="D73" s="306">
        <v>229</v>
      </c>
      <c r="E73" s="154">
        <v>226</v>
      </c>
      <c r="F73" s="153">
        <v>2</v>
      </c>
      <c r="G73" s="308">
        <v>1</v>
      </c>
      <c r="H73" s="306">
        <v>117</v>
      </c>
      <c r="I73" s="154">
        <v>115</v>
      </c>
      <c r="J73" s="153">
        <v>1</v>
      </c>
      <c r="K73" s="308">
        <v>1</v>
      </c>
      <c r="L73" s="300">
        <f t="shared" si="8"/>
        <v>0.51091703056768556</v>
      </c>
      <c r="M73" s="301">
        <f t="shared" si="9"/>
        <v>0.50884955752212391</v>
      </c>
      <c r="N73" s="301">
        <f t="shared" si="10"/>
        <v>0.5</v>
      </c>
      <c r="O73" s="302">
        <f t="shared" si="11"/>
        <v>1</v>
      </c>
    </row>
    <row r="74" spans="1:15" s="142" customFormat="1" ht="15.75" customHeight="1">
      <c r="A74" s="149" t="s">
        <v>175</v>
      </c>
      <c r="B74" s="195" t="s">
        <v>176</v>
      </c>
      <c r="C74" s="150" t="s">
        <v>275</v>
      </c>
      <c r="D74" s="306">
        <v>143</v>
      </c>
      <c r="E74" s="154">
        <v>132</v>
      </c>
      <c r="F74" s="153">
        <v>8</v>
      </c>
      <c r="G74" s="307">
        <v>3</v>
      </c>
      <c r="H74" s="306">
        <v>54</v>
      </c>
      <c r="I74" s="154">
        <v>47</v>
      </c>
      <c r="J74" s="153">
        <v>5</v>
      </c>
      <c r="K74" s="308">
        <v>2</v>
      </c>
      <c r="L74" s="300">
        <f t="shared" si="8"/>
        <v>0.3776223776223776</v>
      </c>
      <c r="M74" s="301">
        <f t="shared" si="9"/>
        <v>0.35606060606060608</v>
      </c>
      <c r="N74" s="301">
        <f t="shared" si="10"/>
        <v>0.625</v>
      </c>
      <c r="O74" s="302">
        <f t="shared" si="11"/>
        <v>0.66666666666666663</v>
      </c>
    </row>
    <row r="75" spans="1:15" s="142" customFormat="1" ht="15.75" customHeight="1">
      <c r="A75" s="149" t="s">
        <v>179</v>
      </c>
      <c r="B75" s="195" t="s">
        <v>180</v>
      </c>
      <c r="C75" s="150" t="s">
        <v>272</v>
      </c>
      <c r="D75" s="306">
        <v>450</v>
      </c>
      <c r="E75" s="154">
        <v>338</v>
      </c>
      <c r="F75" s="153">
        <v>104</v>
      </c>
      <c r="G75" s="308">
        <v>8</v>
      </c>
      <c r="H75" s="306">
        <v>196</v>
      </c>
      <c r="I75" s="154">
        <v>118</v>
      </c>
      <c r="J75" s="153">
        <v>76</v>
      </c>
      <c r="K75" s="308">
        <v>2</v>
      </c>
      <c r="L75" s="300">
        <f t="shared" si="8"/>
        <v>0.43555555555555553</v>
      </c>
      <c r="M75" s="301">
        <f t="shared" si="9"/>
        <v>0.34911242603550297</v>
      </c>
      <c r="N75" s="301">
        <f t="shared" si="10"/>
        <v>0.73076923076923073</v>
      </c>
      <c r="O75" s="302">
        <f t="shared" si="11"/>
        <v>0.25</v>
      </c>
    </row>
    <row r="76" spans="1:15" s="142" customFormat="1" ht="15.75" customHeight="1">
      <c r="A76" s="149" t="s">
        <v>183</v>
      </c>
      <c r="B76" s="195" t="s">
        <v>184</v>
      </c>
      <c r="C76" s="150" t="s">
        <v>273</v>
      </c>
      <c r="D76" s="306">
        <v>233</v>
      </c>
      <c r="E76" s="154">
        <v>218</v>
      </c>
      <c r="F76" s="153">
        <v>10</v>
      </c>
      <c r="G76" s="308">
        <v>5</v>
      </c>
      <c r="H76" s="306">
        <v>63</v>
      </c>
      <c r="I76" s="154">
        <v>55</v>
      </c>
      <c r="J76" s="153">
        <v>6</v>
      </c>
      <c r="K76" s="308">
        <v>2</v>
      </c>
      <c r="L76" s="300">
        <f t="shared" si="8"/>
        <v>0.27038626609442062</v>
      </c>
      <c r="M76" s="301">
        <f t="shared" si="9"/>
        <v>0.25229357798165136</v>
      </c>
      <c r="N76" s="301">
        <f t="shared" si="10"/>
        <v>0.6</v>
      </c>
      <c r="O76" s="302">
        <f t="shared" si="11"/>
        <v>0.4</v>
      </c>
    </row>
    <row r="77" spans="1:15" s="142" customFormat="1" ht="15.75" customHeight="1">
      <c r="A77" s="149" t="s">
        <v>185</v>
      </c>
      <c r="B77" s="195" t="s">
        <v>186</v>
      </c>
      <c r="C77" s="150" t="s">
        <v>273</v>
      </c>
      <c r="D77" s="306">
        <v>203</v>
      </c>
      <c r="E77" s="154">
        <v>113</v>
      </c>
      <c r="F77" s="153">
        <v>85</v>
      </c>
      <c r="G77" s="308">
        <v>5</v>
      </c>
      <c r="H77" s="306">
        <v>104</v>
      </c>
      <c r="I77" s="154">
        <v>32</v>
      </c>
      <c r="J77" s="153">
        <v>69</v>
      </c>
      <c r="K77" s="308">
        <v>3</v>
      </c>
      <c r="L77" s="300">
        <f t="shared" si="8"/>
        <v>0.51231527093596063</v>
      </c>
      <c r="M77" s="301">
        <f t="shared" si="9"/>
        <v>0.2831858407079646</v>
      </c>
      <c r="N77" s="301">
        <f t="shared" si="10"/>
        <v>0.81176470588235294</v>
      </c>
      <c r="O77" s="302">
        <f t="shared" si="11"/>
        <v>0.6</v>
      </c>
    </row>
    <row r="78" spans="1:15" s="142" customFormat="1" ht="15.75" customHeight="1">
      <c r="A78" s="149" t="s">
        <v>187</v>
      </c>
      <c r="B78" s="195" t="s">
        <v>188</v>
      </c>
      <c r="C78" s="150" t="s">
        <v>271</v>
      </c>
      <c r="D78" s="306">
        <v>327</v>
      </c>
      <c r="E78" s="154">
        <v>218</v>
      </c>
      <c r="F78" s="153">
        <v>89</v>
      </c>
      <c r="G78" s="308">
        <v>20</v>
      </c>
      <c r="H78" s="306">
        <v>90</v>
      </c>
      <c r="I78" s="154">
        <v>49</v>
      </c>
      <c r="J78" s="153">
        <v>35</v>
      </c>
      <c r="K78" s="308">
        <v>6</v>
      </c>
      <c r="L78" s="300">
        <f t="shared" si="8"/>
        <v>0.27522935779816515</v>
      </c>
      <c r="M78" s="301">
        <f t="shared" si="9"/>
        <v>0.22477064220183487</v>
      </c>
      <c r="N78" s="301">
        <f t="shared" si="10"/>
        <v>0.39325842696629215</v>
      </c>
      <c r="O78" s="302">
        <f t="shared" si="11"/>
        <v>0.3</v>
      </c>
    </row>
    <row r="79" spans="1:15" s="142" customFormat="1" ht="15.75" customHeight="1">
      <c r="A79" s="149" t="s">
        <v>189</v>
      </c>
      <c r="B79" s="195" t="s">
        <v>190</v>
      </c>
      <c r="C79" s="150" t="s">
        <v>274</v>
      </c>
      <c r="D79" s="306">
        <v>6691</v>
      </c>
      <c r="E79" s="154">
        <v>4508</v>
      </c>
      <c r="F79" s="153">
        <v>1378</v>
      </c>
      <c r="G79" s="308">
        <v>805</v>
      </c>
      <c r="H79" s="306">
        <v>1985</v>
      </c>
      <c r="I79" s="154">
        <v>1223</v>
      </c>
      <c r="J79" s="153">
        <v>635</v>
      </c>
      <c r="K79" s="308">
        <v>127</v>
      </c>
      <c r="L79" s="300">
        <f t="shared" si="8"/>
        <v>0.29666716484830369</v>
      </c>
      <c r="M79" s="301">
        <f t="shared" si="9"/>
        <v>0.2712954747116238</v>
      </c>
      <c r="N79" s="301">
        <f t="shared" si="10"/>
        <v>0.46081277213352684</v>
      </c>
      <c r="O79" s="302">
        <f t="shared" si="11"/>
        <v>0.15776397515527951</v>
      </c>
    </row>
    <row r="80" spans="1:15" s="142" customFormat="1" ht="15.75" customHeight="1">
      <c r="A80" s="149" t="s">
        <v>191</v>
      </c>
      <c r="B80" s="195" t="s">
        <v>192</v>
      </c>
      <c r="C80" s="150" t="s">
        <v>275</v>
      </c>
      <c r="D80" s="306">
        <v>288</v>
      </c>
      <c r="E80" s="154">
        <v>266</v>
      </c>
      <c r="F80" s="153">
        <v>18</v>
      </c>
      <c r="G80" s="308">
        <v>4</v>
      </c>
      <c r="H80" s="306">
        <v>120</v>
      </c>
      <c r="I80" s="154">
        <v>107</v>
      </c>
      <c r="J80" s="153">
        <v>12</v>
      </c>
      <c r="K80" s="308">
        <v>1</v>
      </c>
      <c r="L80" s="300">
        <f t="shared" si="8"/>
        <v>0.41666666666666669</v>
      </c>
      <c r="M80" s="301">
        <f t="shared" si="9"/>
        <v>0.40225563909774437</v>
      </c>
      <c r="N80" s="301">
        <f t="shared" si="10"/>
        <v>0.66666666666666663</v>
      </c>
      <c r="O80" s="302">
        <f t="shared" si="11"/>
        <v>0.25</v>
      </c>
    </row>
    <row r="81" spans="1:15" s="142" customFormat="1" ht="15.75" customHeight="1">
      <c r="A81" s="149" t="s">
        <v>195</v>
      </c>
      <c r="B81" s="195" t="s">
        <v>196</v>
      </c>
      <c r="C81" s="150" t="s">
        <v>274</v>
      </c>
      <c r="D81" s="306">
        <v>55</v>
      </c>
      <c r="E81" s="154">
        <v>50</v>
      </c>
      <c r="F81" s="153">
        <v>1</v>
      </c>
      <c r="G81" s="308">
        <v>4</v>
      </c>
      <c r="H81" s="306">
        <v>28</v>
      </c>
      <c r="I81" s="154">
        <v>25</v>
      </c>
      <c r="J81" s="153">
        <v>1</v>
      </c>
      <c r="K81" s="308">
        <v>2</v>
      </c>
      <c r="L81" s="300">
        <f t="shared" si="8"/>
        <v>0.50909090909090904</v>
      </c>
      <c r="M81" s="301">
        <f t="shared" si="9"/>
        <v>0.5</v>
      </c>
      <c r="N81" s="301">
        <f t="shared" si="10"/>
        <v>1</v>
      </c>
      <c r="O81" s="302">
        <f t="shared" si="11"/>
        <v>0.5</v>
      </c>
    </row>
    <row r="82" spans="1:15" s="142" customFormat="1" ht="15.75" customHeight="1">
      <c r="A82" s="149" t="s">
        <v>199</v>
      </c>
      <c r="B82" s="195" t="s">
        <v>279</v>
      </c>
      <c r="C82" s="150" t="s">
        <v>273</v>
      </c>
      <c r="D82" s="306">
        <v>71</v>
      </c>
      <c r="E82" s="154">
        <v>47</v>
      </c>
      <c r="F82" s="153">
        <v>21</v>
      </c>
      <c r="G82" s="308">
        <v>3</v>
      </c>
      <c r="H82" s="306">
        <v>29</v>
      </c>
      <c r="I82" s="154">
        <v>10</v>
      </c>
      <c r="J82" s="153">
        <v>17</v>
      </c>
      <c r="K82" s="308">
        <v>2</v>
      </c>
      <c r="L82" s="300">
        <f t="shared" si="8"/>
        <v>0.40845070422535212</v>
      </c>
      <c r="M82" s="301">
        <f t="shared" si="9"/>
        <v>0.21276595744680851</v>
      </c>
      <c r="N82" s="301">
        <f t="shared" si="10"/>
        <v>0.80952380952380953</v>
      </c>
      <c r="O82" s="302">
        <f t="shared" si="11"/>
        <v>0.66666666666666663</v>
      </c>
    </row>
    <row r="83" spans="1:15" s="142" customFormat="1" ht="15.75" customHeight="1">
      <c r="A83" s="149" t="s">
        <v>203</v>
      </c>
      <c r="B83" s="195" t="s">
        <v>311</v>
      </c>
      <c r="C83" s="150" t="s">
        <v>272</v>
      </c>
      <c r="D83" s="306">
        <v>1128</v>
      </c>
      <c r="E83" s="154">
        <v>1004</v>
      </c>
      <c r="F83" s="153">
        <v>69</v>
      </c>
      <c r="G83" s="308">
        <v>55</v>
      </c>
      <c r="H83" s="306">
        <v>357</v>
      </c>
      <c r="I83" s="154">
        <v>304</v>
      </c>
      <c r="J83" s="153">
        <v>44</v>
      </c>
      <c r="K83" s="308">
        <v>9</v>
      </c>
      <c r="L83" s="300">
        <f t="shared" si="8"/>
        <v>0.31648936170212766</v>
      </c>
      <c r="M83" s="301">
        <f t="shared" si="9"/>
        <v>0.30278884462151395</v>
      </c>
      <c r="N83" s="301">
        <f t="shared" si="10"/>
        <v>0.6376811594202898</v>
      </c>
      <c r="O83" s="302">
        <f t="shared" si="11"/>
        <v>0.16363636363636364</v>
      </c>
    </row>
    <row r="84" spans="1:15" s="142" customFormat="1" ht="15.75" customHeight="1">
      <c r="A84" s="149" t="s">
        <v>205</v>
      </c>
      <c r="B84" s="195" t="s">
        <v>303</v>
      </c>
      <c r="C84" s="150" t="s">
        <v>272</v>
      </c>
      <c r="D84" s="306">
        <v>305</v>
      </c>
      <c r="E84" s="154">
        <v>291</v>
      </c>
      <c r="F84" s="153">
        <v>11</v>
      </c>
      <c r="G84" s="307">
        <v>3</v>
      </c>
      <c r="H84" s="306">
        <v>121</v>
      </c>
      <c r="I84" s="154">
        <v>112</v>
      </c>
      <c r="J84" s="153">
        <v>7</v>
      </c>
      <c r="K84" s="308">
        <v>2</v>
      </c>
      <c r="L84" s="300">
        <f t="shared" si="8"/>
        <v>0.39672131147540984</v>
      </c>
      <c r="M84" s="301">
        <f t="shared" si="9"/>
        <v>0.38487972508591067</v>
      </c>
      <c r="N84" s="301">
        <f t="shared" si="10"/>
        <v>0.63636363636363635</v>
      </c>
      <c r="O84" s="302">
        <f t="shared" si="11"/>
        <v>0.66666666666666663</v>
      </c>
    </row>
    <row r="85" spans="1:15" s="142" customFormat="1" ht="15.75" customHeight="1">
      <c r="A85" s="149" t="s">
        <v>207</v>
      </c>
      <c r="B85" s="195" t="s">
        <v>304</v>
      </c>
      <c r="C85" s="150" t="s">
        <v>274</v>
      </c>
      <c r="D85" s="306">
        <v>1363</v>
      </c>
      <c r="E85" s="154">
        <v>1198</v>
      </c>
      <c r="F85" s="153">
        <v>58</v>
      </c>
      <c r="G85" s="308">
        <v>107</v>
      </c>
      <c r="H85" s="306">
        <v>472</v>
      </c>
      <c r="I85" s="154">
        <v>374</v>
      </c>
      <c r="J85" s="153">
        <v>39</v>
      </c>
      <c r="K85" s="308">
        <v>59</v>
      </c>
      <c r="L85" s="300">
        <f t="shared" si="8"/>
        <v>0.34629493763756419</v>
      </c>
      <c r="M85" s="301">
        <f t="shared" si="9"/>
        <v>0.31218697829716191</v>
      </c>
      <c r="N85" s="301">
        <f t="shared" si="10"/>
        <v>0.67241379310344829</v>
      </c>
      <c r="O85" s="302">
        <f t="shared" si="11"/>
        <v>0.55140186915887845</v>
      </c>
    </row>
    <row r="86" spans="1:15" s="142" customFormat="1" ht="15.75" customHeight="1">
      <c r="A86" s="149" t="s">
        <v>209</v>
      </c>
      <c r="B86" s="195" t="s">
        <v>210</v>
      </c>
      <c r="C86" s="150" t="s">
        <v>275</v>
      </c>
      <c r="D86" s="306">
        <v>263</v>
      </c>
      <c r="E86" s="154">
        <v>260</v>
      </c>
      <c r="F86" s="153">
        <v>1</v>
      </c>
      <c r="G86" s="307">
        <v>2</v>
      </c>
      <c r="H86" s="306">
        <v>93</v>
      </c>
      <c r="I86" s="154">
        <v>90</v>
      </c>
      <c r="J86" s="153">
        <v>1</v>
      </c>
      <c r="K86" s="308">
        <v>2</v>
      </c>
      <c r="L86" s="300">
        <f t="shared" si="8"/>
        <v>0.35361216730038025</v>
      </c>
      <c r="M86" s="301">
        <f t="shared" si="9"/>
        <v>0.34615384615384615</v>
      </c>
      <c r="N86" s="301">
        <f t="shared" si="10"/>
        <v>1</v>
      </c>
      <c r="O86" s="302">
        <f t="shared" si="11"/>
        <v>1</v>
      </c>
    </row>
    <row r="87" spans="1:15" s="142" customFormat="1" ht="15.75" customHeight="1">
      <c r="A87" s="149" t="s">
        <v>211</v>
      </c>
      <c r="B87" s="195" t="s">
        <v>212</v>
      </c>
      <c r="C87" s="150" t="s">
        <v>275</v>
      </c>
      <c r="D87" s="306">
        <v>205</v>
      </c>
      <c r="E87" s="154">
        <v>201</v>
      </c>
      <c r="F87" s="153">
        <v>0</v>
      </c>
      <c r="G87" s="308">
        <v>4</v>
      </c>
      <c r="H87" s="306">
        <v>93</v>
      </c>
      <c r="I87" s="154">
        <v>92</v>
      </c>
      <c r="J87" s="153">
        <v>0</v>
      </c>
      <c r="K87" s="308">
        <v>1</v>
      </c>
      <c r="L87" s="300">
        <f t="shared" si="8"/>
        <v>0.45365853658536587</v>
      </c>
      <c r="M87" s="301">
        <f t="shared" si="9"/>
        <v>0.45771144278606968</v>
      </c>
      <c r="N87" s="301" t="str">
        <f t="shared" si="10"/>
        <v>NA</v>
      </c>
      <c r="O87" s="302">
        <f t="shared" si="11"/>
        <v>0.25</v>
      </c>
    </row>
    <row r="88" spans="1:15" s="142" customFormat="1" ht="15.75" customHeight="1">
      <c r="A88" s="149" t="s">
        <v>213</v>
      </c>
      <c r="B88" s="195" t="s">
        <v>214</v>
      </c>
      <c r="C88" s="150" t="s">
        <v>274</v>
      </c>
      <c r="D88" s="306">
        <v>464</v>
      </c>
      <c r="E88" s="154">
        <v>446</v>
      </c>
      <c r="F88" s="153">
        <v>8</v>
      </c>
      <c r="G88" s="308">
        <v>10</v>
      </c>
      <c r="H88" s="306">
        <v>171</v>
      </c>
      <c r="I88" s="154">
        <v>165</v>
      </c>
      <c r="J88" s="153">
        <v>3</v>
      </c>
      <c r="K88" s="308">
        <v>3</v>
      </c>
      <c r="L88" s="300">
        <f t="shared" si="8"/>
        <v>0.36853448275862066</v>
      </c>
      <c r="M88" s="301">
        <f t="shared" si="9"/>
        <v>0.36995515695067266</v>
      </c>
      <c r="N88" s="301">
        <f t="shared" si="10"/>
        <v>0.375</v>
      </c>
      <c r="O88" s="302">
        <f t="shared" si="11"/>
        <v>0.3</v>
      </c>
    </row>
    <row r="89" spans="1:15" s="142" customFormat="1" ht="15.75" customHeight="1">
      <c r="A89" s="149" t="s">
        <v>215</v>
      </c>
      <c r="B89" s="195" t="s">
        <v>216</v>
      </c>
      <c r="C89" s="150" t="s">
        <v>275</v>
      </c>
      <c r="D89" s="306">
        <v>327</v>
      </c>
      <c r="E89" s="154">
        <v>314</v>
      </c>
      <c r="F89" s="153">
        <v>3</v>
      </c>
      <c r="G89" s="308">
        <v>10</v>
      </c>
      <c r="H89" s="306">
        <v>156</v>
      </c>
      <c r="I89" s="154">
        <v>151</v>
      </c>
      <c r="J89" s="153">
        <v>0</v>
      </c>
      <c r="K89" s="308">
        <v>5</v>
      </c>
      <c r="L89" s="300">
        <f t="shared" si="8"/>
        <v>0.47706422018348627</v>
      </c>
      <c r="M89" s="301">
        <f t="shared" si="9"/>
        <v>0.48089171974522293</v>
      </c>
      <c r="N89" s="301">
        <f t="shared" si="10"/>
        <v>0</v>
      </c>
      <c r="O89" s="302">
        <f t="shared" si="11"/>
        <v>0.5</v>
      </c>
    </row>
    <row r="90" spans="1:15" s="142" customFormat="1" ht="15.75" customHeight="1">
      <c r="A90" s="149" t="s">
        <v>217</v>
      </c>
      <c r="B90" s="195" t="s">
        <v>218</v>
      </c>
      <c r="C90" s="150" t="s">
        <v>271</v>
      </c>
      <c r="D90" s="306">
        <v>133</v>
      </c>
      <c r="E90" s="154">
        <v>80</v>
      </c>
      <c r="F90" s="153">
        <v>48</v>
      </c>
      <c r="G90" s="308">
        <v>5</v>
      </c>
      <c r="H90" s="306">
        <v>61</v>
      </c>
      <c r="I90" s="154">
        <v>24</v>
      </c>
      <c r="J90" s="153">
        <v>34</v>
      </c>
      <c r="K90" s="308">
        <v>3</v>
      </c>
      <c r="L90" s="300">
        <f t="shared" si="8"/>
        <v>0.45864661654135336</v>
      </c>
      <c r="M90" s="301">
        <f t="shared" si="9"/>
        <v>0.3</v>
      </c>
      <c r="N90" s="301">
        <f t="shared" si="10"/>
        <v>0.70833333333333337</v>
      </c>
      <c r="O90" s="302">
        <f t="shared" si="11"/>
        <v>0.6</v>
      </c>
    </row>
    <row r="91" spans="1:15" s="142" customFormat="1" ht="15.75" customHeight="1">
      <c r="A91" s="149" t="s">
        <v>219</v>
      </c>
      <c r="B91" s="195" t="s">
        <v>220</v>
      </c>
      <c r="C91" s="150" t="s">
        <v>274</v>
      </c>
      <c r="D91" s="306">
        <v>1559</v>
      </c>
      <c r="E91" s="154">
        <v>1186</v>
      </c>
      <c r="F91" s="153">
        <v>225</v>
      </c>
      <c r="G91" s="308">
        <v>148</v>
      </c>
      <c r="H91" s="306">
        <v>573</v>
      </c>
      <c r="I91" s="154">
        <v>371</v>
      </c>
      <c r="J91" s="153">
        <v>139</v>
      </c>
      <c r="K91" s="308">
        <v>63</v>
      </c>
      <c r="L91" s="300">
        <f t="shared" si="8"/>
        <v>0.36754329698524696</v>
      </c>
      <c r="M91" s="301">
        <f t="shared" si="9"/>
        <v>0.31281618887015178</v>
      </c>
      <c r="N91" s="301">
        <f t="shared" si="10"/>
        <v>0.61777777777777776</v>
      </c>
      <c r="O91" s="302">
        <f t="shared" si="11"/>
        <v>0.42567567567567566</v>
      </c>
    </row>
    <row r="92" spans="1:15" s="142" customFormat="1" ht="15.75" customHeight="1">
      <c r="A92" s="149" t="s">
        <v>221</v>
      </c>
      <c r="B92" s="195" t="s">
        <v>222</v>
      </c>
      <c r="C92" s="150" t="s">
        <v>274</v>
      </c>
      <c r="D92" s="306">
        <v>1683</v>
      </c>
      <c r="E92" s="154">
        <v>1286</v>
      </c>
      <c r="F92" s="153">
        <v>293</v>
      </c>
      <c r="G92" s="308">
        <v>104</v>
      </c>
      <c r="H92" s="306">
        <v>522</v>
      </c>
      <c r="I92" s="154">
        <v>341</v>
      </c>
      <c r="J92" s="153">
        <v>153</v>
      </c>
      <c r="K92" s="308">
        <v>28</v>
      </c>
      <c r="L92" s="300">
        <f t="shared" si="8"/>
        <v>0.31016042780748665</v>
      </c>
      <c r="M92" s="301">
        <f t="shared" si="9"/>
        <v>0.26516329704510111</v>
      </c>
      <c r="N92" s="301">
        <f t="shared" si="10"/>
        <v>0.52218430034129693</v>
      </c>
      <c r="O92" s="302">
        <f t="shared" si="11"/>
        <v>0.26923076923076922</v>
      </c>
    </row>
    <row r="93" spans="1:15" s="142" customFormat="1" ht="15.75" customHeight="1">
      <c r="A93" s="149" t="s">
        <v>225</v>
      </c>
      <c r="B93" s="195" t="s">
        <v>226</v>
      </c>
      <c r="C93" s="150" t="s">
        <v>271</v>
      </c>
      <c r="D93" s="306">
        <v>58</v>
      </c>
      <c r="E93" s="154">
        <v>40</v>
      </c>
      <c r="F93" s="153">
        <v>18</v>
      </c>
      <c r="G93" s="308">
        <v>0</v>
      </c>
      <c r="H93" s="306">
        <v>28</v>
      </c>
      <c r="I93" s="154">
        <v>15</v>
      </c>
      <c r="J93" s="153">
        <v>13</v>
      </c>
      <c r="K93" s="308">
        <v>0</v>
      </c>
      <c r="L93" s="300">
        <f t="shared" si="8"/>
        <v>0.48275862068965519</v>
      </c>
      <c r="M93" s="301">
        <f t="shared" si="9"/>
        <v>0.375</v>
      </c>
      <c r="N93" s="301">
        <f t="shared" si="10"/>
        <v>0.72222222222222221</v>
      </c>
      <c r="O93" s="302" t="str">
        <f t="shared" si="11"/>
        <v>NA</v>
      </c>
    </row>
    <row r="94" spans="1:15" s="142" customFormat="1" ht="15.75" customHeight="1">
      <c r="A94" s="149" t="s">
        <v>227</v>
      </c>
      <c r="B94" s="195" t="s">
        <v>228</v>
      </c>
      <c r="C94" s="150" t="s">
        <v>271</v>
      </c>
      <c r="D94" s="306">
        <v>126</v>
      </c>
      <c r="E94" s="154">
        <v>56</v>
      </c>
      <c r="F94" s="153">
        <v>68</v>
      </c>
      <c r="G94" s="307">
        <v>2</v>
      </c>
      <c r="H94" s="306">
        <v>75</v>
      </c>
      <c r="I94" s="154">
        <v>21</v>
      </c>
      <c r="J94" s="153">
        <v>52</v>
      </c>
      <c r="K94" s="308">
        <v>2</v>
      </c>
      <c r="L94" s="300">
        <f t="shared" si="8"/>
        <v>0.59523809523809523</v>
      </c>
      <c r="M94" s="301">
        <f t="shared" si="9"/>
        <v>0.375</v>
      </c>
      <c r="N94" s="301">
        <f t="shared" si="10"/>
        <v>0.76470588235294112</v>
      </c>
      <c r="O94" s="302">
        <f t="shared" si="11"/>
        <v>1</v>
      </c>
    </row>
    <row r="95" spans="1:15" s="142" customFormat="1" ht="15.75" customHeight="1">
      <c r="A95" s="149" t="s">
        <v>229</v>
      </c>
      <c r="B95" s="195" t="s">
        <v>230</v>
      </c>
      <c r="C95" s="150" t="s">
        <v>275</v>
      </c>
      <c r="D95" s="306">
        <v>418</v>
      </c>
      <c r="E95" s="154">
        <v>408</v>
      </c>
      <c r="F95" s="153">
        <v>7</v>
      </c>
      <c r="G95" s="308">
        <v>3</v>
      </c>
      <c r="H95" s="306">
        <v>152</v>
      </c>
      <c r="I95" s="154">
        <v>144</v>
      </c>
      <c r="J95" s="153">
        <v>6</v>
      </c>
      <c r="K95" s="308">
        <v>2</v>
      </c>
      <c r="L95" s="300">
        <f t="shared" si="8"/>
        <v>0.36363636363636365</v>
      </c>
      <c r="M95" s="301">
        <f t="shared" si="9"/>
        <v>0.35294117647058826</v>
      </c>
      <c r="N95" s="301">
        <f t="shared" si="10"/>
        <v>0.8571428571428571</v>
      </c>
      <c r="O95" s="302">
        <f t="shared" si="11"/>
        <v>0.66666666666666663</v>
      </c>
    </row>
    <row r="96" spans="1:15" s="142" customFormat="1" ht="15.75" customHeight="1">
      <c r="A96" s="149" t="s">
        <v>233</v>
      </c>
      <c r="B96" s="195" t="s">
        <v>234</v>
      </c>
      <c r="C96" s="150" t="s">
        <v>274</v>
      </c>
      <c r="D96" s="306">
        <v>432</v>
      </c>
      <c r="E96" s="154">
        <v>405</v>
      </c>
      <c r="F96" s="153">
        <v>20</v>
      </c>
      <c r="G96" s="307">
        <v>7</v>
      </c>
      <c r="H96" s="306">
        <v>189</v>
      </c>
      <c r="I96" s="154">
        <v>169</v>
      </c>
      <c r="J96" s="153">
        <v>17</v>
      </c>
      <c r="K96" s="308">
        <v>3</v>
      </c>
      <c r="L96" s="300">
        <f t="shared" si="8"/>
        <v>0.4375</v>
      </c>
      <c r="M96" s="301">
        <f t="shared" si="9"/>
        <v>0.41728395061728396</v>
      </c>
      <c r="N96" s="301">
        <f t="shared" si="10"/>
        <v>0.85</v>
      </c>
      <c r="O96" s="302">
        <f t="shared" si="11"/>
        <v>0.42857142857142855</v>
      </c>
    </row>
    <row r="97" spans="1:15" s="142" customFormat="1" ht="15.75" customHeight="1">
      <c r="A97" s="149" t="s">
        <v>235</v>
      </c>
      <c r="B97" s="195" t="s">
        <v>236</v>
      </c>
      <c r="C97" s="150" t="s">
        <v>275</v>
      </c>
      <c r="D97" s="306">
        <v>539</v>
      </c>
      <c r="E97" s="154">
        <v>522</v>
      </c>
      <c r="F97" s="153">
        <v>10</v>
      </c>
      <c r="G97" s="308">
        <v>7</v>
      </c>
      <c r="H97" s="306">
        <v>197</v>
      </c>
      <c r="I97" s="154">
        <v>185</v>
      </c>
      <c r="J97" s="153">
        <v>9</v>
      </c>
      <c r="K97" s="308">
        <v>3</v>
      </c>
      <c r="L97" s="300">
        <f t="shared" si="8"/>
        <v>0.36549165120593691</v>
      </c>
      <c r="M97" s="301">
        <f t="shared" si="9"/>
        <v>0.35440613026819923</v>
      </c>
      <c r="N97" s="301">
        <f t="shared" si="10"/>
        <v>0.9</v>
      </c>
      <c r="O97" s="302">
        <f t="shared" si="11"/>
        <v>0.42857142857142855</v>
      </c>
    </row>
    <row r="98" spans="1:15" s="142" customFormat="1" ht="15.75" customHeight="1">
      <c r="A98" s="149" t="s">
        <v>237</v>
      </c>
      <c r="B98" s="195" t="s">
        <v>238</v>
      </c>
      <c r="C98" s="150" t="s">
        <v>273</v>
      </c>
      <c r="D98" s="306">
        <v>184</v>
      </c>
      <c r="E98" s="154">
        <v>117</v>
      </c>
      <c r="F98" s="153">
        <v>58</v>
      </c>
      <c r="G98" s="308">
        <v>9</v>
      </c>
      <c r="H98" s="306">
        <v>93</v>
      </c>
      <c r="I98" s="154">
        <v>40</v>
      </c>
      <c r="J98" s="153">
        <v>48</v>
      </c>
      <c r="K98" s="308">
        <v>5</v>
      </c>
      <c r="L98" s="300">
        <f t="shared" si="8"/>
        <v>0.50543478260869568</v>
      </c>
      <c r="M98" s="301">
        <f t="shared" si="9"/>
        <v>0.34188034188034189</v>
      </c>
      <c r="N98" s="301">
        <f t="shared" si="10"/>
        <v>0.82758620689655171</v>
      </c>
      <c r="O98" s="302">
        <f t="shared" si="11"/>
        <v>0.55555555555555558</v>
      </c>
    </row>
    <row r="99" spans="1:15" s="142" customFormat="1" ht="15.75" customHeight="1">
      <c r="A99" s="149" t="s">
        <v>243</v>
      </c>
      <c r="B99" s="195" t="s">
        <v>244</v>
      </c>
      <c r="C99" s="150" t="s">
        <v>275</v>
      </c>
      <c r="D99" s="306">
        <v>396</v>
      </c>
      <c r="E99" s="154">
        <v>383</v>
      </c>
      <c r="F99" s="153">
        <v>7</v>
      </c>
      <c r="G99" s="307">
        <v>6</v>
      </c>
      <c r="H99" s="306">
        <v>159</v>
      </c>
      <c r="I99" s="154">
        <v>149</v>
      </c>
      <c r="J99" s="153">
        <v>6</v>
      </c>
      <c r="K99" s="308">
        <v>4</v>
      </c>
      <c r="L99" s="300">
        <f t="shared" si="8"/>
        <v>0.40151515151515149</v>
      </c>
      <c r="M99" s="301">
        <f t="shared" si="9"/>
        <v>0.38903394255874674</v>
      </c>
      <c r="N99" s="301">
        <f t="shared" si="10"/>
        <v>0.8571428571428571</v>
      </c>
      <c r="O99" s="302">
        <f t="shared" si="11"/>
        <v>0.66666666666666663</v>
      </c>
    </row>
    <row r="100" spans="1:15" s="142" customFormat="1" ht="15.75" customHeight="1">
      <c r="A100" s="149" t="s">
        <v>245</v>
      </c>
      <c r="B100" s="195" t="s">
        <v>246</v>
      </c>
      <c r="C100" s="150" t="s">
        <v>275</v>
      </c>
      <c r="D100" s="306">
        <v>310</v>
      </c>
      <c r="E100" s="154">
        <v>299</v>
      </c>
      <c r="F100" s="153">
        <v>3</v>
      </c>
      <c r="G100" s="308">
        <v>8</v>
      </c>
      <c r="H100" s="306">
        <v>127</v>
      </c>
      <c r="I100" s="154">
        <v>120</v>
      </c>
      <c r="J100" s="153">
        <v>3</v>
      </c>
      <c r="K100" s="308">
        <v>4</v>
      </c>
      <c r="L100" s="300">
        <f t="shared" si="8"/>
        <v>0.4096774193548387</v>
      </c>
      <c r="M100" s="301">
        <f t="shared" si="9"/>
        <v>0.40133779264214048</v>
      </c>
      <c r="N100" s="301">
        <f t="shared" si="10"/>
        <v>1</v>
      </c>
      <c r="O100" s="302">
        <f t="shared" si="11"/>
        <v>0.5</v>
      </c>
    </row>
    <row r="101" spans="1:15" s="142" customFormat="1" ht="15.75" customHeight="1">
      <c r="A101" s="149" t="s">
        <v>247</v>
      </c>
      <c r="B101" s="195" t="s">
        <v>248</v>
      </c>
      <c r="C101" s="150" t="s">
        <v>271</v>
      </c>
      <c r="D101" s="306">
        <v>678</v>
      </c>
      <c r="E101" s="154">
        <v>525</v>
      </c>
      <c r="F101" s="153">
        <v>90</v>
      </c>
      <c r="G101" s="308">
        <v>63</v>
      </c>
      <c r="H101" s="306">
        <v>163</v>
      </c>
      <c r="I101" s="154">
        <v>106</v>
      </c>
      <c r="J101" s="153">
        <v>45</v>
      </c>
      <c r="K101" s="308">
        <v>12</v>
      </c>
      <c r="L101" s="300">
        <f t="shared" si="8"/>
        <v>0.24041297935103245</v>
      </c>
      <c r="M101" s="301">
        <f t="shared" si="9"/>
        <v>0.20190476190476189</v>
      </c>
      <c r="N101" s="301">
        <f t="shared" si="10"/>
        <v>0.5</v>
      </c>
      <c r="O101" s="302">
        <f t="shared" si="11"/>
        <v>0.19047619047619047</v>
      </c>
    </row>
    <row r="102" spans="1:15" s="142" customFormat="1" ht="15.75" customHeight="1">
      <c r="A102" s="149" t="s">
        <v>14</v>
      </c>
      <c r="B102" s="195" t="s">
        <v>15</v>
      </c>
      <c r="C102" s="150" t="s">
        <v>274</v>
      </c>
      <c r="D102" s="306">
        <v>2632</v>
      </c>
      <c r="E102" s="154">
        <v>1641</v>
      </c>
      <c r="F102" s="153">
        <v>567</v>
      </c>
      <c r="G102" s="308">
        <v>424</v>
      </c>
      <c r="H102" s="306">
        <v>746</v>
      </c>
      <c r="I102" s="154">
        <v>291</v>
      </c>
      <c r="J102" s="153">
        <v>295</v>
      </c>
      <c r="K102" s="308">
        <v>160</v>
      </c>
      <c r="L102" s="300">
        <f t="shared" si="8"/>
        <v>0.28343465045592703</v>
      </c>
      <c r="M102" s="301">
        <f t="shared" si="9"/>
        <v>0.1773308957952468</v>
      </c>
      <c r="N102" s="301">
        <f t="shared" si="10"/>
        <v>0.52028218694885364</v>
      </c>
      <c r="O102" s="302">
        <f t="shared" si="11"/>
        <v>0.37735849056603776</v>
      </c>
    </row>
    <row r="103" spans="1:15" s="142" customFormat="1" ht="15.75" customHeight="1">
      <c r="A103" s="149" t="s">
        <v>35</v>
      </c>
      <c r="B103" s="195" t="s">
        <v>36</v>
      </c>
      <c r="C103" s="150" t="s">
        <v>275</v>
      </c>
      <c r="D103" s="306">
        <v>143</v>
      </c>
      <c r="E103" s="154">
        <v>128</v>
      </c>
      <c r="F103" s="153">
        <v>13</v>
      </c>
      <c r="G103" s="308">
        <v>2</v>
      </c>
      <c r="H103" s="306">
        <v>66</v>
      </c>
      <c r="I103" s="154">
        <v>55</v>
      </c>
      <c r="J103" s="153">
        <v>11</v>
      </c>
      <c r="K103" s="308">
        <v>0</v>
      </c>
      <c r="L103" s="300">
        <f t="shared" ref="L103:L126" si="12">IF(D103=0,"NA",(H103/D103))</f>
        <v>0.46153846153846156</v>
      </c>
      <c r="M103" s="301">
        <f t="shared" ref="M103:M126" si="13">IF(E103=0,"NA",(I103/E103))</f>
        <v>0.4296875</v>
      </c>
      <c r="N103" s="301">
        <f t="shared" ref="N103:N126" si="14">IF(F103=0,"NA",(J103/F103))</f>
        <v>0.84615384615384615</v>
      </c>
      <c r="O103" s="302">
        <f t="shared" ref="O103:O126" si="15">IF(G103=0,"NA",(K103/G103))</f>
        <v>0</v>
      </c>
    </row>
    <row r="104" spans="1:15" s="142" customFormat="1" ht="15.75" customHeight="1">
      <c r="A104" s="149" t="s">
        <v>53</v>
      </c>
      <c r="B104" s="195" t="s">
        <v>54</v>
      </c>
      <c r="C104" s="150" t="s">
        <v>272</v>
      </c>
      <c r="D104" s="306">
        <v>499</v>
      </c>
      <c r="E104" s="154">
        <v>341</v>
      </c>
      <c r="F104" s="153">
        <v>124</v>
      </c>
      <c r="G104" s="308">
        <v>34</v>
      </c>
      <c r="H104" s="306">
        <v>175</v>
      </c>
      <c r="I104" s="154">
        <v>78</v>
      </c>
      <c r="J104" s="153">
        <v>92</v>
      </c>
      <c r="K104" s="308">
        <v>5</v>
      </c>
      <c r="L104" s="300">
        <f t="shared" si="12"/>
        <v>0.35070140280561124</v>
      </c>
      <c r="M104" s="301">
        <f t="shared" si="13"/>
        <v>0.22873900293255131</v>
      </c>
      <c r="N104" s="301">
        <f t="shared" si="14"/>
        <v>0.74193548387096775</v>
      </c>
      <c r="O104" s="302">
        <f t="shared" si="15"/>
        <v>0.14705882352941177</v>
      </c>
    </row>
    <row r="105" spans="1:15" s="142" customFormat="1" ht="15.75" customHeight="1">
      <c r="A105" s="149" t="s">
        <v>55</v>
      </c>
      <c r="B105" s="195" t="s">
        <v>56</v>
      </c>
      <c r="C105" s="150" t="s">
        <v>271</v>
      </c>
      <c r="D105" s="306">
        <v>2748</v>
      </c>
      <c r="E105" s="154">
        <v>1667</v>
      </c>
      <c r="F105" s="153">
        <v>906</v>
      </c>
      <c r="G105" s="308">
        <v>175</v>
      </c>
      <c r="H105" s="306">
        <v>1077</v>
      </c>
      <c r="I105" s="154">
        <v>423</v>
      </c>
      <c r="J105" s="153">
        <v>627</v>
      </c>
      <c r="K105" s="308">
        <v>27</v>
      </c>
      <c r="L105" s="300">
        <f t="shared" si="12"/>
        <v>0.39192139737991266</v>
      </c>
      <c r="M105" s="301">
        <f t="shared" si="13"/>
        <v>0.25374925014997002</v>
      </c>
      <c r="N105" s="301">
        <f t="shared" si="14"/>
        <v>0.69205298013245031</v>
      </c>
      <c r="O105" s="302">
        <f t="shared" si="15"/>
        <v>0.15428571428571428</v>
      </c>
    </row>
    <row r="106" spans="1:15" s="142" customFormat="1" ht="15.75" customHeight="1">
      <c r="A106" s="149" t="s">
        <v>67</v>
      </c>
      <c r="B106" s="195" t="s">
        <v>68</v>
      </c>
      <c r="C106" s="150" t="s">
        <v>272</v>
      </c>
      <c r="D106" s="306">
        <v>585</v>
      </c>
      <c r="E106" s="154">
        <v>246</v>
      </c>
      <c r="F106" s="153">
        <v>317</v>
      </c>
      <c r="G106" s="308">
        <v>22</v>
      </c>
      <c r="H106" s="306">
        <v>370</v>
      </c>
      <c r="I106" s="154">
        <v>110</v>
      </c>
      <c r="J106" s="153">
        <v>252</v>
      </c>
      <c r="K106" s="308">
        <v>8</v>
      </c>
      <c r="L106" s="300">
        <f t="shared" si="12"/>
        <v>0.63247863247863245</v>
      </c>
      <c r="M106" s="301">
        <f t="shared" si="13"/>
        <v>0.44715447154471544</v>
      </c>
      <c r="N106" s="301">
        <f t="shared" si="14"/>
        <v>0.79495268138801267</v>
      </c>
      <c r="O106" s="302">
        <f t="shared" si="15"/>
        <v>0.36363636363636365</v>
      </c>
    </row>
    <row r="107" spans="1:15" s="142" customFormat="1" ht="15.75" customHeight="1">
      <c r="A107" s="149" t="s">
        <v>83</v>
      </c>
      <c r="B107" s="195" t="s">
        <v>84</v>
      </c>
      <c r="C107" s="150" t="s">
        <v>271</v>
      </c>
      <c r="D107" s="306">
        <v>167</v>
      </c>
      <c r="E107" s="154">
        <v>59</v>
      </c>
      <c r="F107" s="153">
        <v>106</v>
      </c>
      <c r="G107" s="308">
        <v>2</v>
      </c>
      <c r="H107" s="306">
        <v>111</v>
      </c>
      <c r="I107" s="154">
        <v>17</v>
      </c>
      <c r="J107" s="153">
        <v>93</v>
      </c>
      <c r="K107" s="308">
        <v>1</v>
      </c>
      <c r="L107" s="300">
        <f t="shared" si="12"/>
        <v>0.66467065868263475</v>
      </c>
      <c r="M107" s="301">
        <f t="shared" si="13"/>
        <v>0.28813559322033899</v>
      </c>
      <c r="N107" s="301">
        <f t="shared" si="14"/>
        <v>0.87735849056603776</v>
      </c>
      <c r="O107" s="302">
        <f t="shared" si="15"/>
        <v>0.5</v>
      </c>
    </row>
    <row r="108" spans="1:15" s="142" customFormat="1" ht="15.75" customHeight="1">
      <c r="A108" s="149" t="s">
        <v>89</v>
      </c>
      <c r="B108" s="195" t="s">
        <v>90</v>
      </c>
      <c r="C108" s="150" t="s">
        <v>274</v>
      </c>
      <c r="D108" s="306">
        <v>411</v>
      </c>
      <c r="E108" s="154">
        <v>237</v>
      </c>
      <c r="F108" s="153">
        <v>111</v>
      </c>
      <c r="G108" s="308">
        <v>63</v>
      </c>
      <c r="H108" s="306">
        <v>220</v>
      </c>
      <c r="I108" s="154">
        <v>99</v>
      </c>
      <c r="J108" s="153">
        <v>84</v>
      </c>
      <c r="K108" s="308">
        <v>37</v>
      </c>
      <c r="L108" s="300">
        <f t="shared" si="12"/>
        <v>0.53527980535279807</v>
      </c>
      <c r="M108" s="301">
        <f t="shared" si="13"/>
        <v>0.41772151898734178</v>
      </c>
      <c r="N108" s="301">
        <f t="shared" si="14"/>
        <v>0.7567567567567568</v>
      </c>
      <c r="O108" s="302">
        <f t="shared" si="15"/>
        <v>0.58730158730158732</v>
      </c>
    </row>
    <row r="109" spans="1:15" s="142" customFormat="1" ht="15.75" customHeight="1">
      <c r="A109" s="149" t="s">
        <v>91</v>
      </c>
      <c r="B109" s="195" t="s">
        <v>92</v>
      </c>
      <c r="C109" s="150" t="s">
        <v>275</v>
      </c>
      <c r="D109" s="306">
        <v>111</v>
      </c>
      <c r="E109" s="154">
        <v>105</v>
      </c>
      <c r="F109" s="153">
        <v>6</v>
      </c>
      <c r="G109" s="308">
        <v>0</v>
      </c>
      <c r="H109" s="306">
        <v>51</v>
      </c>
      <c r="I109" s="154">
        <v>46</v>
      </c>
      <c r="J109" s="153">
        <v>5</v>
      </c>
      <c r="K109" s="308">
        <v>0</v>
      </c>
      <c r="L109" s="300">
        <f t="shared" si="12"/>
        <v>0.45945945945945948</v>
      </c>
      <c r="M109" s="301">
        <f t="shared" si="13"/>
        <v>0.43809523809523809</v>
      </c>
      <c r="N109" s="301">
        <f t="shared" si="14"/>
        <v>0.83333333333333337</v>
      </c>
      <c r="O109" s="302" t="str">
        <f t="shared" si="15"/>
        <v>NA</v>
      </c>
    </row>
    <row r="110" spans="1:15" s="142" customFormat="1" ht="15.75" customHeight="1">
      <c r="A110" s="149" t="s">
        <v>107</v>
      </c>
      <c r="B110" s="195" t="s">
        <v>108</v>
      </c>
      <c r="C110" s="150" t="s">
        <v>271</v>
      </c>
      <c r="D110" s="306">
        <v>1729</v>
      </c>
      <c r="E110" s="154">
        <v>749</v>
      </c>
      <c r="F110" s="153">
        <v>868</v>
      </c>
      <c r="G110" s="308">
        <v>112</v>
      </c>
      <c r="H110" s="306">
        <v>808</v>
      </c>
      <c r="I110" s="154">
        <v>200</v>
      </c>
      <c r="J110" s="153">
        <v>575</v>
      </c>
      <c r="K110" s="308">
        <v>33</v>
      </c>
      <c r="L110" s="300">
        <f t="shared" si="12"/>
        <v>0.46732215153267787</v>
      </c>
      <c r="M110" s="301">
        <f t="shared" si="13"/>
        <v>0.26702269692923897</v>
      </c>
      <c r="N110" s="301">
        <f t="shared" si="14"/>
        <v>0.6624423963133641</v>
      </c>
      <c r="O110" s="302">
        <f t="shared" si="15"/>
        <v>0.29464285714285715</v>
      </c>
    </row>
    <row r="111" spans="1:15" s="142" customFormat="1" ht="15.75" customHeight="1">
      <c r="A111" s="149" t="s">
        <v>117</v>
      </c>
      <c r="B111" s="195" t="s">
        <v>118</v>
      </c>
      <c r="C111" s="150" t="s">
        <v>273</v>
      </c>
      <c r="D111" s="306">
        <v>339</v>
      </c>
      <c r="E111" s="154">
        <v>167</v>
      </c>
      <c r="F111" s="153">
        <v>153</v>
      </c>
      <c r="G111" s="308">
        <v>19</v>
      </c>
      <c r="H111" s="306">
        <v>232</v>
      </c>
      <c r="I111" s="154">
        <v>92</v>
      </c>
      <c r="J111" s="153">
        <v>132</v>
      </c>
      <c r="K111" s="308">
        <v>8</v>
      </c>
      <c r="L111" s="300">
        <f t="shared" si="12"/>
        <v>0.68436578171091444</v>
      </c>
      <c r="M111" s="301">
        <f t="shared" si="13"/>
        <v>0.55089820359281438</v>
      </c>
      <c r="N111" s="301">
        <f t="shared" si="14"/>
        <v>0.86274509803921573</v>
      </c>
      <c r="O111" s="302">
        <f t="shared" si="15"/>
        <v>0.42105263157894735</v>
      </c>
    </row>
    <row r="112" spans="1:15" s="142" customFormat="1" ht="15.75" customHeight="1">
      <c r="A112" s="149" t="s">
        <v>139</v>
      </c>
      <c r="B112" s="195" t="s">
        <v>140</v>
      </c>
      <c r="C112" s="150" t="s">
        <v>272</v>
      </c>
      <c r="D112" s="306">
        <v>1074</v>
      </c>
      <c r="E112" s="154">
        <v>668</v>
      </c>
      <c r="F112" s="153">
        <v>367</v>
      </c>
      <c r="G112" s="308">
        <v>39</v>
      </c>
      <c r="H112" s="306">
        <v>458</v>
      </c>
      <c r="I112" s="153">
        <v>161</v>
      </c>
      <c r="J112" s="153">
        <v>294</v>
      </c>
      <c r="K112" s="308">
        <v>3</v>
      </c>
      <c r="L112" s="300">
        <f t="shared" si="12"/>
        <v>0.42644320297951582</v>
      </c>
      <c r="M112" s="301">
        <f t="shared" si="13"/>
        <v>0.2410179640718563</v>
      </c>
      <c r="N112" s="301">
        <f t="shared" si="14"/>
        <v>0.80108991825613074</v>
      </c>
      <c r="O112" s="302">
        <f t="shared" si="15"/>
        <v>7.6923076923076927E-2</v>
      </c>
    </row>
    <row r="113" spans="1:15" s="142" customFormat="1" ht="15.75" customHeight="1">
      <c r="A113" s="149" t="s">
        <v>143</v>
      </c>
      <c r="B113" s="195" t="s">
        <v>280</v>
      </c>
      <c r="C113" s="150" t="s">
        <v>274</v>
      </c>
      <c r="D113" s="306">
        <v>721</v>
      </c>
      <c r="E113" s="154">
        <v>561</v>
      </c>
      <c r="F113" s="153">
        <v>104</v>
      </c>
      <c r="G113" s="308">
        <v>56</v>
      </c>
      <c r="H113" s="306">
        <v>292</v>
      </c>
      <c r="I113" s="154">
        <v>215</v>
      </c>
      <c r="J113" s="153">
        <v>68</v>
      </c>
      <c r="K113" s="308">
        <v>9</v>
      </c>
      <c r="L113" s="300">
        <f t="shared" si="12"/>
        <v>0.40499306518723993</v>
      </c>
      <c r="M113" s="301">
        <f t="shared" si="13"/>
        <v>0.38324420677361853</v>
      </c>
      <c r="N113" s="301">
        <f t="shared" si="14"/>
        <v>0.65384615384615385</v>
      </c>
      <c r="O113" s="302">
        <f t="shared" si="15"/>
        <v>0.16071428571428573</v>
      </c>
    </row>
    <row r="114" spans="1:15" s="142" customFormat="1" ht="15.75" customHeight="1">
      <c r="A114" s="149" t="s">
        <v>145</v>
      </c>
      <c r="B114" s="195" t="s">
        <v>146</v>
      </c>
      <c r="C114" s="150" t="s">
        <v>274</v>
      </c>
      <c r="D114" s="306">
        <v>66</v>
      </c>
      <c r="E114" s="154">
        <v>52</v>
      </c>
      <c r="F114" s="153">
        <v>7</v>
      </c>
      <c r="G114" s="308">
        <v>7</v>
      </c>
      <c r="H114" s="306">
        <v>23</v>
      </c>
      <c r="I114" s="154">
        <v>18</v>
      </c>
      <c r="J114" s="153">
        <v>3</v>
      </c>
      <c r="K114" s="308">
        <v>2</v>
      </c>
      <c r="L114" s="300">
        <f t="shared" si="12"/>
        <v>0.34848484848484851</v>
      </c>
      <c r="M114" s="301">
        <f t="shared" si="13"/>
        <v>0.34615384615384615</v>
      </c>
      <c r="N114" s="301">
        <f t="shared" si="14"/>
        <v>0.42857142857142855</v>
      </c>
      <c r="O114" s="302">
        <f t="shared" si="15"/>
        <v>0.2857142857142857</v>
      </c>
    </row>
    <row r="115" spans="1:15" s="142" customFormat="1" ht="15.75" customHeight="1">
      <c r="A115" s="149" t="s">
        <v>159</v>
      </c>
      <c r="B115" s="195" t="s">
        <v>160</v>
      </c>
      <c r="C115" s="150" t="s">
        <v>271</v>
      </c>
      <c r="D115" s="306">
        <v>3049</v>
      </c>
      <c r="E115" s="154">
        <v>1329</v>
      </c>
      <c r="F115" s="153">
        <v>1415</v>
      </c>
      <c r="G115" s="308">
        <v>305</v>
      </c>
      <c r="H115" s="306">
        <v>1516</v>
      </c>
      <c r="I115" s="154">
        <v>377</v>
      </c>
      <c r="J115" s="153">
        <v>1029</v>
      </c>
      <c r="K115" s="308">
        <v>110</v>
      </c>
      <c r="L115" s="300">
        <f t="shared" si="12"/>
        <v>0.49721220072154804</v>
      </c>
      <c r="M115" s="301">
        <f t="shared" si="13"/>
        <v>0.2836719337848006</v>
      </c>
      <c r="N115" s="301">
        <f t="shared" si="14"/>
        <v>0.72720848056537102</v>
      </c>
      <c r="O115" s="302">
        <f t="shared" si="15"/>
        <v>0.36065573770491804</v>
      </c>
    </row>
    <row r="116" spans="1:15" s="142" customFormat="1" ht="15.75" customHeight="1">
      <c r="A116" s="149" t="s">
        <v>161</v>
      </c>
      <c r="B116" s="195" t="s">
        <v>162</v>
      </c>
      <c r="C116" s="150" t="s">
        <v>271</v>
      </c>
      <c r="D116" s="306">
        <v>3718</v>
      </c>
      <c r="E116" s="154">
        <v>1643</v>
      </c>
      <c r="F116" s="153">
        <v>1778</v>
      </c>
      <c r="G116" s="308">
        <v>297</v>
      </c>
      <c r="H116" s="306">
        <v>1893</v>
      </c>
      <c r="I116" s="154">
        <v>453</v>
      </c>
      <c r="J116" s="153">
        <v>1322</v>
      </c>
      <c r="K116" s="308">
        <v>118</v>
      </c>
      <c r="L116" s="300">
        <f t="shared" si="12"/>
        <v>0.50914470145239377</v>
      </c>
      <c r="M116" s="301">
        <f t="shared" si="13"/>
        <v>0.27571515520389533</v>
      </c>
      <c r="N116" s="301">
        <f t="shared" si="14"/>
        <v>0.74353205849268844</v>
      </c>
      <c r="O116" s="302">
        <f t="shared" si="15"/>
        <v>0.39730639730639733</v>
      </c>
    </row>
    <row r="117" spans="1:15" s="142" customFormat="1" ht="15.75" customHeight="1">
      <c r="A117" s="149" t="s">
        <v>167</v>
      </c>
      <c r="B117" s="195" t="s">
        <v>168</v>
      </c>
      <c r="C117" s="150" t="s">
        <v>275</v>
      </c>
      <c r="D117" s="306">
        <v>58</v>
      </c>
      <c r="E117" s="154">
        <v>55</v>
      </c>
      <c r="F117" s="153">
        <v>0</v>
      </c>
      <c r="G117" s="308">
        <v>3</v>
      </c>
      <c r="H117" s="306">
        <v>29</v>
      </c>
      <c r="I117" s="154">
        <v>28</v>
      </c>
      <c r="J117" s="153">
        <v>0</v>
      </c>
      <c r="K117" s="308">
        <v>1</v>
      </c>
      <c r="L117" s="300">
        <f t="shared" si="12"/>
        <v>0.5</v>
      </c>
      <c r="M117" s="301">
        <f t="shared" si="13"/>
        <v>0.50909090909090904</v>
      </c>
      <c r="N117" s="301" t="str">
        <f t="shared" si="14"/>
        <v>NA</v>
      </c>
      <c r="O117" s="302">
        <f t="shared" si="15"/>
        <v>0.33333333333333331</v>
      </c>
    </row>
    <row r="118" spans="1:15" s="142" customFormat="1" ht="15.75" customHeight="1">
      <c r="A118" s="149" t="s">
        <v>177</v>
      </c>
      <c r="B118" s="195" t="s">
        <v>178</v>
      </c>
      <c r="C118" s="150" t="s">
        <v>273</v>
      </c>
      <c r="D118" s="306">
        <v>659</v>
      </c>
      <c r="E118" s="154">
        <v>137</v>
      </c>
      <c r="F118" s="153">
        <v>492</v>
      </c>
      <c r="G118" s="308">
        <v>30</v>
      </c>
      <c r="H118" s="306">
        <v>489</v>
      </c>
      <c r="I118" s="154">
        <v>59</v>
      </c>
      <c r="J118" s="153">
        <v>414</v>
      </c>
      <c r="K118" s="308">
        <v>16</v>
      </c>
      <c r="L118" s="300">
        <f t="shared" si="12"/>
        <v>0.74203338391502272</v>
      </c>
      <c r="M118" s="301">
        <f t="shared" si="13"/>
        <v>0.43065693430656932</v>
      </c>
      <c r="N118" s="301">
        <f t="shared" si="14"/>
        <v>0.84146341463414631</v>
      </c>
      <c r="O118" s="302">
        <f t="shared" si="15"/>
        <v>0.53333333333333333</v>
      </c>
    </row>
    <row r="119" spans="1:15" s="142" customFormat="1" ht="15.75" customHeight="1">
      <c r="A119" s="149" t="s">
        <v>181</v>
      </c>
      <c r="B119" s="195" t="s">
        <v>182</v>
      </c>
      <c r="C119" s="150" t="s">
        <v>271</v>
      </c>
      <c r="D119" s="306">
        <v>1580</v>
      </c>
      <c r="E119" s="154">
        <v>634</v>
      </c>
      <c r="F119" s="153">
        <v>897</v>
      </c>
      <c r="G119" s="308">
        <v>49</v>
      </c>
      <c r="H119" s="306">
        <v>898</v>
      </c>
      <c r="I119" s="154">
        <v>220</v>
      </c>
      <c r="J119" s="153">
        <v>664</v>
      </c>
      <c r="K119" s="308">
        <v>14</v>
      </c>
      <c r="L119" s="300">
        <f t="shared" si="12"/>
        <v>0.56835443037974687</v>
      </c>
      <c r="M119" s="301">
        <f t="shared" si="13"/>
        <v>0.3470031545741325</v>
      </c>
      <c r="N119" s="301">
        <f t="shared" si="14"/>
        <v>0.74024526198439244</v>
      </c>
      <c r="O119" s="302">
        <f t="shared" si="15"/>
        <v>0.2857142857142857</v>
      </c>
    </row>
    <row r="120" spans="1:15" s="142" customFormat="1" ht="15.75" customHeight="1">
      <c r="A120" s="149" t="s">
        <v>193</v>
      </c>
      <c r="B120" s="195" t="s">
        <v>194</v>
      </c>
      <c r="C120" s="150" t="s">
        <v>275</v>
      </c>
      <c r="D120" s="306">
        <v>136</v>
      </c>
      <c r="E120" s="154">
        <v>117</v>
      </c>
      <c r="F120" s="153">
        <v>15</v>
      </c>
      <c r="G120" s="308">
        <v>4</v>
      </c>
      <c r="H120" s="306">
        <v>57</v>
      </c>
      <c r="I120" s="154">
        <v>45</v>
      </c>
      <c r="J120" s="153">
        <v>12</v>
      </c>
      <c r="K120" s="308">
        <v>0</v>
      </c>
      <c r="L120" s="300">
        <f t="shared" si="12"/>
        <v>0.41911764705882354</v>
      </c>
      <c r="M120" s="301">
        <f t="shared" si="13"/>
        <v>0.38461538461538464</v>
      </c>
      <c r="N120" s="301">
        <f t="shared" si="14"/>
        <v>0.8</v>
      </c>
      <c r="O120" s="302">
        <f t="shared" si="15"/>
        <v>0</v>
      </c>
    </row>
    <row r="121" spans="1:15" s="142" customFormat="1" ht="15.75" customHeight="1">
      <c r="A121" s="149" t="s">
        <v>197</v>
      </c>
      <c r="B121" s="195" t="s">
        <v>198</v>
      </c>
      <c r="C121" s="150" t="s">
        <v>273</v>
      </c>
      <c r="D121" s="306">
        <v>2981</v>
      </c>
      <c r="E121" s="154">
        <v>988</v>
      </c>
      <c r="F121" s="153">
        <v>1655</v>
      </c>
      <c r="G121" s="308">
        <v>338</v>
      </c>
      <c r="H121" s="306">
        <v>1905</v>
      </c>
      <c r="I121" s="154">
        <v>246</v>
      </c>
      <c r="J121" s="153">
        <v>1426</v>
      </c>
      <c r="K121" s="308">
        <v>233</v>
      </c>
      <c r="L121" s="300">
        <f t="shared" si="12"/>
        <v>0.63904729956390471</v>
      </c>
      <c r="M121" s="301">
        <f t="shared" si="13"/>
        <v>0.24898785425101214</v>
      </c>
      <c r="N121" s="301">
        <f t="shared" si="14"/>
        <v>0.86163141993957704</v>
      </c>
      <c r="O121" s="302">
        <f t="shared" si="15"/>
        <v>0.68934911242603547</v>
      </c>
    </row>
    <row r="122" spans="1:15" s="142" customFormat="1" ht="15.75" customHeight="1">
      <c r="A122" s="149" t="s">
        <v>201</v>
      </c>
      <c r="B122" s="195" t="s">
        <v>202</v>
      </c>
      <c r="C122" s="150" t="s">
        <v>272</v>
      </c>
      <c r="D122" s="306">
        <v>1492</v>
      </c>
      <c r="E122" s="154">
        <v>1034</v>
      </c>
      <c r="F122" s="153">
        <v>411</v>
      </c>
      <c r="G122" s="308">
        <v>47</v>
      </c>
      <c r="H122" s="306">
        <v>840</v>
      </c>
      <c r="I122" s="154">
        <v>502</v>
      </c>
      <c r="J122" s="153">
        <v>323</v>
      </c>
      <c r="K122" s="308">
        <v>15</v>
      </c>
      <c r="L122" s="300">
        <f t="shared" si="12"/>
        <v>0.5630026809651475</v>
      </c>
      <c r="M122" s="301">
        <f t="shared" si="13"/>
        <v>0.48549323017408125</v>
      </c>
      <c r="N122" s="301">
        <f t="shared" si="14"/>
        <v>0.78588807785888082</v>
      </c>
      <c r="O122" s="302">
        <f t="shared" si="15"/>
        <v>0.31914893617021278</v>
      </c>
    </row>
    <row r="123" spans="1:15" s="142" customFormat="1" ht="15.75" customHeight="1">
      <c r="A123" s="149" t="s">
        <v>223</v>
      </c>
      <c r="B123" s="195" t="s">
        <v>224</v>
      </c>
      <c r="C123" s="150" t="s">
        <v>271</v>
      </c>
      <c r="D123" s="306">
        <v>1117</v>
      </c>
      <c r="E123" s="154">
        <v>591</v>
      </c>
      <c r="F123" s="153">
        <v>458</v>
      </c>
      <c r="G123" s="308">
        <v>68</v>
      </c>
      <c r="H123" s="306">
        <v>435</v>
      </c>
      <c r="I123" s="154">
        <v>119</v>
      </c>
      <c r="J123" s="153">
        <v>301</v>
      </c>
      <c r="K123" s="308">
        <v>15</v>
      </c>
      <c r="L123" s="300">
        <f t="shared" si="12"/>
        <v>0.38943598925693823</v>
      </c>
      <c r="M123" s="301">
        <f t="shared" si="13"/>
        <v>0.20135363790186125</v>
      </c>
      <c r="N123" s="301">
        <f t="shared" si="14"/>
        <v>0.65720524017467252</v>
      </c>
      <c r="O123" s="302">
        <f t="shared" si="15"/>
        <v>0.22058823529411764</v>
      </c>
    </row>
    <row r="124" spans="1:15" s="142" customFormat="1" ht="15.75" customHeight="1">
      <c r="A124" s="149" t="s">
        <v>231</v>
      </c>
      <c r="B124" s="195" t="s">
        <v>232</v>
      </c>
      <c r="C124" s="150" t="s">
        <v>271</v>
      </c>
      <c r="D124" s="306">
        <v>6249</v>
      </c>
      <c r="E124" s="154">
        <v>4141</v>
      </c>
      <c r="F124" s="153">
        <v>1439</v>
      </c>
      <c r="G124" s="308">
        <v>669</v>
      </c>
      <c r="H124" s="306">
        <v>1934</v>
      </c>
      <c r="I124" s="154">
        <v>940</v>
      </c>
      <c r="J124" s="153">
        <v>798</v>
      </c>
      <c r="K124" s="308">
        <v>196</v>
      </c>
      <c r="L124" s="300">
        <f t="shared" si="12"/>
        <v>0.30948951832293164</v>
      </c>
      <c r="M124" s="301">
        <f t="shared" si="13"/>
        <v>0.22699830958705627</v>
      </c>
      <c r="N124" s="301">
        <f t="shared" si="14"/>
        <v>0.55455177206393325</v>
      </c>
      <c r="O124" s="302">
        <f t="shared" si="15"/>
        <v>0.29297458893871448</v>
      </c>
    </row>
    <row r="125" spans="1:15" s="142" customFormat="1" ht="15.75" customHeight="1">
      <c r="A125" s="149" t="s">
        <v>239</v>
      </c>
      <c r="B125" s="195" t="s">
        <v>240</v>
      </c>
      <c r="C125" s="150" t="s">
        <v>271</v>
      </c>
      <c r="D125" s="306">
        <v>80</v>
      </c>
      <c r="E125" s="154">
        <v>52</v>
      </c>
      <c r="F125" s="153">
        <v>17</v>
      </c>
      <c r="G125" s="308">
        <v>11</v>
      </c>
      <c r="H125" s="306">
        <v>31</v>
      </c>
      <c r="I125" s="154">
        <v>12</v>
      </c>
      <c r="J125" s="153">
        <v>14</v>
      </c>
      <c r="K125" s="308">
        <v>5</v>
      </c>
      <c r="L125" s="300">
        <f t="shared" si="12"/>
        <v>0.38750000000000001</v>
      </c>
      <c r="M125" s="301">
        <f t="shared" si="13"/>
        <v>0.23076923076923078</v>
      </c>
      <c r="N125" s="301">
        <f t="shared" si="14"/>
        <v>0.82352941176470584</v>
      </c>
      <c r="O125" s="302">
        <f t="shared" si="15"/>
        <v>0.45454545454545453</v>
      </c>
    </row>
    <row r="126" spans="1:15" s="142" customFormat="1" ht="15.75" customHeight="1">
      <c r="A126" s="155" t="s">
        <v>241</v>
      </c>
      <c r="B126" s="197" t="s">
        <v>242</v>
      </c>
      <c r="C126" s="156" t="s">
        <v>274</v>
      </c>
      <c r="D126" s="313">
        <v>404</v>
      </c>
      <c r="E126" s="158">
        <v>311</v>
      </c>
      <c r="F126" s="157">
        <v>42</v>
      </c>
      <c r="G126" s="314">
        <v>51</v>
      </c>
      <c r="H126" s="313">
        <v>194</v>
      </c>
      <c r="I126" s="158">
        <v>147</v>
      </c>
      <c r="J126" s="157">
        <v>31</v>
      </c>
      <c r="K126" s="315">
        <v>16</v>
      </c>
      <c r="L126" s="303">
        <f t="shared" si="12"/>
        <v>0.48019801980198018</v>
      </c>
      <c r="M126" s="304">
        <f t="shared" si="13"/>
        <v>0.47266881028938906</v>
      </c>
      <c r="N126" s="304">
        <f t="shared" si="14"/>
        <v>0.73809523809523814</v>
      </c>
      <c r="O126" s="305">
        <f t="shared" si="15"/>
        <v>0.31372549019607843</v>
      </c>
    </row>
    <row r="127" spans="1:15" s="142" customFormat="1" ht="15.75" customHeight="1">
      <c r="A127" s="294"/>
      <c r="B127" s="242"/>
      <c r="C127" s="295"/>
      <c r="D127" s="152"/>
      <c r="E127" s="151"/>
      <c r="F127" s="152"/>
      <c r="G127" s="296"/>
      <c r="H127" s="152"/>
      <c r="I127" s="151"/>
      <c r="J127" s="152"/>
      <c r="K127" s="151"/>
      <c r="L127" s="297"/>
      <c r="M127" s="297"/>
      <c r="N127" s="297"/>
      <c r="O127" s="297"/>
    </row>
    <row r="128" spans="1:15" s="142" customFormat="1" ht="15.75" customHeight="1">
      <c r="A128" s="298" t="s">
        <v>970</v>
      </c>
      <c r="B128" s="242"/>
      <c r="C128" s="295"/>
      <c r="D128" s="152"/>
      <c r="E128" s="151"/>
      <c r="F128" s="152"/>
      <c r="G128" s="296"/>
      <c r="H128" s="152"/>
      <c r="I128" s="151"/>
      <c r="J128" s="152"/>
      <c r="K128" s="151"/>
      <c r="L128" s="297"/>
      <c r="M128" s="297"/>
      <c r="N128" s="297"/>
      <c r="O128" s="297"/>
    </row>
    <row r="129" spans="1:15" s="142" customFormat="1" ht="15.75" customHeight="1">
      <c r="A129" s="294" t="s">
        <v>273</v>
      </c>
      <c r="B129" s="242"/>
      <c r="C129" s="295"/>
      <c r="D129" s="306">
        <f t="shared" ref="D129:K129" si="16">D10+D21+D23+D25+D27+D31+D34+D38+D43+D48+D49+D54+D56+D57+D61+D65+D68+D70+D71+D76+D77+D82+D98+D111+D118+D121</f>
        <v>15784</v>
      </c>
      <c r="E129" s="154">
        <f t="shared" si="16"/>
        <v>9010</v>
      </c>
      <c r="F129" s="153">
        <f t="shared" si="16"/>
        <v>5157</v>
      </c>
      <c r="G129" s="307">
        <f t="shared" si="16"/>
        <v>1617</v>
      </c>
      <c r="H129" s="306">
        <f t="shared" si="16"/>
        <v>6938</v>
      </c>
      <c r="I129" s="154">
        <f t="shared" si="16"/>
        <v>2347</v>
      </c>
      <c r="J129" s="153">
        <f t="shared" si="16"/>
        <v>3950</v>
      </c>
      <c r="K129" s="308">
        <f t="shared" si="16"/>
        <v>641</v>
      </c>
      <c r="L129" s="300">
        <f t="shared" ref="L129:O133" si="17">H129/D129</f>
        <v>0.43955904713634059</v>
      </c>
      <c r="M129" s="301">
        <f t="shared" si="17"/>
        <v>0.26048834628190898</v>
      </c>
      <c r="N129" s="301">
        <f t="shared" si="17"/>
        <v>0.76594919526856697</v>
      </c>
      <c r="O129" s="302">
        <f t="shared" si="17"/>
        <v>0.39641311069882501</v>
      </c>
    </row>
    <row r="130" spans="1:15" s="142" customFormat="1" ht="15.75" customHeight="1">
      <c r="A130" s="294" t="s">
        <v>271</v>
      </c>
      <c r="B130" s="242"/>
      <c r="C130" s="295"/>
      <c r="D130" s="306">
        <f t="shared" ref="D130:K130" si="18">D7+D19+D33+D42+D46+D52+D53+D63+D69+D78+D90+D93+D94+D124+D101+D105+D107+D110+D115+D116+D119+D123+D125</f>
        <v>24427</v>
      </c>
      <c r="E130" s="154">
        <f t="shared" si="18"/>
        <v>13554</v>
      </c>
      <c r="F130" s="153">
        <f t="shared" si="18"/>
        <v>8942</v>
      </c>
      <c r="G130" s="307">
        <f t="shared" si="18"/>
        <v>1931</v>
      </c>
      <c r="H130" s="306">
        <f t="shared" si="18"/>
        <v>10366</v>
      </c>
      <c r="I130" s="154">
        <f t="shared" si="18"/>
        <v>3583</v>
      </c>
      <c r="J130" s="153">
        <f t="shared" si="18"/>
        <v>6169</v>
      </c>
      <c r="K130" s="308">
        <f t="shared" si="18"/>
        <v>614</v>
      </c>
      <c r="L130" s="300">
        <f t="shared" si="17"/>
        <v>0.42436647971506941</v>
      </c>
      <c r="M130" s="301">
        <f t="shared" si="17"/>
        <v>0.26435000737789582</v>
      </c>
      <c r="N130" s="301">
        <f t="shared" si="17"/>
        <v>0.68989040483113395</v>
      </c>
      <c r="O130" s="302">
        <f t="shared" si="17"/>
        <v>0.31796996374935266</v>
      </c>
    </row>
    <row r="131" spans="1:15" s="142" customFormat="1" ht="15.75" customHeight="1">
      <c r="A131" s="294" t="s">
        <v>274</v>
      </c>
      <c r="B131" s="242"/>
      <c r="C131" s="295"/>
      <c r="D131" s="306">
        <f t="shared" ref="D131:K131" si="19">D13+D28+D30+D35+D36+D40+D45+D55+D59+D60+D62+D72+D73+D79+D81+D85+D88+D91+D92+D96+D102+D108+D113+D114+D126</f>
        <v>44386</v>
      </c>
      <c r="E131" s="154">
        <f t="shared" si="19"/>
        <v>32084</v>
      </c>
      <c r="F131" s="153">
        <f t="shared" si="19"/>
        <v>5348</v>
      </c>
      <c r="G131" s="307">
        <f t="shared" si="19"/>
        <v>6954</v>
      </c>
      <c r="H131" s="306">
        <f t="shared" si="19"/>
        <v>11754</v>
      </c>
      <c r="I131" s="154">
        <f t="shared" si="19"/>
        <v>8177</v>
      </c>
      <c r="J131" s="153">
        <f t="shared" si="19"/>
        <v>2588</v>
      </c>
      <c r="K131" s="308">
        <f t="shared" si="19"/>
        <v>989</v>
      </c>
      <c r="L131" s="300">
        <f t="shared" si="17"/>
        <v>0.26481322939665658</v>
      </c>
      <c r="M131" s="301">
        <f t="shared" si="17"/>
        <v>0.25486223662884927</v>
      </c>
      <c r="N131" s="301">
        <f t="shared" si="17"/>
        <v>0.48391922213911742</v>
      </c>
      <c r="O131" s="302">
        <f t="shared" si="17"/>
        <v>0.14222030486051193</v>
      </c>
    </row>
    <row r="132" spans="1:15" s="142" customFormat="1" ht="15.75" customHeight="1">
      <c r="A132" s="294" t="s">
        <v>272</v>
      </c>
      <c r="B132" s="242"/>
      <c r="C132" s="295"/>
      <c r="D132" s="306">
        <f t="shared" ref="D132:K132" si="20">D8+D9+D11+D12+D14+D15+D16+D18+D22+D26+D29+D39+D47+D50+D51+D64+D67+D75+D83+D84+D104+D106+D112+D122</f>
        <v>12304</v>
      </c>
      <c r="E132" s="154">
        <f t="shared" si="20"/>
        <v>9479</v>
      </c>
      <c r="F132" s="153">
        <f t="shared" si="20"/>
        <v>2438</v>
      </c>
      <c r="G132" s="307">
        <f t="shared" si="20"/>
        <v>387</v>
      </c>
      <c r="H132" s="306">
        <f t="shared" si="20"/>
        <v>5213</v>
      </c>
      <c r="I132" s="154">
        <f t="shared" si="20"/>
        <v>3254</v>
      </c>
      <c r="J132" s="153">
        <f t="shared" si="20"/>
        <v>1871</v>
      </c>
      <c r="K132" s="308">
        <f t="shared" si="20"/>
        <v>88</v>
      </c>
      <c r="L132" s="300">
        <f t="shared" si="17"/>
        <v>0.42368335500650195</v>
      </c>
      <c r="M132" s="301">
        <f t="shared" si="17"/>
        <v>0.34328515666209514</v>
      </c>
      <c r="N132" s="301">
        <f t="shared" si="17"/>
        <v>0.76743232157506147</v>
      </c>
      <c r="O132" s="302">
        <f t="shared" si="17"/>
        <v>0.22739018087855298</v>
      </c>
    </row>
    <row r="133" spans="1:15" s="142" customFormat="1" ht="15.75" customHeight="1">
      <c r="A133" s="294" t="s">
        <v>275</v>
      </c>
      <c r="B133" s="242"/>
      <c r="C133" s="295"/>
      <c r="D133" s="306">
        <f t="shared" ref="D133:K133" si="21">D17+D20+D24+D32+D37+D41+D44+D58+D66+D74+D80+D86+D87+D89+D95+D97+D99+D100+D103+D109+D117+D120</f>
        <v>5624</v>
      </c>
      <c r="E133" s="154">
        <f t="shared" si="21"/>
        <v>5376</v>
      </c>
      <c r="F133" s="153">
        <f t="shared" si="21"/>
        <v>130</v>
      </c>
      <c r="G133" s="307">
        <f t="shared" si="21"/>
        <v>118</v>
      </c>
      <c r="H133" s="306">
        <f t="shared" si="21"/>
        <v>2119</v>
      </c>
      <c r="I133" s="154">
        <f t="shared" si="21"/>
        <v>1992</v>
      </c>
      <c r="J133" s="153">
        <f t="shared" si="21"/>
        <v>96</v>
      </c>
      <c r="K133" s="308">
        <f t="shared" si="21"/>
        <v>31</v>
      </c>
      <c r="L133" s="300">
        <f t="shared" si="17"/>
        <v>0.37677809388335703</v>
      </c>
      <c r="M133" s="301">
        <f t="shared" si="17"/>
        <v>0.3705357142857143</v>
      </c>
      <c r="N133" s="301">
        <f t="shared" si="17"/>
        <v>0.7384615384615385</v>
      </c>
      <c r="O133" s="302">
        <f t="shared" si="17"/>
        <v>0.26271186440677968</v>
      </c>
    </row>
    <row r="134" spans="1:15" s="142" customFormat="1" ht="15.75" customHeight="1">
      <c r="A134" s="294"/>
      <c r="B134" s="242"/>
      <c r="C134" s="295"/>
      <c r="D134" s="152"/>
      <c r="E134" s="151"/>
      <c r="F134" s="152"/>
      <c r="G134" s="296"/>
      <c r="H134" s="152"/>
      <c r="I134" s="151"/>
      <c r="J134" s="152"/>
      <c r="K134" s="151"/>
      <c r="L134" s="297"/>
      <c r="M134" s="297"/>
      <c r="N134" s="297"/>
      <c r="O134" s="297"/>
    </row>
    <row r="135" spans="1:15" ht="18" customHeight="1">
      <c r="A135" s="1702" t="s">
        <v>867</v>
      </c>
      <c r="B135" s="1702"/>
      <c r="C135" s="1702"/>
      <c r="D135" s="1702"/>
      <c r="E135" s="1702"/>
      <c r="F135" s="1702"/>
      <c r="G135" s="1702"/>
    </row>
    <row r="136" spans="1:15" s="191" customFormat="1" ht="12.75">
      <c r="A136" s="191" t="s">
        <v>249</v>
      </c>
    </row>
    <row r="137" spans="1:15" s="191" customFormat="1" ht="12.75">
      <c r="A137" s="198" t="s">
        <v>250</v>
      </c>
      <c r="B137" s="173" t="s">
        <v>251</v>
      </c>
    </row>
  </sheetData>
  <mergeCells count="9">
    <mergeCell ref="H4:K4"/>
    <mergeCell ref="L4:O4"/>
    <mergeCell ref="H3:O3"/>
    <mergeCell ref="A135:G135"/>
    <mergeCell ref="E2:G2"/>
    <mergeCell ref="A4:A5"/>
    <mergeCell ref="B4:B5"/>
    <mergeCell ref="C4:C5"/>
    <mergeCell ref="D4:G4"/>
  </mergeCells>
  <hyperlinks>
    <hyperlink ref="B137" r:id="rId1"/>
  </hyperlinks>
  <pageMargins left="0.7" right="0.7" top="0.75" bottom="0.75" header="0.3" footer="0.3"/>
</worksheet>
</file>

<file path=xl/worksheets/sheet42.xml><?xml version="1.0" encoding="utf-8"?>
<worksheet xmlns="http://schemas.openxmlformats.org/spreadsheetml/2006/main" xmlns:r="http://schemas.openxmlformats.org/officeDocument/2006/relationships">
  <dimension ref="A1:Q138"/>
  <sheetViews>
    <sheetView workbookViewId="0">
      <pane ySplit="6" topLeftCell="A7" activePane="bottomLeft" state="frozen"/>
      <selection pane="bottomLeft" activeCell="A129" sqref="A129:A133"/>
    </sheetView>
  </sheetViews>
  <sheetFormatPr defaultRowHeight="12.75"/>
  <cols>
    <col min="1" max="1" width="7.625" style="228" customWidth="1"/>
    <col min="2" max="2" width="26.375" style="226" customWidth="1"/>
    <col min="3" max="3" width="9.25" style="226" customWidth="1"/>
    <col min="4" max="4" width="1.75" style="226" customWidth="1"/>
    <col min="5" max="7" width="10.875" style="227" customWidth="1"/>
    <col min="8" max="8" width="1.375" style="227" customWidth="1"/>
    <col min="9" max="10" width="13.5" style="228" customWidth="1"/>
    <col min="11" max="11" width="2.625" style="228" customWidth="1"/>
    <col min="12" max="14" width="10.375" style="228" customWidth="1"/>
    <col min="15" max="15" width="2.125" style="228" customWidth="1"/>
    <col min="16" max="17" width="10.375" style="228" customWidth="1"/>
    <col min="18" max="16384" width="9" style="228"/>
  </cols>
  <sheetData>
    <row r="1" spans="1:17" ht="15.75">
      <c r="A1" s="64" t="s">
        <v>843</v>
      </c>
    </row>
    <row r="3" spans="1:17">
      <c r="B3" s="228"/>
      <c r="C3" s="228"/>
      <c r="D3" s="228"/>
    </row>
    <row r="4" spans="1:17" ht="44.25" customHeight="1">
      <c r="E4" s="1714" t="s">
        <v>844</v>
      </c>
      <c r="F4" s="1714"/>
      <c r="G4" s="1714"/>
      <c r="H4" s="170"/>
      <c r="I4" s="1714" t="s">
        <v>845</v>
      </c>
      <c r="J4" s="1714"/>
      <c r="L4" s="1714" t="s">
        <v>852</v>
      </c>
      <c r="M4" s="1714"/>
      <c r="N4" s="1714"/>
      <c r="O4" s="170"/>
      <c r="P4" s="1714" t="s">
        <v>853</v>
      </c>
      <c r="Q4" s="1714"/>
    </row>
    <row r="5" spans="1:17">
      <c r="A5" s="229" t="s">
        <v>4</v>
      </c>
      <c r="B5" s="230" t="s">
        <v>846</v>
      </c>
      <c r="C5" s="230" t="s">
        <v>252</v>
      </c>
      <c r="D5" s="231"/>
      <c r="E5" s="184" t="s">
        <v>289</v>
      </c>
      <c r="F5" s="185" t="s">
        <v>837</v>
      </c>
      <c r="G5" s="183" t="s">
        <v>847</v>
      </c>
      <c r="H5" s="170"/>
      <c r="I5" s="184" t="s">
        <v>837</v>
      </c>
      <c r="J5" s="183" t="s">
        <v>847</v>
      </c>
      <c r="L5" s="184" t="s">
        <v>289</v>
      </c>
      <c r="M5" s="185" t="s">
        <v>837</v>
      </c>
      <c r="N5" s="183" t="s">
        <v>847</v>
      </c>
      <c r="O5" s="170"/>
      <c r="P5" s="184" t="s">
        <v>837</v>
      </c>
      <c r="Q5" s="183" t="s">
        <v>847</v>
      </c>
    </row>
    <row r="6" spans="1:17">
      <c r="A6" s="232" t="s">
        <v>8</v>
      </c>
      <c r="B6" s="233" t="s">
        <v>9</v>
      </c>
      <c r="C6" s="233"/>
      <c r="D6" s="234"/>
      <c r="E6" s="235">
        <v>1688168</v>
      </c>
      <c r="F6" s="236">
        <v>1534844</v>
      </c>
      <c r="G6" s="237">
        <v>153324</v>
      </c>
      <c r="H6" s="170"/>
      <c r="I6" s="238">
        <f>F6/E6</f>
        <v>0.90917728567298994</v>
      </c>
      <c r="J6" s="239">
        <f>G6/E6</f>
        <v>9.0822714327010112E-2</v>
      </c>
      <c r="K6" s="65"/>
      <c r="L6" s="235">
        <v>698173</v>
      </c>
      <c r="M6" s="236">
        <v>644610</v>
      </c>
      <c r="N6" s="237">
        <v>53563</v>
      </c>
      <c r="O6" s="240"/>
      <c r="P6" s="238">
        <f>M6/L6</f>
        <v>0.92328119248381135</v>
      </c>
      <c r="Q6" s="239">
        <f>N6/L6</f>
        <v>7.6718807516188675E-2</v>
      </c>
    </row>
    <row r="7" spans="1:17">
      <c r="A7" s="241" t="s">
        <v>10</v>
      </c>
      <c r="B7" s="242" t="s">
        <v>11</v>
      </c>
      <c r="C7" s="243" t="s">
        <v>271</v>
      </c>
      <c r="D7" s="243"/>
      <c r="E7" s="244">
        <v>7353</v>
      </c>
      <c r="F7" s="245">
        <v>6603</v>
      </c>
      <c r="G7" s="246">
        <v>750</v>
      </c>
      <c r="I7" s="247">
        <f t="shared" ref="I7:I70" si="0">F7/E7</f>
        <v>0.89800081599347203</v>
      </c>
      <c r="J7" s="248">
        <f t="shared" ref="J7:J70" si="1">G7/E7</f>
        <v>0.10199918400652795</v>
      </c>
      <c r="L7" s="249">
        <v>2269</v>
      </c>
      <c r="M7" s="249">
        <v>1955</v>
      </c>
      <c r="N7" s="249">
        <v>314</v>
      </c>
      <c r="P7" s="250">
        <f t="shared" ref="P7:P70" si="2">M7/L7</f>
        <v>0.86161304539444694</v>
      </c>
      <c r="Q7" s="250">
        <f t="shared" ref="Q7:Q70" si="3">N7/L7</f>
        <v>0.13838695460555311</v>
      </c>
    </row>
    <row r="8" spans="1:17">
      <c r="A8" s="241" t="s">
        <v>12</v>
      </c>
      <c r="B8" s="242" t="s">
        <v>13</v>
      </c>
      <c r="C8" s="243" t="s">
        <v>272</v>
      </c>
      <c r="D8" s="243"/>
      <c r="E8" s="244">
        <v>21565</v>
      </c>
      <c r="F8" s="245">
        <v>19600</v>
      </c>
      <c r="G8" s="246">
        <v>1965</v>
      </c>
      <c r="I8" s="247">
        <f t="shared" si="0"/>
        <v>0.90888012984001854</v>
      </c>
      <c r="J8" s="248">
        <f t="shared" si="1"/>
        <v>9.111987015998145E-2</v>
      </c>
      <c r="L8" s="249">
        <v>8644</v>
      </c>
      <c r="M8" s="249">
        <v>8018</v>
      </c>
      <c r="N8" s="249">
        <v>626</v>
      </c>
      <c r="P8" s="250">
        <f t="shared" si="2"/>
        <v>0.92757982415548357</v>
      </c>
      <c r="Q8" s="250">
        <f t="shared" si="3"/>
        <v>7.2420175844516432E-2</v>
      </c>
    </row>
    <row r="9" spans="1:17">
      <c r="A9" s="241" t="s">
        <v>16</v>
      </c>
      <c r="B9" s="242" t="s">
        <v>307</v>
      </c>
      <c r="C9" s="243" t="s">
        <v>272</v>
      </c>
      <c r="D9" s="243"/>
      <c r="E9" s="244">
        <v>5221</v>
      </c>
      <c r="F9" s="245">
        <v>4691</v>
      </c>
      <c r="G9" s="246">
        <v>530</v>
      </c>
      <c r="I9" s="247">
        <f t="shared" si="0"/>
        <v>0.89848687990806364</v>
      </c>
      <c r="J9" s="248">
        <f t="shared" si="1"/>
        <v>0.10151312009193642</v>
      </c>
      <c r="L9" s="249">
        <v>1779</v>
      </c>
      <c r="M9" s="249">
        <v>1555</v>
      </c>
      <c r="N9" s="249">
        <v>224</v>
      </c>
      <c r="P9" s="250">
        <f t="shared" si="2"/>
        <v>0.87408656548622821</v>
      </c>
      <c r="Q9" s="250">
        <f t="shared" si="3"/>
        <v>0.12591343451377179</v>
      </c>
    </row>
    <row r="10" spans="1:17">
      <c r="A10" s="241" t="s">
        <v>18</v>
      </c>
      <c r="B10" s="242" t="s">
        <v>19</v>
      </c>
      <c r="C10" s="243" t="s">
        <v>273</v>
      </c>
      <c r="D10" s="243"/>
      <c r="E10" s="244">
        <v>3038</v>
      </c>
      <c r="F10" s="245">
        <v>2770</v>
      </c>
      <c r="G10" s="246">
        <v>268</v>
      </c>
      <c r="I10" s="247">
        <f t="shared" si="0"/>
        <v>0.91178406846609616</v>
      </c>
      <c r="J10" s="248">
        <f t="shared" si="1"/>
        <v>8.8215931533903891E-2</v>
      </c>
      <c r="L10" s="249">
        <v>1040</v>
      </c>
      <c r="M10" s="249">
        <v>937</v>
      </c>
      <c r="N10" s="249">
        <v>103</v>
      </c>
      <c r="P10" s="250">
        <f t="shared" si="2"/>
        <v>0.90096153846153848</v>
      </c>
      <c r="Q10" s="250">
        <f t="shared" si="3"/>
        <v>9.9038461538461534E-2</v>
      </c>
    </row>
    <row r="11" spans="1:17">
      <c r="A11" s="241" t="s">
        <v>20</v>
      </c>
      <c r="B11" s="242" t="s">
        <v>21</v>
      </c>
      <c r="C11" s="243" t="s">
        <v>272</v>
      </c>
      <c r="D11" s="243"/>
      <c r="E11" s="244">
        <v>7187</v>
      </c>
      <c r="F11" s="245">
        <v>6499</v>
      </c>
      <c r="G11" s="246">
        <v>688</v>
      </c>
      <c r="I11" s="247">
        <f t="shared" si="0"/>
        <v>0.90427160150271324</v>
      </c>
      <c r="J11" s="248">
        <f t="shared" si="1"/>
        <v>9.5728398497286774E-2</v>
      </c>
      <c r="L11" s="249">
        <v>2536</v>
      </c>
      <c r="M11" s="249">
        <v>2238</v>
      </c>
      <c r="N11" s="249">
        <v>298</v>
      </c>
      <c r="P11" s="250">
        <f t="shared" si="2"/>
        <v>0.88249211356466872</v>
      </c>
      <c r="Q11" s="250">
        <f t="shared" si="3"/>
        <v>0.11750788643533124</v>
      </c>
    </row>
    <row r="12" spans="1:17">
      <c r="A12" s="241" t="s">
        <v>22</v>
      </c>
      <c r="B12" s="242" t="s">
        <v>23</v>
      </c>
      <c r="C12" s="243" t="s">
        <v>272</v>
      </c>
      <c r="D12" s="243"/>
      <c r="E12" s="244">
        <v>3614</v>
      </c>
      <c r="F12" s="245">
        <v>3301</v>
      </c>
      <c r="G12" s="246">
        <v>313</v>
      </c>
      <c r="I12" s="247">
        <f t="shared" si="0"/>
        <v>0.91339236303265081</v>
      </c>
      <c r="J12" s="248">
        <f t="shared" si="1"/>
        <v>8.6607636967349202E-2</v>
      </c>
      <c r="L12" s="249">
        <v>1230</v>
      </c>
      <c r="M12" s="249">
        <v>1092</v>
      </c>
      <c r="N12" s="249">
        <v>138</v>
      </c>
      <c r="P12" s="250">
        <f t="shared" si="2"/>
        <v>0.8878048780487805</v>
      </c>
      <c r="Q12" s="250">
        <f t="shared" si="3"/>
        <v>0.11219512195121951</v>
      </c>
    </row>
    <row r="13" spans="1:17">
      <c r="A13" s="241" t="s">
        <v>24</v>
      </c>
      <c r="B13" s="242" t="s">
        <v>25</v>
      </c>
      <c r="C13" s="243" t="s">
        <v>274</v>
      </c>
      <c r="D13" s="243"/>
      <c r="E13" s="244">
        <v>38502</v>
      </c>
      <c r="F13" s="245">
        <v>33218</v>
      </c>
      <c r="G13" s="246">
        <v>5284</v>
      </c>
      <c r="I13" s="247">
        <f t="shared" si="0"/>
        <v>0.86276037608435929</v>
      </c>
      <c r="J13" s="248">
        <f t="shared" si="1"/>
        <v>0.13723962391564073</v>
      </c>
      <c r="L13" s="249">
        <v>14733</v>
      </c>
      <c r="M13" s="249">
        <v>14228</v>
      </c>
      <c r="N13" s="249">
        <v>505</v>
      </c>
      <c r="P13" s="250">
        <f t="shared" si="2"/>
        <v>0.96572320640738474</v>
      </c>
      <c r="Q13" s="250">
        <f t="shared" si="3"/>
        <v>3.4276793592615221E-2</v>
      </c>
    </row>
    <row r="14" spans="1:17">
      <c r="A14" s="241" t="s">
        <v>26</v>
      </c>
      <c r="B14" s="242" t="s">
        <v>908</v>
      </c>
      <c r="C14" s="243" t="s">
        <v>272</v>
      </c>
      <c r="D14" s="243"/>
      <c r="E14" s="244">
        <v>27621</v>
      </c>
      <c r="F14" s="245">
        <v>24834</v>
      </c>
      <c r="G14" s="246">
        <v>2787</v>
      </c>
      <c r="I14" s="247">
        <f t="shared" si="0"/>
        <v>0.89909851200173785</v>
      </c>
      <c r="J14" s="248">
        <f t="shared" si="1"/>
        <v>0.10090148799826219</v>
      </c>
      <c r="L14" s="249">
        <v>9620</v>
      </c>
      <c r="M14" s="249">
        <v>8571</v>
      </c>
      <c r="N14" s="249">
        <v>1049</v>
      </c>
      <c r="P14" s="250">
        <f t="shared" si="2"/>
        <v>0.89095634095634091</v>
      </c>
      <c r="Q14" s="250">
        <f t="shared" si="3"/>
        <v>0.10904365904365905</v>
      </c>
    </row>
    <row r="15" spans="1:17">
      <c r="A15" s="241" t="s">
        <v>27</v>
      </c>
      <c r="B15" s="242" t="s">
        <v>28</v>
      </c>
      <c r="C15" s="243" t="s">
        <v>272</v>
      </c>
      <c r="D15" s="243"/>
      <c r="E15" s="244">
        <v>1205</v>
      </c>
      <c r="F15" s="245">
        <v>1090</v>
      </c>
      <c r="G15" s="246">
        <v>115</v>
      </c>
      <c r="I15" s="247">
        <f t="shared" si="0"/>
        <v>0.9045643153526971</v>
      </c>
      <c r="J15" s="248">
        <f t="shared" si="1"/>
        <v>9.5435684647302899E-2</v>
      </c>
      <c r="L15" s="249">
        <v>355</v>
      </c>
      <c r="M15" s="249">
        <v>322</v>
      </c>
      <c r="N15" s="249">
        <v>33</v>
      </c>
      <c r="P15" s="250">
        <f t="shared" si="2"/>
        <v>0.90704225352112677</v>
      </c>
      <c r="Q15" s="250">
        <f t="shared" si="3"/>
        <v>9.295774647887324E-2</v>
      </c>
    </row>
    <row r="16" spans="1:17">
      <c r="A16" s="241" t="s">
        <v>29</v>
      </c>
      <c r="B16" s="242" t="s">
        <v>804</v>
      </c>
      <c r="C16" s="243" t="s">
        <v>272</v>
      </c>
      <c r="D16" s="243"/>
      <c r="E16" s="244">
        <v>19414</v>
      </c>
      <c r="F16" s="245">
        <v>18072</v>
      </c>
      <c r="G16" s="246">
        <v>1342</v>
      </c>
      <c r="I16" s="247">
        <f t="shared" si="0"/>
        <v>0.93087462655815389</v>
      </c>
      <c r="J16" s="248">
        <f t="shared" si="1"/>
        <v>6.9125373441846091E-2</v>
      </c>
      <c r="L16" s="249">
        <v>6823</v>
      </c>
      <c r="M16" s="249">
        <v>6351</v>
      </c>
      <c r="N16" s="249">
        <v>472</v>
      </c>
      <c r="P16" s="250">
        <f t="shared" si="2"/>
        <v>0.93082221896526451</v>
      </c>
      <c r="Q16" s="250">
        <f t="shared" si="3"/>
        <v>6.9177781034735458E-2</v>
      </c>
    </row>
    <row r="17" spans="1:17">
      <c r="A17" s="241" t="s">
        <v>31</v>
      </c>
      <c r="B17" s="242" t="s">
        <v>32</v>
      </c>
      <c r="C17" s="243" t="s">
        <v>275</v>
      </c>
      <c r="D17" s="243"/>
      <c r="E17" s="244">
        <v>1613</v>
      </c>
      <c r="F17" s="245">
        <v>1499</v>
      </c>
      <c r="G17" s="246">
        <v>114</v>
      </c>
      <c r="I17" s="247">
        <f t="shared" si="0"/>
        <v>0.92932424054556728</v>
      </c>
      <c r="J17" s="248">
        <f t="shared" si="1"/>
        <v>7.0675759454432732E-2</v>
      </c>
      <c r="L17" s="249">
        <v>486</v>
      </c>
      <c r="M17" s="249">
        <v>451</v>
      </c>
      <c r="N17" s="249">
        <v>35</v>
      </c>
      <c r="P17" s="250">
        <f t="shared" si="2"/>
        <v>0.92798353909465026</v>
      </c>
      <c r="Q17" s="250">
        <f t="shared" si="3"/>
        <v>7.2016460905349799E-2</v>
      </c>
    </row>
    <row r="18" spans="1:17">
      <c r="A18" s="241" t="s">
        <v>33</v>
      </c>
      <c r="B18" s="242" t="s">
        <v>34</v>
      </c>
      <c r="C18" s="243" t="s">
        <v>272</v>
      </c>
      <c r="D18" s="243"/>
      <c r="E18" s="244">
        <v>8784</v>
      </c>
      <c r="F18" s="245">
        <v>8271</v>
      </c>
      <c r="G18" s="246">
        <v>513</v>
      </c>
      <c r="I18" s="247">
        <f t="shared" si="0"/>
        <v>0.94159836065573765</v>
      </c>
      <c r="J18" s="248">
        <f t="shared" si="1"/>
        <v>5.8401639344262297E-2</v>
      </c>
      <c r="L18" s="249">
        <v>3140</v>
      </c>
      <c r="M18" s="249">
        <v>2972</v>
      </c>
      <c r="N18" s="249">
        <v>168</v>
      </c>
      <c r="P18" s="250">
        <f t="shared" si="2"/>
        <v>0.94649681528662422</v>
      </c>
      <c r="Q18" s="250">
        <f t="shared" si="3"/>
        <v>5.3503184713375798E-2</v>
      </c>
    </row>
    <row r="19" spans="1:17">
      <c r="A19" s="241" t="s">
        <v>37</v>
      </c>
      <c r="B19" s="242" t="s">
        <v>38</v>
      </c>
      <c r="C19" s="243" t="s">
        <v>271</v>
      </c>
      <c r="D19" s="243"/>
      <c r="E19" s="244">
        <v>3029</v>
      </c>
      <c r="F19" s="245">
        <v>2666</v>
      </c>
      <c r="G19" s="246">
        <v>363</v>
      </c>
      <c r="I19" s="247">
        <f t="shared" si="0"/>
        <v>0.88015846814130072</v>
      </c>
      <c r="J19" s="248">
        <f t="shared" si="1"/>
        <v>0.11984153185869924</v>
      </c>
      <c r="L19" s="249">
        <v>913</v>
      </c>
      <c r="M19" s="249">
        <v>741</v>
      </c>
      <c r="N19" s="249">
        <v>172</v>
      </c>
      <c r="P19" s="250">
        <f t="shared" si="2"/>
        <v>0.81161007667031759</v>
      </c>
      <c r="Q19" s="250">
        <f t="shared" si="3"/>
        <v>0.18838992332968238</v>
      </c>
    </row>
    <row r="20" spans="1:17">
      <c r="A20" s="241" t="s">
        <v>39</v>
      </c>
      <c r="B20" s="242" t="s">
        <v>40</v>
      </c>
      <c r="C20" s="243" t="s">
        <v>275</v>
      </c>
      <c r="D20" s="243"/>
      <c r="E20" s="244">
        <v>5701</v>
      </c>
      <c r="F20" s="245">
        <v>5346</v>
      </c>
      <c r="G20" s="246">
        <v>355</v>
      </c>
      <c r="I20" s="247">
        <f t="shared" si="0"/>
        <v>0.9377302227679355</v>
      </c>
      <c r="J20" s="248">
        <f t="shared" si="1"/>
        <v>6.2269777232064553E-2</v>
      </c>
      <c r="L20" s="249">
        <v>1790</v>
      </c>
      <c r="M20" s="249">
        <v>1644</v>
      </c>
      <c r="N20" s="249">
        <v>146</v>
      </c>
      <c r="P20" s="250">
        <f t="shared" si="2"/>
        <v>0.91843575418994416</v>
      </c>
      <c r="Q20" s="250">
        <f t="shared" si="3"/>
        <v>8.1564245810055863E-2</v>
      </c>
    </row>
    <row r="21" spans="1:17">
      <c r="A21" s="241" t="s">
        <v>41</v>
      </c>
      <c r="B21" s="242" t="s">
        <v>42</v>
      </c>
      <c r="C21" s="243" t="s">
        <v>273</v>
      </c>
      <c r="D21" s="243"/>
      <c r="E21" s="244">
        <v>3271</v>
      </c>
      <c r="F21" s="245">
        <v>2867</v>
      </c>
      <c r="G21" s="246">
        <v>404</v>
      </c>
      <c r="I21" s="247">
        <f t="shared" si="0"/>
        <v>0.87649036991745644</v>
      </c>
      <c r="J21" s="248">
        <f t="shared" si="1"/>
        <v>0.12350963008254356</v>
      </c>
      <c r="L21" s="249">
        <v>1127</v>
      </c>
      <c r="M21" s="249">
        <v>949</v>
      </c>
      <c r="N21" s="249">
        <v>178</v>
      </c>
      <c r="P21" s="250">
        <f t="shared" si="2"/>
        <v>0.84205856255545697</v>
      </c>
      <c r="Q21" s="250">
        <f t="shared" si="3"/>
        <v>0.15794143744454303</v>
      </c>
    </row>
    <row r="22" spans="1:17">
      <c r="A22" s="241" t="s">
        <v>43</v>
      </c>
      <c r="B22" s="242" t="s">
        <v>44</v>
      </c>
      <c r="C22" s="243" t="s">
        <v>272</v>
      </c>
      <c r="D22" s="243"/>
      <c r="E22" s="244">
        <v>12666</v>
      </c>
      <c r="F22" s="245">
        <v>11598</v>
      </c>
      <c r="G22" s="246">
        <v>1068</v>
      </c>
      <c r="I22" s="247">
        <f t="shared" si="0"/>
        <v>0.91567977261961153</v>
      </c>
      <c r="J22" s="248">
        <f t="shared" si="1"/>
        <v>8.4320227380388441E-2</v>
      </c>
      <c r="L22" s="249">
        <v>4621</v>
      </c>
      <c r="M22" s="249">
        <v>4181</v>
      </c>
      <c r="N22" s="249">
        <v>440</v>
      </c>
      <c r="P22" s="250">
        <f t="shared" si="2"/>
        <v>0.90478251460722792</v>
      </c>
      <c r="Q22" s="250">
        <f t="shared" si="3"/>
        <v>9.5217485392772125E-2</v>
      </c>
    </row>
    <row r="23" spans="1:17">
      <c r="A23" s="241" t="s">
        <v>45</v>
      </c>
      <c r="B23" s="242" t="s">
        <v>46</v>
      </c>
      <c r="C23" s="243" t="s">
        <v>273</v>
      </c>
      <c r="D23" s="243"/>
      <c r="E23" s="244">
        <v>6213</v>
      </c>
      <c r="F23" s="245">
        <v>5487</v>
      </c>
      <c r="G23" s="246">
        <v>726</v>
      </c>
      <c r="I23" s="247">
        <f t="shared" si="0"/>
        <v>0.88314823756639305</v>
      </c>
      <c r="J23" s="248">
        <f t="shared" si="1"/>
        <v>0.11685176243360695</v>
      </c>
      <c r="L23" s="249">
        <v>2422</v>
      </c>
      <c r="M23" s="249">
        <v>2104</v>
      </c>
      <c r="N23" s="249">
        <v>318</v>
      </c>
      <c r="P23" s="250">
        <f t="shared" si="2"/>
        <v>0.86870355078447559</v>
      </c>
      <c r="Q23" s="250">
        <f t="shared" si="3"/>
        <v>0.13129644921552436</v>
      </c>
    </row>
    <row r="24" spans="1:17">
      <c r="A24" s="241" t="s">
        <v>47</v>
      </c>
      <c r="B24" s="242" t="s">
        <v>48</v>
      </c>
      <c r="C24" s="243" t="s">
        <v>275</v>
      </c>
      <c r="D24" s="243"/>
      <c r="E24" s="244">
        <v>7489</v>
      </c>
      <c r="F24" s="245">
        <v>6888</v>
      </c>
      <c r="G24" s="246">
        <v>601</v>
      </c>
      <c r="I24" s="247">
        <f t="shared" si="0"/>
        <v>0.91974896514888504</v>
      </c>
      <c r="J24" s="248">
        <f t="shared" si="1"/>
        <v>8.0251034851114969E-2</v>
      </c>
      <c r="L24" s="249">
        <v>2421</v>
      </c>
      <c r="M24" s="249">
        <v>2165</v>
      </c>
      <c r="N24" s="249">
        <v>256</v>
      </c>
      <c r="P24" s="250">
        <f t="shared" si="2"/>
        <v>0.89425857083849647</v>
      </c>
      <c r="Q24" s="250">
        <f t="shared" si="3"/>
        <v>0.10574142916150352</v>
      </c>
    </row>
    <row r="25" spans="1:17">
      <c r="A25" s="241" t="s">
        <v>49</v>
      </c>
      <c r="B25" s="242" t="s">
        <v>276</v>
      </c>
      <c r="C25" s="243" t="s">
        <v>273</v>
      </c>
      <c r="D25" s="243"/>
      <c r="E25" s="244">
        <v>1642</v>
      </c>
      <c r="F25" s="245">
        <v>1485</v>
      </c>
      <c r="G25" s="246">
        <v>157</v>
      </c>
      <c r="I25" s="247">
        <f t="shared" si="0"/>
        <v>0.90438489646772224</v>
      </c>
      <c r="J25" s="248">
        <f t="shared" si="1"/>
        <v>9.5615103532277715E-2</v>
      </c>
      <c r="L25" s="249">
        <v>444</v>
      </c>
      <c r="M25" s="249">
        <v>392</v>
      </c>
      <c r="N25" s="249">
        <v>52</v>
      </c>
      <c r="P25" s="250">
        <f t="shared" si="2"/>
        <v>0.88288288288288286</v>
      </c>
      <c r="Q25" s="250">
        <f t="shared" si="3"/>
        <v>0.11711711711711711</v>
      </c>
    </row>
    <row r="26" spans="1:17">
      <c r="A26" s="241" t="s">
        <v>51</v>
      </c>
      <c r="B26" s="242" t="s">
        <v>52</v>
      </c>
      <c r="C26" s="243" t="s">
        <v>272</v>
      </c>
      <c r="D26" s="243"/>
      <c r="E26" s="244">
        <v>2715</v>
      </c>
      <c r="F26" s="245">
        <v>2463</v>
      </c>
      <c r="G26" s="246">
        <v>252</v>
      </c>
      <c r="I26" s="247">
        <f t="shared" si="0"/>
        <v>0.90718232044198899</v>
      </c>
      <c r="J26" s="248">
        <f t="shared" si="1"/>
        <v>9.2817679558011054E-2</v>
      </c>
      <c r="L26" s="249">
        <v>903</v>
      </c>
      <c r="M26" s="249">
        <v>811</v>
      </c>
      <c r="N26" s="249">
        <v>92</v>
      </c>
      <c r="P26" s="250">
        <f t="shared" si="2"/>
        <v>0.89811738648947947</v>
      </c>
      <c r="Q26" s="250">
        <f t="shared" si="3"/>
        <v>0.10188261351052048</v>
      </c>
    </row>
    <row r="27" spans="1:17">
      <c r="A27" s="241" t="s">
        <v>57</v>
      </c>
      <c r="B27" s="242" t="s">
        <v>305</v>
      </c>
      <c r="C27" s="243" t="s">
        <v>273</v>
      </c>
      <c r="D27" s="243"/>
      <c r="E27" s="244">
        <v>75033</v>
      </c>
      <c r="F27" s="245">
        <v>69143</v>
      </c>
      <c r="G27" s="246">
        <v>5890</v>
      </c>
      <c r="I27" s="247">
        <f t="shared" si="0"/>
        <v>0.92150120613596687</v>
      </c>
      <c r="J27" s="248">
        <f t="shared" si="1"/>
        <v>7.8498793864033162E-2</v>
      </c>
      <c r="L27" s="249">
        <v>33204</v>
      </c>
      <c r="M27" s="249">
        <v>30858</v>
      </c>
      <c r="N27" s="249">
        <v>2346</v>
      </c>
      <c r="P27" s="250">
        <f t="shared" si="2"/>
        <v>0.9293458619443441</v>
      </c>
      <c r="Q27" s="250">
        <f t="shared" si="3"/>
        <v>7.0654138055655943E-2</v>
      </c>
    </row>
    <row r="28" spans="1:17">
      <c r="A28" s="241" t="s">
        <v>59</v>
      </c>
      <c r="B28" s="242" t="s">
        <v>60</v>
      </c>
      <c r="C28" s="243" t="s">
        <v>274</v>
      </c>
      <c r="D28" s="243"/>
      <c r="E28" s="244">
        <v>3385</v>
      </c>
      <c r="F28" s="245">
        <v>3091</v>
      </c>
      <c r="G28" s="246">
        <v>294</v>
      </c>
      <c r="I28" s="247">
        <f t="shared" si="0"/>
        <v>0.91314623338257017</v>
      </c>
      <c r="J28" s="248">
        <f t="shared" si="1"/>
        <v>8.6853766617429842E-2</v>
      </c>
      <c r="L28" s="249">
        <v>1282</v>
      </c>
      <c r="M28" s="249">
        <v>1196</v>
      </c>
      <c r="N28" s="249">
        <v>86</v>
      </c>
      <c r="P28" s="250">
        <f t="shared" si="2"/>
        <v>0.93291731669266775</v>
      </c>
      <c r="Q28" s="250">
        <f t="shared" si="3"/>
        <v>6.7082683307332289E-2</v>
      </c>
    </row>
    <row r="29" spans="1:17">
      <c r="A29" s="241" t="s">
        <v>61</v>
      </c>
      <c r="B29" s="242" t="s">
        <v>62</v>
      </c>
      <c r="C29" s="243" t="s">
        <v>272</v>
      </c>
      <c r="D29" s="243"/>
      <c r="E29" s="244">
        <v>1331</v>
      </c>
      <c r="F29" s="245">
        <v>1222</v>
      </c>
      <c r="G29" s="246">
        <v>109</v>
      </c>
      <c r="I29" s="247">
        <f t="shared" si="0"/>
        <v>0.91810668670172801</v>
      </c>
      <c r="J29" s="248">
        <f t="shared" si="1"/>
        <v>8.1893313298271972E-2</v>
      </c>
      <c r="L29" s="249">
        <v>444</v>
      </c>
      <c r="M29" s="249">
        <v>410</v>
      </c>
      <c r="N29" s="249">
        <v>34</v>
      </c>
      <c r="P29" s="250">
        <f t="shared" si="2"/>
        <v>0.92342342342342343</v>
      </c>
      <c r="Q29" s="250">
        <f t="shared" si="3"/>
        <v>7.6576576576576572E-2</v>
      </c>
    </row>
    <row r="30" spans="1:17">
      <c r="A30" s="241" t="s">
        <v>63</v>
      </c>
      <c r="B30" s="242" t="s">
        <v>64</v>
      </c>
      <c r="C30" s="243" t="s">
        <v>274</v>
      </c>
      <c r="D30" s="243"/>
      <c r="E30" s="244">
        <v>10145</v>
      </c>
      <c r="F30" s="245">
        <v>9169</v>
      </c>
      <c r="G30" s="246">
        <v>976</v>
      </c>
      <c r="I30" s="247">
        <f t="shared" si="0"/>
        <v>0.90379497289305077</v>
      </c>
      <c r="J30" s="248">
        <f t="shared" si="1"/>
        <v>9.620502710694924E-2</v>
      </c>
      <c r="L30" s="249">
        <v>4330</v>
      </c>
      <c r="M30" s="249">
        <v>3917</v>
      </c>
      <c r="N30" s="249">
        <v>413</v>
      </c>
      <c r="P30" s="250">
        <f t="shared" si="2"/>
        <v>0.90461893764434176</v>
      </c>
      <c r="Q30" s="250">
        <f t="shared" si="3"/>
        <v>9.53810623556582E-2</v>
      </c>
    </row>
    <row r="31" spans="1:17">
      <c r="A31" s="241" t="s">
        <v>65</v>
      </c>
      <c r="B31" s="242" t="s">
        <v>66</v>
      </c>
      <c r="C31" s="243" t="s">
        <v>273</v>
      </c>
      <c r="D31" s="243"/>
      <c r="E31" s="244">
        <v>2180</v>
      </c>
      <c r="F31" s="245">
        <v>1954</v>
      </c>
      <c r="G31" s="246">
        <v>226</v>
      </c>
      <c r="I31" s="247">
        <f t="shared" si="0"/>
        <v>0.89633027522935782</v>
      </c>
      <c r="J31" s="248">
        <f t="shared" si="1"/>
        <v>0.10366972477064221</v>
      </c>
      <c r="L31" s="249">
        <v>747</v>
      </c>
      <c r="M31" s="249">
        <v>654</v>
      </c>
      <c r="N31" s="249">
        <v>93</v>
      </c>
      <c r="P31" s="250">
        <f t="shared" si="2"/>
        <v>0.87550200803212852</v>
      </c>
      <c r="Q31" s="250">
        <f t="shared" si="3"/>
        <v>0.12449799196787148</v>
      </c>
    </row>
    <row r="32" spans="1:17">
      <c r="A32" s="241" t="s">
        <v>69</v>
      </c>
      <c r="B32" s="242" t="s">
        <v>70</v>
      </c>
      <c r="C32" s="243" t="s">
        <v>275</v>
      </c>
      <c r="D32" s="243"/>
      <c r="E32" s="244">
        <v>3825</v>
      </c>
      <c r="F32" s="245">
        <v>3568</v>
      </c>
      <c r="G32" s="246">
        <v>257</v>
      </c>
      <c r="I32" s="247">
        <f t="shared" si="0"/>
        <v>0.93281045751633984</v>
      </c>
      <c r="J32" s="248">
        <f t="shared" si="1"/>
        <v>6.7189542483660131E-2</v>
      </c>
      <c r="L32" s="249">
        <v>1341</v>
      </c>
      <c r="M32" s="249">
        <v>1233</v>
      </c>
      <c r="N32" s="249">
        <v>108</v>
      </c>
      <c r="P32" s="250">
        <f t="shared" si="2"/>
        <v>0.91946308724832215</v>
      </c>
      <c r="Q32" s="250">
        <f t="shared" si="3"/>
        <v>8.0536912751677847E-2</v>
      </c>
    </row>
    <row r="33" spans="1:17">
      <c r="A33" s="241" t="s">
        <v>71</v>
      </c>
      <c r="B33" s="242" t="s">
        <v>72</v>
      </c>
      <c r="C33" s="243" t="s">
        <v>271</v>
      </c>
      <c r="D33" s="243"/>
      <c r="E33" s="244">
        <v>6031</v>
      </c>
      <c r="F33" s="245">
        <v>5383</v>
      </c>
      <c r="G33" s="246">
        <v>648</v>
      </c>
      <c r="I33" s="247">
        <f t="shared" si="0"/>
        <v>0.89255513181893553</v>
      </c>
      <c r="J33" s="248">
        <f t="shared" si="1"/>
        <v>0.1074448681810645</v>
      </c>
      <c r="L33" s="249">
        <v>2234</v>
      </c>
      <c r="M33" s="249">
        <v>1975</v>
      </c>
      <c r="N33" s="249">
        <v>259</v>
      </c>
      <c r="P33" s="250">
        <f t="shared" si="2"/>
        <v>0.88406445837063563</v>
      </c>
      <c r="Q33" s="250">
        <f t="shared" si="3"/>
        <v>0.11593554162936437</v>
      </c>
    </row>
    <row r="34" spans="1:17">
      <c r="A34" s="241" t="s">
        <v>73</v>
      </c>
      <c r="B34" s="242" t="s">
        <v>74</v>
      </c>
      <c r="C34" s="243" t="s">
        <v>273</v>
      </c>
      <c r="D34" s="243"/>
      <c r="E34" s="244">
        <v>2428</v>
      </c>
      <c r="F34" s="245">
        <v>2093</v>
      </c>
      <c r="G34" s="246">
        <v>335</v>
      </c>
      <c r="I34" s="247">
        <f t="shared" si="0"/>
        <v>0.86202635914332781</v>
      </c>
      <c r="J34" s="248">
        <f t="shared" si="1"/>
        <v>0.13797364085667216</v>
      </c>
      <c r="L34" s="249">
        <v>766</v>
      </c>
      <c r="M34" s="249">
        <v>641</v>
      </c>
      <c r="N34" s="249">
        <v>125</v>
      </c>
      <c r="P34" s="250">
        <f t="shared" si="2"/>
        <v>0.83681462140992169</v>
      </c>
      <c r="Q34" s="250">
        <f t="shared" si="3"/>
        <v>0.16318537859007834</v>
      </c>
    </row>
    <row r="35" spans="1:17">
      <c r="A35" s="241" t="s">
        <v>75</v>
      </c>
      <c r="B35" s="242" t="s">
        <v>803</v>
      </c>
      <c r="C35" s="243" t="s">
        <v>274</v>
      </c>
      <c r="D35" s="243"/>
      <c r="E35" s="244">
        <v>246380</v>
      </c>
      <c r="F35" s="245">
        <v>231762</v>
      </c>
      <c r="G35" s="246">
        <v>14618</v>
      </c>
      <c r="I35" s="247">
        <f t="shared" si="0"/>
        <v>0.94066888546148231</v>
      </c>
      <c r="J35" s="248">
        <f t="shared" si="1"/>
        <v>5.9331114538517735E-2</v>
      </c>
      <c r="L35" s="249">
        <v>116691</v>
      </c>
      <c r="M35" s="249">
        <v>112931</v>
      </c>
      <c r="N35" s="249">
        <v>3760</v>
      </c>
      <c r="P35" s="250">
        <f t="shared" si="2"/>
        <v>0.96777814912889593</v>
      </c>
      <c r="Q35" s="250">
        <f t="shared" si="3"/>
        <v>3.2221850871104026E-2</v>
      </c>
    </row>
    <row r="36" spans="1:17">
      <c r="A36" s="241" t="s">
        <v>77</v>
      </c>
      <c r="B36" s="242" t="s">
        <v>78</v>
      </c>
      <c r="C36" s="243" t="s">
        <v>274</v>
      </c>
      <c r="D36" s="243"/>
      <c r="E36" s="244">
        <v>15535</v>
      </c>
      <c r="F36" s="245">
        <v>14399</v>
      </c>
      <c r="G36" s="246">
        <v>1136</v>
      </c>
      <c r="I36" s="247">
        <f t="shared" si="0"/>
        <v>0.92687479884132606</v>
      </c>
      <c r="J36" s="248">
        <f t="shared" si="1"/>
        <v>7.3125201158673964E-2</v>
      </c>
      <c r="L36" s="249">
        <v>6485</v>
      </c>
      <c r="M36" s="249">
        <v>6125</v>
      </c>
      <c r="N36" s="249">
        <v>360</v>
      </c>
      <c r="P36" s="250">
        <f t="shared" si="2"/>
        <v>0.94448727833461832</v>
      </c>
      <c r="Q36" s="250">
        <f t="shared" si="3"/>
        <v>5.5512721665381647E-2</v>
      </c>
    </row>
    <row r="37" spans="1:17">
      <c r="A37" s="241" t="s">
        <v>79</v>
      </c>
      <c r="B37" s="242" t="s">
        <v>80</v>
      </c>
      <c r="C37" s="243" t="s">
        <v>275</v>
      </c>
      <c r="D37" s="243"/>
      <c r="E37" s="244">
        <v>3869</v>
      </c>
      <c r="F37" s="245">
        <v>3548</v>
      </c>
      <c r="G37" s="246">
        <v>321</v>
      </c>
      <c r="I37" s="247">
        <f t="shared" si="0"/>
        <v>0.91703282501938488</v>
      </c>
      <c r="J37" s="248">
        <f t="shared" si="1"/>
        <v>8.2967174980615149E-2</v>
      </c>
      <c r="L37" s="249">
        <v>1322</v>
      </c>
      <c r="M37" s="249">
        <v>1210</v>
      </c>
      <c r="N37" s="249">
        <v>112</v>
      </c>
      <c r="P37" s="250">
        <f t="shared" si="2"/>
        <v>0.91527987897125562</v>
      </c>
      <c r="Q37" s="250">
        <f t="shared" si="3"/>
        <v>8.4720121028744322E-2</v>
      </c>
    </row>
    <row r="38" spans="1:17">
      <c r="A38" s="241" t="s">
        <v>81</v>
      </c>
      <c r="B38" s="242" t="s">
        <v>82</v>
      </c>
      <c r="C38" s="243" t="s">
        <v>273</v>
      </c>
      <c r="D38" s="243"/>
      <c r="E38" s="244">
        <v>6232</v>
      </c>
      <c r="F38" s="245">
        <v>5755</v>
      </c>
      <c r="G38" s="246">
        <v>477</v>
      </c>
      <c r="I38" s="247">
        <f t="shared" si="0"/>
        <v>0.92345956354300385</v>
      </c>
      <c r="J38" s="248">
        <f t="shared" si="1"/>
        <v>7.6540436456996153E-2</v>
      </c>
      <c r="L38" s="249">
        <v>2395</v>
      </c>
      <c r="M38" s="249">
        <v>2200</v>
      </c>
      <c r="N38" s="249">
        <v>195</v>
      </c>
      <c r="P38" s="250">
        <f t="shared" si="2"/>
        <v>0.91858037578288099</v>
      </c>
      <c r="Q38" s="250">
        <f t="shared" si="3"/>
        <v>8.1419624217118999E-2</v>
      </c>
    </row>
    <row r="39" spans="1:17">
      <c r="A39" s="241" t="s">
        <v>85</v>
      </c>
      <c r="B39" s="242" t="s">
        <v>330</v>
      </c>
      <c r="C39" s="243" t="s">
        <v>272</v>
      </c>
      <c r="D39" s="243"/>
      <c r="E39" s="244">
        <v>13879</v>
      </c>
      <c r="F39" s="245">
        <v>12622</v>
      </c>
      <c r="G39" s="246">
        <v>1257</v>
      </c>
      <c r="I39" s="247">
        <f t="shared" si="0"/>
        <v>0.90943151523885002</v>
      </c>
      <c r="J39" s="248">
        <f t="shared" si="1"/>
        <v>9.0568484761149939E-2</v>
      </c>
      <c r="L39" s="249">
        <v>4374</v>
      </c>
      <c r="M39" s="249">
        <v>3876</v>
      </c>
      <c r="N39" s="249">
        <v>498</v>
      </c>
      <c r="P39" s="250">
        <f t="shared" si="2"/>
        <v>0.88614540466392322</v>
      </c>
      <c r="Q39" s="250">
        <f t="shared" si="3"/>
        <v>0.11385459533607682</v>
      </c>
    </row>
    <row r="40" spans="1:17">
      <c r="A40" s="241" t="s">
        <v>87</v>
      </c>
      <c r="B40" s="242" t="s">
        <v>88</v>
      </c>
      <c r="C40" s="243" t="s">
        <v>274</v>
      </c>
      <c r="D40" s="243"/>
      <c r="E40" s="244">
        <v>18784</v>
      </c>
      <c r="F40" s="245">
        <v>16992</v>
      </c>
      <c r="G40" s="246">
        <v>1792</v>
      </c>
      <c r="I40" s="247">
        <f t="shared" si="0"/>
        <v>0.90459965928449748</v>
      </c>
      <c r="J40" s="248">
        <f t="shared" si="1"/>
        <v>9.540034071550256E-2</v>
      </c>
      <c r="L40" s="249">
        <v>7847</v>
      </c>
      <c r="M40" s="249">
        <v>7146</v>
      </c>
      <c r="N40" s="249">
        <v>701</v>
      </c>
      <c r="P40" s="250">
        <f t="shared" si="2"/>
        <v>0.9106664967503505</v>
      </c>
      <c r="Q40" s="250">
        <f t="shared" si="3"/>
        <v>8.9333503249649546E-2</v>
      </c>
    </row>
    <row r="41" spans="1:17">
      <c r="A41" s="241" t="s">
        <v>93</v>
      </c>
      <c r="B41" s="242" t="s">
        <v>94</v>
      </c>
      <c r="C41" s="243" t="s">
        <v>275</v>
      </c>
      <c r="D41" s="243"/>
      <c r="E41" s="244">
        <v>4201</v>
      </c>
      <c r="F41" s="245">
        <v>3785</v>
      </c>
      <c r="G41" s="246">
        <v>416</v>
      </c>
      <c r="I41" s="247">
        <f t="shared" si="0"/>
        <v>0.90097595810521303</v>
      </c>
      <c r="J41" s="248">
        <f t="shared" si="1"/>
        <v>9.902404189478696E-2</v>
      </c>
      <c r="L41" s="249">
        <v>1456</v>
      </c>
      <c r="M41" s="249">
        <v>1284</v>
      </c>
      <c r="N41" s="249">
        <v>172</v>
      </c>
      <c r="P41" s="250">
        <f t="shared" si="2"/>
        <v>0.88186813186813184</v>
      </c>
      <c r="Q41" s="250">
        <f t="shared" si="3"/>
        <v>0.11813186813186813</v>
      </c>
    </row>
    <row r="42" spans="1:17">
      <c r="A42" s="241" t="s">
        <v>95</v>
      </c>
      <c r="B42" s="242" t="s">
        <v>96</v>
      </c>
      <c r="C42" s="243" t="s">
        <v>271</v>
      </c>
      <c r="D42" s="243"/>
      <c r="E42" s="244">
        <v>9117</v>
      </c>
      <c r="F42" s="245">
        <v>8306</v>
      </c>
      <c r="G42" s="246">
        <v>811</v>
      </c>
      <c r="I42" s="247">
        <f t="shared" si="0"/>
        <v>0.9110452999890315</v>
      </c>
      <c r="J42" s="248">
        <f t="shared" si="1"/>
        <v>8.8954700010968515E-2</v>
      </c>
      <c r="L42" s="249">
        <v>3312</v>
      </c>
      <c r="M42" s="249">
        <v>3009</v>
      </c>
      <c r="N42" s="249">
        <v>303</v>
      </c>
      <c r="P42" s="250">
        <f t="shared" si="2"/>
        <v>0.90851449275362317</v>
      </c>
      <c r="Q42" s="250">
        <f t="shared" si="3"/>
        <v>9.1485507246376815E-2</v>
      </c>
    </row>
    <row r="43" spans="1:17">
      <c r="A43" s="241" t="s">
        <v>97</v>
      </c>
      <c r="B43" s="242" t="s">
        <v>98</v>
      </c>
      <c r="C43" s="243" t="s">
        <v>273</v>
      </c>
      <c r="D43" s="243"/>
      <c r="E43" s="244">
        <v>5533</v>
      </c>
      <c r="F43" s="245">
        <v>5256</v>
      </c>
      <c r="G43" s="246">
        <v>277</v>
      </c>
      <c r="I43" s="247">
        <f t="shared" si="0"/>
        <v>0.94993674317729981</v>
      </c>
      <c r="J43" s="248">
        <f t="shared" si="1"/>
        <v>5.0063256822700165E-2</v>
      </c>
      <c r="L43" s="249">
        <v>1877</v>
      </c>
      <c r="M43" s="249">
        <v>1797</v>
      </c>
      <c r="N43" s="249">
        <v>80</v>
      </c>
      <c r="P43" s="250">
        <f t="shared" si="2"/>
        <v>0.95737879595098563</v>
      </c>
      <c r="Q43" s="250">
        <f t="shared" si="3"/>
        <v>4.2621204049014386E-2</v>
      </c>
    </row>
    <row r="44" spans="1:17">
      <c r="A44" s="241" t="s">
        <v>99</v>
      </c>
      <c r="B44" s="242" t="s">
        <v>100</v>
      </c>
      <c r="C44" s="243" t="s">
        <v>275</v>
      </c>
      <c r="D44" s="243"/>
      <c r="E44" s="244">
        <v>3931</v>
      </c>
      <c r="F44" s="245">
        <v>3633</v>
      </c>
      <c r="G44" s="246">
        <v>298</v>
      </c>
      <c r="I44" s="247">
        <f t="shared" si="0"/>
        <v>0.92419231747646913</v>
      </c>
      <c r="J44" s="248">
        <f t="shared" si="1"/>
        <v>7.5807682523530914E-2</v>
      </c>
      <c r="L44" s="249">
        <v>1146</v>
      </c>
      <c r="M44" s="249">
        <v>1021</v>
      </c>
      <c r="N44" s="249">
        <v>125</v>
      </c>
      <c r="P44" s="250">
        <f t="shared" si="2"/>
        <v>0.89092495636998259</v>
      </c>
      <c r="Q44" s="250">
        <f t="shared" si="3"/>
        <v>0.10907504363001745</v>
      </c>
    </row>
    <row r="45" spans="1:17">
      <c r="A45" s="241" t="s">
        <v>101</v>
      </c>
      <c r="B45" s="242" t="s">
        <v>102</v>
      </c>
      <c r="C45" s="243" t="s">
        <v>274</v>
      </c>
      <c r="D45" s="243"/>
      <c r="E45" s="244">
        <v>4414</v>
      </c>
      <c r="F45" s="245">
        <v>4003</v>
      </c>
      <c r="G45" s="246">
        <v>411</v>
      </c>
      <c r="I45" s="247">
        <f t="shared" si="0"/>
        <v>0.90688717716357048</v>
      </c>
      <c r="J45" s="248">
        <f t="shared" si="1"/>
        <v>9.3112822836429548E-2</v>
      </c>
      <c r="L45" s="249">
        <v>1796</v>
      </c>
      <c r="M45" s="249">
        <v>1628</v>
      </c>
      <c r="N45" s="249">
        <v>168</v>
      </c>
      <c r="P45" s="250">
        <f t="shared" si="2"/>
        <v>0.90645879732739421</v>
      </c>
      <c r="Q45" s="250">
        <f t="shared" si="3"/>
        <v>9.3541202672605794E-2</v>
      </c>
    </row>
    <row r="46" spans="1:17">
      <c r="A46" s="241" t="s">
        <v>103</v>
      </c>
      <c r="B46" s="242" t="s">
        <v>290</v>
      </c>
      <c r="C46" s="243" t="s">
        <v>271</v>
      </c>
      <c r="D46" s="243"/>
      <c r="E46" s="244">
        <v>2719</v>
      </c>
      <c r="F46" s="245">
        <v>2329</v>
      </c>
      <c r="G46" s="246">
        <v>390</v>
      </c>
      <c r="I46" s="247">
        <f t="shared" si="0"/>
        <v>0.85656491357116582</v>
      </c>
      <c r="J46" s="248">
        <f t="shared" si="1"/>
        <v>0.14343508642883412</v>
      </c>
      <c r="L46" s="249">
        <v>902</v>
      </c>
      <c r="M46" s="249">
        <v>709</v>
      </c>
      <c r="N46" s="249">
        <v>193</v>
      </c>
      <c r="P46" s="250">
        <f t="shared" si="2"/>
        <v>0.78603104212860309</v>
      </c>
      <c r="Q46" s="250">
        <f t="shared" si="3"/>
        <v>0.21396895787139689</v>
      </c>
    </row>
    <row r="47" spans="1:17">
      <c r="A47" s="241" t="s">
        <v>105</v>
      </c>
      <c r="B47" s="242" t="s">
        <v>790</v>
      </c>
      <c r="C47" s="243" t="s">
        <v>272</v>
      </c>
      <c r="D47" s="243"/>
      <c r="E47" s="244">
        <v>7601</v>
      </c>
      <c r="F47" s="245">
        <v>6980</v>
      </c>
      <c r="G47" s="246">
        <v>621</v>
      </c>
      <c r="I47" s="247">
        <f t="shared" si="0"/>
        <v>0.91830022365478225</v>
      </c>
      <c r="J47" s="248">
        <f t="shared" si="1"/>
        <v>8.1699776345217731E-2</v>
      </c>
      <c r="L47" s="249">
        <v>2470</v>
      </c>
      <c r="M47" s="249">
        <v>2191</v>
      </c>
      <c r="N47" s="249">
        <v>279</v>
      </c>
      <c r="P47" s="250">
        <f t="shared" si="2"/>
        <v>0.8870445344129555</v>
      </c>
      <c r="Q47" s="250">
        <f t="shared" si="3"/>
        <v>0.11295546558704453</v>
      </c>
    </row>
    <row r="48" spans="1:17">
      <c r="A48" s="241" t="s">
        <v>109</v>
      </c>
      <c r="B48" s="242" t="s">
        <v>110</v>
      </c>
      <c r="C48" s="243" t="s">
        <v>273</v>
      </c>
      <c r="D48" s="243"/>
      <c r="E48" s="244">
        <v>24235</v>
      </c>
      <c r="F48" s="245">
        <v>22810</v>
      </c>
      <c r="G48" s="246">
        <v>1425</v>
      </c>
      <c r="I48" s="247">
        <f t="shared" si="0"/>
        <v>0.94120074272746024</v>
      </c>
      <c r="J48" s="248">
        <f t="shared" si="1"/>
        <v>5.8799257272539714E-2</v>
      </c>
      <c r="L48" s="249">
        <v>10521</v>
      </c>
      <c r="M48" s="249">
        <v>10021</v>
      </c>
      <c r="N48" s="249">
        <v>500</v>
      </c>
      <c r="P48" s="250">
        <f t="shared" si="2"/>
        <v>0.95247600038019198</v>
      </c>
      <c r="Q48" s="250">
        <f t="shared" si="3"/>
        <v>4.7523999619808001E-2</v>
      </c>
    </row>
    <row r="49" spans="1:17">
      <c r="A49" s="241" t="s">
        <v>111</v>
      </c>
      <c r="B49" s="242" t="s">
        <v>112</v>
      </c>
      <c r="C49" s="243" t="s">
        <v>273</v>
      </c>
      <c r="D49" s="243"/>
      <c r="E49" s="244">
        <v>63078</v>
      </c>
      <c r="F49" s="245">
        <v>56537</v>
      </c>
      <c r="G49" s="246">
        <v>6541</v>
      </c>
      <c r="I49" s="247">
        <f t="shared" si="0"/>
        <v>0.89630298994895208</v>
      </c>
      <c r="J49" s="248">
        <f t="shared" si="1"/>
        <v>0.10369701005104791</v>
      </c>
      <c r="L49" s="249">
        <v>27549</v>
      </c>
      <c r="M49" s="249">
        <v>25239</v>
      </c>
      <c r="N49" s="249">
        <v>2310</v>
      </c>
      <c r="P49" s="250">
        <f t="shared" si="2"/>
        <v>0.91614940651203314</v>
      </c>
      <c r="Q49" s="250">
        <f t="shared" si="3"/>
        <v>8.385059348796689E-2</v>
      </c>
    </row>
    <row r="50" spans="1:17">
      <c r="A50" s="241" t="s">
        <v>113</v>
      </c>
      <c r="B50" s="242" t="s">
        <v>310</v>
      </c>
      <c r="C50" s="243" t="s">
        <v>272</v>
      </c>
      <c r="D50" s="243"/>
      <c r="E50" s="244">
        <v>14517</v>
      </c>
      <c r="F50" s="245">
        <v>13130</v>
      </c>
      <c r="G50" s="246">
        <v>1387</v>
      </c>
      <c r="I50" s="247">
        <f t="shared" si="0"/>
        <v>0.90445684370048907</v>
      </c>
      <c r="J50" s="248">
        <f t="shared" si="1"/>
        <v>9.554315629951092E-2</v>
      </c>
      <c r="L50" s="249">
        <v>4598</v>
      </c>
      <c r="M50" s="249">
        <v>3985</v>
      </c>
      <c r="N50" s="249">
        <v>613</v>
      </c>
      <c r="P50" s="250">
        <f t="shared" si="2"/>
        <v>0.86668116572422793</v>
      </c>
      <c r="Q50" s="250">
        <f t="shared" si="3"/>
        <v>0.13331883427577207</v>
      </c>
    </row>
    <row r="51" spans="1:17">
      <c r="A51" s="241" t="s">
        <v>115</v>
      </c>
      <c r="B51" s="242" t="s">
        <v>116</v>
      </c>
      <c r="C51" s="243" t="s">
        <v>272</v>
      </c>
      <c r="D51" s="243"/>
      <c r="E51" s="244">
        <v>667</v>
      </c>
      <c r="F51" s="245">
        <v>621</v>
      </c>
      <c r="G51" s="246">
        <v>46</v>
      </c>
      <c r="I51" s="247">
        <f t="shared" si="0"/>
        <v>0.93103448275862066</v>
      </c>
      <c r="J51" s="248">
        <f t="shared" si="1"/>
        <v>6.8965517241379309E-2</v>
      </c>
      <c r="L51" s="249">
        <v>157</v>
      </c>
      <c r="M51" s="249">
        <v>144</v>
      </c>
      <c r="N51" s="249">
        <v>13</v>
      </c>
      <c r="P51" s="250">
        <f t="shared" si="2"/>
        <v>0.91719745222929938</v>
      </c>
      <c r="Q51" s="250">
        <f t="shared" si="3"/>
        <v>8.2802547770700632E-2</v>
      </c>
    </row>
    <row r="52" spans="1:17">
      <c r="A52" s="241" t="s">
        <v>119</v>
      </c>
      <c r="B52" s="242" t="s">
        <v>120</v>
      </c>
      <c r="C52" s="243" t="s">
        <v>271</v>
      </c>
      <c r="D52" s="243"/>
      <c r="E52" s="244">
        <v>8522</v>
      </c>
      <c r="F52" s="245">
        <v>7966</v>
      </c>
      <c r="G52" s="246">
        <v>556</v>
      </c>
      <c r="I52" s="247">
        <f t="shared" si="0"/>
        <v>0.9347570992724713</v>
      </c>
      <c r="J52" s="248">
        <f t="shared" si="1"/>
        <v>6.5242900727528752E-2</v>
      </c>
      <c r="L52" s="249">
        <v>3096</v>
      </c>
      <c r="M52" s="249">
        <v>2886</v>
      </c>
      <c r="N52" s="249">
        <v>210</v>
      </c>
      <c r="P52" s="250">
        <f t="shared" si="2"/>
        <v>0.93217054263565891</v>
      </c>
      <c r="Q52" s="250">
        <f t="shared" si="3"/>
        <v>6.7829457364341081E-2</v>
      </c>
    </row>
    <row r="53" spans="1:17">
      <c r="A53" s="241" t="s">
        <v>121</v>
      </c>
      <c r="B53" s="242" t="s">
        <v>122</v>
      </c>
      <c r="C53" s="243" t="s">
        <v>271</v>
      </c>
      <c r="D53" s="243"/>
      <c r="E53" s="244">
        <v>17151</v>
      </c>
      <c r="F53" s="245">
        <v>16192</v>
      </c>
      <c r="G53" s="246">
        <v>959</v>
      </c>
      <c r="I53" s="247">
        <f t="shared" si="0"/>
        <v>0.94408489300915399</v>
      </c>
      <c r="J53" s="248">
        <f t="shared" si="1"/>
        <v>5.5915106990846015E-2</v>
      </c>
      <c r="L53" s="249">
        <v>5736</v>
      </c>
      <c r="M53" s="249">
        <v>5418</v>
      </c>
      <c r="N53" s="249">
        <v>318</v>
      </c>
      <c r="P53" s="250">
        <f t="shared" si="2"/>
        <v>0.94456066945606698</v>
      </c>
      <c r="Q53" s="250">
        <f t="shared" si="3"/>
        <v>5.5439330543933053E-2</v>
      </c>
    </row>
    <row r="54" spans="1:17">
      <c r="A54" s="241" t="s">
        <v>123</v>
      </c>
      <c r="B54" s="242" t="s">
        <v>278</v>
      </c>
      <c r="C54" s="243" t="s">
        <v>273</v>
      </c>
      <c r="D54" s="243"/>
      <c r="E54" s="244">
        <v>1580</v>
      </c>
      <c r="F54" s="245">
        <v>1427</v>
      </c>
      <c r="G54" s="246">
        <v>153</v>
      </c>
      <c r="I54" s="247">
        <f t="shared" si="0"/>
        <v>0.90316455696202536</v>
      </c>
      <c r="J54" s="248">
        <f t="shared" si="1"/>
        <v>9.6835443037974686E-2</v>
      </c>
      <c r="L54" s="249">
        <v>513</v>
      </c>
      <c r="M54" s="249">
        <v>449</v>
      </c>
      <c r="N54" s="249">
        <v>64</v>
      </c>
      <c r="P54" s="250">
        <f t="shared" si="2"/>
        <v>0.87524366471734893</v>
      </c>
      <c r="Q54" s="250">
        <f t="shared" si="3"/>
        <v>0.12475633528265107</v>
      </c>
    </row>
    <row r="55" spans="1:17">
      <c r="A55" s="241" t="s">
        <v>125</v>
      </c>
      <c r="B55" s="242" t="s">
        <v>126</v>
      </c>
      <c r="C55" s="243" t="s">
        <v>274</v>
      </c>
      <c r="D55" s="243"/>
      <c r="E55" s="244">
        <v>5512</v>
      </c>
      <c r="F55" s="245">
        <v>5032</v>
      </c>
      <c r="G55" s="246">
        <v>480</v>
      </c>
      <c r="I55" s="247">
        <f t="shared" si="0"/>
        <v>0.91291727140783741</v>
      </c>
      <c r="J55" s="248">
        <f t="shared" si="1"/>
        <v>8.7082728592162553E-2</v>
      </c>
      <c r="L55" s="249">
        <v>2485</v>
      </c>
      <c r="M55" s="249">
        <v>2298</v>
      </c>
      <c r="N55" s="249">
        <v>187</v>
      </c>
      <c r="P55" s="250">
        <f t="shared" si="2"/>
        <v>0.92474849094567402</v>
      </c>
      <c r="Q55" s="250">
        <f t="shared" si="3"/>
        <v>7.5251509054325955E-2</v>
      </c>
    </row>
    <row r="56" spans="1:17">
      <c r="A56" s="241" t="s">
        <v>127</v>
      </c>
      <c r="B56" s="242" t="s">
        <v>128</v>
      </c>
      <c r="C56" s="243" t="s">
        <v>273</v>
      </c>
      <c r="D56" s="243"/>
      <c r="E56" s="244">
        <v>3882</v>
      </c>
      <c r="F56" s="245">
        <v>3561</v>
      </c>
      <c r="G56" s="246">
        <v>321</v>
      </c>
      <c r="I56" s="247">
        <f t="shared" si="0"/>
        <v>0.91731066460587329</v>
      </c>
      <c r="J56" s="248">
        <f t="shared" si="1"/>
        <v>8.2689335394126734E-2</v>
      </c>
      <c r="L56" s="249">
        <v>1605</v>
      </c>
      <c r="M56" s="249">
        <v>1483</v>
      </c>
      <c r="N56" s="249">
        <v>122</v>
      </c>
      <c r="P56" s="250">
        <f t="shared" si="2"/>
        <v>0.92398753894080998</v>
      </c>
      <c r="Q56" s="250">
        <f t="shared" si="3"/>
        <v>7.6012461059190031E-2</v>
      </c>
    </row>
    <row r="57" spans="1:17">
      <c r="A57" s="241" t="s">
        <v>129</v>
      </c>
      <c r="B57" s="242" t="s">
        <v>130</v>
      </c>
      <c r="C57" s="243" t="s">
        <v>273</v>
      </c>
      <c r="D57" s="243"/>
      <c r="E57" s="244">
        <v>2835</v>
      </c>
      <c r="F57" s="245">
        <v>2584</v>
      </c>
      <c r="G57" s="246">
        <v>251</v>
      </c>
      <c r="I57" s="247">
        <f t="shared" si="0"/>
        <v>0.91146384479717812</v>
      </c>
      <c r="J57" s="248">
        <f t="shared" si="1"/>
        <v>8.8536155202821876E-2</v>
      </c>
      <c r="L57" s="249">
        <v>587</v>
      </c>
      <c r="M57" s="249">
        <v>498</v>
      </c>
      <c r="N57" s="249">
        <v>89</v>
      </c>
      <c r="P57" s="250">
        <f t="shared" si="2"/>
        <v>0.848381601362862</v>
      </c>
      <c r="Q57" s="250">
        <f t="shared" si="3"/>
        <v>0.151618398637138</v>
      </c>
    </row>
    <row r="58" spans="1:17">
      <c r="A58" s="241" t="s">
        <v>131</v>
      </c>
      <c r="B58" s="242" t="s">
        <v>132</v>
      </c>
      <c r="C58" s="243" t="s">
        <v>275</v>
      </c>
      <c r="D58" s="243"/>
      <c r="E58" s="244">
        <v>5554</v>
      </c>
      <c r="F58" s="245">
        <v>5116</v>
      </c>
      <c r="G58" s="246">
        <v>438</v>
      </c>
      <c r="I58" s="247">
        <f t="shared" si="0"/>
        <v>0.92113791861721284</v>
      </c>
      <c r="J58" s="248">
        <f t="shared" si="1"/>
        <v>7.8862081382787177E-2</v>
      </c>
      <c r="L58" s="249">
        <v>1970</v>
      </c>
      <c r="M58" s="249">
        <v>1793</v>
      </c>
      <c r="N58" s="249">
        <v>177</v>
      </c>
      <c r="P58" s="250">
        <f t="shared" si="2"/>
        <v>0.91015228426395944</v>
      </c>
      <c r="Q58" s="250">
        <f t="shared" si="3"/>
        <v>8.9847715736040612E-2</v>
      </c>
    </row>
    <row r="59" spans="1:17">
      <c r="A59" s="241" t="s">
        <v>133</v>
      </c>
      <c r="B59" s="242" t="s">
        <v>134</v>
      </c>
      <c r="C59" s="243" t="s">
        <v>274</v>
      </c>
      <c r="D59" s="243"/>
      <c r="E59" s="244">
        <v>72122</v>
      </c>
      <c r="F59" s="245">
        <v>68056</v>
      </c>
      <c r="G59" s="246">
        <v>4066</v>
      </c>
      <c r="I59" s="247">
        <f t="shared" si="0"/>
        <v>0.94362330495549207</v>
      </c>
      <c r="J59" s="248">
        <f t="shared" si="1"/>
        <v>5.6376695044507916E-2</v>
      </c>
      <c r="L59" s="249">
        <v>42139</v>
      </c>
      <c r="M59" s="249">
        <v>40889</v>
      </c>
      <c r="N59" s="249">
        <v>1250</v>
      </c>
      <c r="P59" s="250">
        <f t="shared" si="2"/>
        <v>0.97033626806521278</v>
      </c>
      <c r="Q59" s="250">
        <f t="shared" si="3"/>
        <v>2.9663731934787253E-2</v>
      </c>
    </row>
    <row r="60" spans="1:17">
      <c r="A60" s="241" t="s">
        <v>135</v>
      </c>
      <c r="B60" s="242" t="s">
        <v>136</v>
      </c>
      <c r="C60" s="243" t="s">
        <v>274</v>
      </c>
      <c r="D60" s="243"/>
      <c r="E60" s="244">
        <v>8200</v>
      </c>
      <c r="F60" s="245">
        <v>7362</v>
      </c>
      <c r="G60" s="246">
        <v>838</v>
      </c>
      <c r="I60" s="247">
        <f t="shared" si="0"/>
        <v>0.89780487804878051</v>
      </c>
      <c r="J60" s="248">
        <f t="shared" si="1"/>
        <v>0.10219512195121951</v>
      </c>
      <c r="L60" s="249">
        <v>2829</v>
      </c>
      <c r="M60" s="249">
        <v>2514</v>
      </c>
      <c r="N60" s="249">
        <v>315</v>
      </c>
      <c r="P60" s="250">
        <f t="shared" si="2"/>
        <v>0.88865323435843058</v>
      </c>
      <c r="Q60" s="250">
        <f t="shared" si="3"/>
        <v>0.11134676564156946</v>
      </c>
    </row>
    <row r="61" spans="1:17">
      <c r="A61" s="241" t="s">
        <v>137</v>
      </c>
      <c r="B61" s="242" t="s">
        <v>138</v>
      </c>
      <c r="C61" s="243" t="s">
        <v>273</v>
      </c>
      <c r="D61" s="243"/>
      <c r="E61" s="244">
        <v>2533</v>
      </c>
      <c r="F61" s="245">
        <v>2294</v>
      </c>
      <c r="G61" s="246">
        <v>239</v>
      </c>
      <c r="I61" s="247">
        <f t="shared" si="0"/>
        <v>0.90564547966837738</v>
      </c>
      <c r="J61" s="248">
        <f t="shared" si="1"/>
        <v>9.4354520331622588E-2</v>
      </c>
      <c r="L61" s="249">
        <v>820</v>
      </c>
      <c r="M61" s="249">
        <v>714</v>
      </c>
      <c r="N61" s="249">
        <v>106</v>
      </c>
      <c r="P61" s="250">
        <f t="shared" si="2"/>
        <v>0.87073170731707317</v>
      </c>
      <c r="Q61" s="250">
        <f t="shared" si="3"/>
        <v>0.12926829268292683</v>
      </c>
    </row>
    <row r="62" spans="1:17">
      <c r="A62" s="241" t="s">
        <v>141</v>
      </c>
      <c r="B62" s="242" t="s">
        <v>142</v>
      </c>
      <c r="C62" s="243" t="s">
        <v>274</v>
      </c>
      <c r="D62" s="243"/>
      <c r="E62" s="244">
        <v>3275</v>
      </c>
      <c r="F62" s="245">
        <v>3038</v>
      </c>
      <c r="G62" s="246">
        <v>237</v>
      </c>
      <c r="I62" s="247">
        <f t="shared" si="0"/>
        <v>0.92763358778625959</v>
      </c>
      <c r="J62" s="248">
        <f t="shared" si="1"/>
        <v>7.2366412213740461E-2</v>
      </c>
      <c r="L62" s="249">
        <v>1155</v>
      </c>
      <c r="M62" s="249">
        <v>1059</v>
      </c>
      <c r="N62" s="249">
        <v>96</v>
      </c>
      <c r="P62" s="250">
        <f t="shared" si="2"/>
        <v>0.91688311688311686</v>
      </c>
      <c r="Q62" s="250">
        <f t="shared" si="3"/>
        <v>8.3116883116883117E-2</v>
      </c>
    </row>
    <row r="63" spans="1:17">
      <c r="A63" s="241" t="s">
        <v>147</v>
      </c>
      <c r="B63" s="242" t="s">
        <v>148</v>
      </c>
      <c r="C63" s="243" t="s">
        <v>271</v>
      </c>
      <c r="D63" s="243"/>
      <c r="E63" s="244">
        <v>2330</v>
      </c>
      <c r="F63" s="245">
        <v>2197</v>
      </c>
      <c r="G63" s="246">
        <v>133</v>
      </c>
      <c r="I63" s="247">
        <f t="shared" si="0"/>
        <v>0.94291845493562232</v>
      </c>
      <c r="J63" s="248">
        <f t="shared" si="1"/>
        <v>5.7081545064377681E-2</v>
      </c>
      <c r="L63" s="249">
        <v>638</v>
      </c>
      <c r="M63" s="249">
        <v>601</v>
      </c>
      <c r="N63" s="249">
        <v>37</v>
      </c>
      <c r="P63" s="250">
        <f t="shared" si="2"/>
        <v>0.94200626959247646</v>
      </c>
      <c r="Q63" s="250">
        <f t="shared" si="3"/>
        <v>5.7993730407523508E-2</v>
      </c>
    </row>
    <row r="64" spans="1:17">
      <c r="A64" s="241" t="s">
        <v>149</v>
      </c>
      <c r="B64" s="242" t="s">
        <v>150</v>
      </c>
      <c r="C64" s="243" t="s">
        <v>272</v>
      </c>
      <c r="D64" s="243"/>
      <c r="E64" s="244">
        <v>6861</v>
      </c>
      <c r="F64" s="245">
        <v>6186</v>
      </c>
      <c r="G64" s="246">
        <v>675</v>
      </c>
      <c r="I64" s="247">
        <f t="shared" si="0"/>
        <v>0.90161783996501965</v>
      </c>
      <c r="J64" s="248">
        <f t="shared" si="1"/>
        <v>9.838216003498032E-2</v>
      </c>
      <c r="L64" s="249">
        <v>1992</v>
      </c>
      <c r="M64" s="249">
        <v>1717</v>
      </c>
      <c r="N64" s="249">
        <v>275</v>
      </c>
      <c r="P64" s="250">
        <f t="shared" si="2"/>
        <v>0.86194779116465858</v>
      </c>
      <c r="Q64" s="250">
        <f t="shared" si="3"/>
        <v>0.13805220883534136</v>
      </c>
    </row>
    <row r="65" spans="1:17">
      <c r="A65" s="241" t="s">
        <v>151</v>
      </c>
      <c r="B65" s="242" t="s">
        <v>152</v>
      </c>
      <c r="C65" s="243" t="s">
        <v>273</v>
      </c>
      <c r="D65" s="243"/>
      <c r="E65" s="244">
        <v>2747</v>
      </c>
      <c r="F65" s="245">
        <v>2538</v>
      </c>
      <c r="G65" s="246">
        <v>209</v>
      </c>
      <c r="I65" s="247">
        <f t="shared" si="0"/>
        <v>0.92391700036403346</v>
      </c>
      <c r="J65" s="248">
        <f t="shared" si="1"/>
        <v>7.6082999635966514E-2</v>
      </c>
      <c r="L65" s="249">
        <v>658</v>
      </c>
      <c r="M65" s="249">
        <v>585</v>
      </c>
      <c r="N65" s="249">
        <v>73</v>
      </c>
      <c r="P65" s="250">
        <f t="shared" si="2"/>
        <v>0.88905775075987847</v>
      </c>
      <c r="Q65" s="250">
        <f t="shared" si="3"/>
        <v>0.11094224924012158</v>
      </c>
    </row>
    <row r="66" spans="1:17">
      <c r="A66" s="241" t="s">
        <v>153</v>
      </c>
      <c r="B66" s="242" t="s">
        <v>154</v>
      </c>
      <c r="C66" s="243" t="s">
        <v>275</v>
      </c>
      <c r="D66" s="243"/>
      <c r="E66" s="244">
        <v>16873</v>
      </c>
      <c r="F66" s="245">
        <v>14910</v>
      </c>
      <c r="G66" s="246">
        <v>1963</v>
      </c>
      <c r="I66" s="247">
        <f t="shared" si="0"/>
        <v>0.88366028566348609</v>
      </c>
      <c r="J66" s="248">
        <f t="shared" si="1"/>
        <v>0.11633971433651395</v>
      </c>
      <c r="L66" s="249">
        <v>6218</v>
      </c>
      <c r="M66" s="249">
        <v>5687</v>
      </c>
      <c r="N66" s="249">
        <v>531</v>
      </c>
      <c r="P66" s="250">
        <f t="shared" si="2"/>
        <v>0.91460276616275327</v>
      </c>
      <c r="Q66" s="250">
        <f t="shared" si="3"/>
        <v>8.5397233837246705E-2</v>
      </c>
    </row>
    <row r="67" spans="1:17">
      <c r="A67" s="241" t="s">
        <v>155</v>
      </c>
      <c r="B67" s="242" t="s">
        <v>156</v>
      </c>
      <c r="C67" s="243" t="s">
        <v>272</v>
      </c>
      <c r="D67" s="243"/>
      <c r="E67" s="244">
        <v>3674</v>
      </c>
      <c r="F67" s="245">
        <v>3298</v>
      </c>
      <c r="G67" s="246">
        <v>376</v>
      </c>
      <c r="I67" s="247">
        <f t="shared" si="0"/>
        <v>0.89765922700054435</v>
      </c>
      <c r="J67" s="248">
        <f t="shared" si="1"/>
        <v>0.10234077299945564</v>
      </c>
      <c r="L67" s="249">
        <v>1100</v>
      </c>
      <c r="M67" s="249">
        <v>953</v>
      </c>
      <c r="N67" s="249">
        <v>147</v>
      </c>
      <c r="P67" s="250">
        <f t="shared" si="2"/>
        <v>0.86636363636363634</v>
      </c>
      <c r="Q67" s="250">
        <f t="shared" si="3"/>
        <v>0.13363636363636364</v>
      </c>
    </row>
    <row r="68" spans="1:17">
      <c r="A68" s="241" t="s">
        <v>157</v>
      </c>
      <c r="B68" s="242" t="s">
        <v>158</v>
      </c>
      <c r="C68" s="243" t="s">
        <v>273</v>
      </c>
      <c r="D68" s="243"/>
      <c r="E68" s="244">
        <v>4793</v>
      </c>
      <c r="F68" s="245">
        <v>4456</v>
      </c>
      <c r="G68" s="246">
        <v>337</v>
      </c>
      <c r="I68" s="247">
        <f t="shared" si="0"/>
        <v>0.92968912998122266</v>
      </c>
      <c r="J68" s="248">
        <f t="shared" si="1"/>
        <v>7.031087001877738E-2</v>
      </c>
      <c r="L68" s="249">
        <v>1749</v>
      </c>
      <c r="M68" s="249">
        <v>1625</v>
      </c>
      <c r="N68" s="249">
        <v>124</v>
      </c>
      <c r="P68" s="250">
        <f t="shared" si="2"/>
        <v>0.9291023441966838</v>
      </c>
      <c r="Q68" s="250">
        <f t="shared" si="3"/>
        <v>7.0897655803316181E-2</v>
      </c>
    </row>
    <row r="69" spans="1:17">
      <c r="A69" s="241" t="s">
        <v>163</v>
      </c>
      <c r="B69" s="242" t="s">
        <v>164</v>
      </c>
      <c r="C69" s="243" t="s">
        <v>271</v>
      </c>
      <c r="D69" s="243"/>
      <c r="E69" s="244">
        <v>2588</v>
      </c>
      <c r="F69" s="245">
        <v>2305</v>
      </c>
      <c r="G69" s="246">
        <v>283</v>
      </c>
      <c r="I69" s="247">
        <f t="shared" si="0"/>
        <v>0.89064914992272026</v>
      </c>
      <c r="J69" s="248">
        <f t="shared" si="1"/>
        <v>0.10935085007727975</v>
      </c>
      <c r="L69" s="249">
        <v>711</v>
      </c>
      <c r="M69" s="249">
        <v>599</v>
      </c>
      <c r="N69" s="249">
        <v>112</v>
      </c>
      <c r="P69" s="250">
        <f t="shared" si="2"/>
        <v>0.84247538677918421</v>
      </c>
      <c r="Q69" s="250">
        <f t="shared" si="3"/>
        <v>0.15752461322081576</v>
      </c>
    </row>
    <row r="70" spans="1:17">
      <c r="A70" s="241" t="s">
        <v>165</v>
      </c>
      <c r="B70" s="242" t="s">
        <v>166</v>
      </c>
      <c r="C70" s="243" t="s">
        <v>273</v>
      </c>
      <c r="D70" s="243"/>
      <c r="E70" s="244">
        <v>3261</v>
      </c>
      <c r="F70" s="245">
        <v>3009</v>
      </c>
      <c r="G70" s="246">
        <v>252</v>
      </c>
      <c r="I70" s="247">
        <f t="shared" si="0"/>
        <v>0.92272309107635697</v>
      </c>
      <c r="J70" s="248">
        <f t="shared" si="1"/>
        <v>7.7276908923643056E-2</v>
      </c>
      <c r="L70" s="249">
        <v>657</v>
      </c>
      <c r="M70" s="249">
        <v>584</v>
      </c>
      <c r="N70" s="249">
        <v>73</v>
      </c>
      <c r="P70" s="250">
        <f t="shared" si="2"/>
        <v>0.88888888888888884</v>
      </c>
      <c r="Q70" s="250">
        <f t="shared" si="3"/>
        <v>0.1111111111111111</v>
      </c>
    </row>
    <row r="71" spans="1:17">
      <c r="A71" s="241" t="s">
        <v>169</v>
      </c>
      <c r="B71" s="242" t="s">
        <v>170</v>
      </c>
      <c r="C71" s="243" t="s">
        <v>273</v>
      </c>
      <c r="D71" s="243"/>
      <c r="E71" s="244">
        <v>2872</v>
      </c>
      <c r="F71" s="245">
        <v>2555</v>
      </c>
      <c r="G71" s="246">
        <v>317</v>
      </c>
      <c r="I71" s="247">
        <f t="shared" ref="I71:I126" si="4">F71/E71</f>
        <v>0.88962395543175488</v>
      </c>
      <c r="J71" s="248">
        <f t="shared" ref="J71:J126" si="5">G71/E71</f>
        <v>0.11037604456824512</v>
      </c>
      <c r="L71" s="249">
        <v>1023</v>
      </c>
      <c r="M71" s="249">
        <v>879</v>
      </c>
      <c r="N71" s="249">
        <v>144</v>
      </c>
      <c r="P71" s="250">
        <f t="shared" ref="P71:P126" si="6">M71/L71</f>
        <v>0.85923753665689151</v>
      </c>
      <c r="Q71" s="250">
        <f t="shared" ref="Q71:Q126" si="7">N71/L71</f>
        <v>0.14076246334310852</v>
      </c>
    </row>
    <row r="72" spans="1:17">
      <c r="A72" s="241" t="s">
        <v>171</v>
      </c>
      <c r="B72" s="242" t="s">
        <v>172</v>
      </c>
      <c r="C72" s="243" t="s">
        <v>274</v>
      </c>
      <c r="D72" s="243"/>
      <c r="E72" s="244">
        <v>8029</v>
      </c>
      <c r="F72" s="245">
        <v>7323</v>
      </c>
      <c r="G72" s="246">
        <v>706</v>
      </c>
      <c r="I72" s="247">
        <f t="shared" si="4"/>
        <v>0.91206875077842819</v>
      </c>
      <c r="J72" s="248">
        <f t="shared" si="5"/>
        <v>8.7931249221571806E-2</v>
      </c>
      <c r="L72" s="249">
        <v>2859</v>
      </c>
      <c r="M72" s="249">
        <v>2581</v>
      </c>
      <c r="N72" s="249">
        <v>278</v>
      </c>
      <c r="P72" s="250">
        <f t="shared" si="6"/>
        <v>0.90276320391745368</v>
      </c>
      <c r="Q72" s="250">
        <f t="shared" si="7"/>
        <v>9.7236796082546345E-2</v>
      </c>
    </row>
    <row r="73" spans="1:17">
      <c r="A73" s="241" t="s">
        <v>173</v>
      </c>
      <c r="B73" s="242" t="s">
        <v>174</v>
      </c>
      <c r="C73" s="243" t="s">
        <v>274</v>
      </c>
      <c r="D73" s="243"/>
      <c r="E73" s="244">
        <v>5801</v>
      </c>
      <c r="F73" s="245">
        <v>5126</v>
      </c>
      <c r="G73" s="246">
        <v>675</v>
      </c>
      <c r="I73" s="247">
        <f t="shared" si="4"/>
        <v>0.88364075159455269</v>
      </c>
      <c r="J73" s="248">
        <f t="shared" si="5"/>
        <v>0.11635924840544734</v>
      </c>
      <c r="L73" s="249">
        <v>2042</v>
      </c>
      <c r="M73" s="249">
        <v>1748</v>
      </c>
      <c r="N73" s="249">
        <v>294</v>
      </c>
      <c r="P73" s="250">
        <f t="shared" si="6"/>
        <v>0.85602350636630753</v>
      </c>
      <c r="Q73" s="250">
        <f t="shared" si="7"/>
        <v>0.14397649363369247</v>
      </c>
    </row>
    <row r="74" spans="1:17">
      <c r="A74" s="241" t="s">
        <v>175</v>
      </c>
      <c r="B74" s="242" t="s">
        <v>176</v>
      </c>
      <c r="C74" s="243" t="s">
        <v>275</v>
      </c>
      <c r="D74" s="243"/>
      <c r="E74" s="244">
        <v>4631</v>
      </c>
      <c r="F74" s="245">
        <v>4305</v>
      </c>
      <c r="G74" s="246">
        <v>326</v>
      </c>
      <c r="I74" s="247">
        <f t="shared" si="4"/>
        <v>0.92960483696825735</v>
      </c>
      <c r="J74" s="248">
        <f t="shared" si="5"/>
        <v>7.0395163031742605E-2</v>
      </c>
      <c r="L74" s="249">
        <v>1404</v>
      </c>
      <c r="M74" s="249">
        <v>1272</v>
      </c>
      <c r="N74" s="249">
        <v>132</v>
      </c>
      <c r="P74" s="250">
        <f t="shared" si="6"/>
        <v>0.90598290598290598</v>
      </c>
      <c r="Q74" s="250">
        <f t="shared" si="7"/>
        <v>9.4017094017094016E-2</v>
      </c>
    </row>
    <row r="75" spans="1:17">
      <c r="A75" s="241" t="s">
        <v>179</v>
      </c>
      <c r="B75" s="242" t="s">
        <v>180</v>
      </c>
      <c r="C75" s="243" t="s">
        <v>272</v>
      </c>
      <c r="D75" s="243"/>
      <c r="E75" s="244">
        <v>14710</v>
      </c>
      <c r="F75" s="245">
        <v>13591</v>
      </c>
      <c r="G75" s="246">
        <v>1119</v>
      </c>
      <c r="I75" s="247">
        <f t="shared" si="4"/>
        <v>0.92392929979605709</v>
      </c>
      <c r="J75" s="248">
        <f t="shared" si="5"/>
        <v>7.6070700203942895E-2</v>
      </c>
      <c r="L75" s="249">
        <v>4922</v>
      </c>
      <c r="M75" s="249">
        <v>4454</v>
      </c>
      <c r="N75" s="249">
        <v>468</v>
      </c>
      <c r="P75" s="250">
        <f t="shared" si="6"/>
        <v>0.90491670052824058</v>
      </c>
      <c r="Q75" s="250">
        <f t="shared" si="7"/>
        <v>9.5083299471759447E-2</v>
      </c>
    </row>
    <row r="76" spans="1:17">
      <c r="A76" s="241" t="s">
        <v>183</v>
      </c>
      <c r="B76" s="242" t="s">
        <v>184</v>
      </c>
      <c r="C76" s="243" t="s">
        <v>273</v>
      </c>
      <c r="D76" s="243"/>
      <c r="E76" s="244">
        <v>6742</v>
      </c>
      <c r="F76" s="245">
        <v>6381</v>
      </c>
      <c r="G76" s="246">
        <v>361</v>
      </c>
      <c r="I76" s="247">
        <f t="shared" si="4"/>
        <v>0.94645505784633643</v>
      </c>
      <c r="J76" s="248">
        <f t="shared" si="5"/>
        <v>5.3544942153663601E-2</v>
      </c>
      <c r="L76" s="249">
        <v>2714</v>
      </c>
      <c r="M76" s="249">
        <v>2587</v>
      </c>
      <c r="N76" s="249">
        <v>127</v>
      </c>
      <c r="P76" s="250">
        <f t="shared" si="6"/>
        <v>0.95320560058953574</v>
      </c>
      <c r="Q76" s="250">
        <f t="shared" si="7"/>
        <v>4.679439941046426E-2</v>
      </c>
    </row>
    <row r="77" spans="1:17">
      <c r="A77" s="241" t="s">
        <v>185</v>
      </c>
      <c r="B77" s="242" t="s">
        <v>186</v>
      </c>
      <c r="C77" s="243" t="s">
        <v>273</v>
      </c>
      <c r="D77" s="243"/>
      <c r="E77" s="244">
        <v>3707</v>
      </c>
      <c r="F77" s="245">
        <v>3275</v>
      </c>
      <c r="G77" s="246">
        <v>432</v>
      </c>
      <c r="I77" s="247">
        <f t="shared" si="4"/>
        <v>0.88346371729161044</v>
      </c>
      <c r="J77" s="248">
        <f t="shared" si="5"/>
        <v>0.11653628270838953</v>
      </c>
      <c r="L77" s="249">
        <v>1279</v>
      </c>
      <c r="M77" s="249">
        <v>1098</v>
      </c>
      <c r="N77" s="249">
        <v>181</v>
      </c>
      <c r="P77" s="250">
        <f t="shared" si="6"/>
        <v>0.85848318999218143</v>
      </c>
      <c r="Q77" s="250">
        <f t="shared" si="7"/>
        <v>0.1415168100078186</v>
      </c>
    </row>
    <row r="78" spans="1:17">
      <c r="A78" s="241" t="s">
        <v>187</v>
      </c>
      <c r="B78" s="242" t="s">
        <v>188</v>
      </c>
      <c r="C78" s="243" t="s">
        <v>271</v>
      </c>
      <c r="D78" s="243"/>
      <c r="E78" s="244">
        <v>7326</v>
      </c>
      <c r="F78" s="245">
        <v>6849</v>
      </c>
      <c r="G78" s="246">
        <v>477</v>
      </c>
      <c r="I78" s="247">
        <f t="shared" si="4"/>
        <v>0.93488943488943488</v>
      </c>
      <c r="J78" s="248">
        <f t="shared" si="5"/>
        <v>6.5110565110565108E-2</v>
      </c>
      <c r="L78" s="249">
        <v>2939</v>
      </c>
      <c r="M78" s="249">
        <v>2743</v>
      </c>
      <c r="N78" s="249">
        <v>196</v>
      </c>
      <c r="P78" s="250">
        <f t="shared" si="6"/>
        <v>0.93331064988091184</v>
      </c>
      <c r="Q78" s="250">
        <f t="shared" si="7"/>
        <v>6.6689350119088123E-2</v>
      </c>
    </row>
    <row r="79" spans="1:17">
      <c r="A79" s="241" t="s">
        <v>189</v>
      </c>
      <c r="B79" s="242" t="s">
        <v>190</v>
      </c>
      <c r="C79" s="243" t="s">
        <v>274</v>
      </c>
      <c r="D79" s="243"/>
      <c r="E79" s="244">
        <v>84487</v>
      </c>
      <c r="F79" s="245">
        <v>78037</v>
      </c>
      <c r="G79" s="246">
        <v>6450</v>
      </c>
      <c r="I79" s="247">
        <f t="shared" si="4"/>
        <v>0.92365689396001749</v>
      </c>
      <c r="J79" s="248">
        <f t="shared" si="5"/>
        <v>7.6343106039982483E-2</v>
      </c>
      <c r="L79" s="249">
        <v>44548</v>
      </c>
      <c r="M79" s="249">
        <v>41816</v>
      </c>
      <c r="N79" s="249">
        <v>2732</v>
      </c>
      <c r="P79" s="250">
        <f t="shared" si="6"/>
        <v>0.93867289216126426</v>
      </c>
      <c r="Q79" s="250">
        <f t="shared" si="7"/>
        <v>6.1327107838735746E-2</v>
      </c>
    </row>
    <row r="80" spans="1:17">
      <c r="A80" s="241" t="s">
        <v>191</v>
      </c>
      <c r="B80" s="242" t="s">
        <v>192</v>
      </c>
      <c r="C80" s="243" t="s">
        <v>275</v>
      </c>
      <c r="D80" s="243"/>
      <c r="E80" s="244">
        <v>8123</v>
      </c>
      <c r="F80" s="245">
        <v>7332</v>
      </c>
      <c r="G80" s="246">
        <v>791</v>
      </c>
      <c r="I80" s="247">
        <f t="shared" si="4"/>
        <v>0.90262218392219629</v>
      </c>
      <c r="J80" s="248">
        <f t="shared" si="5"/>
        <v>9.7377816077803769E-2</v>
      </c>
      <c r="L80" s="249">
        <v>2499</v>
      </c>
      <c r="M80" s="249">
        <v>2197</v>
      </c>
      <c r="N80" s="249">
        <v>302</v>
      </c>
      <c r="P80" s="250">
        <f t="shared" si="6"/>
        <v>0.87915166066426575</v>
      </c>
      <c r="Q80" s="250">
        <f t="shared" si="7"/>
        <v>0.1208483393357343</v>
      </c>
    </row>
    <row r="81" spans="1:17">
      <c r="A81" s="241" t="s">
        <v>195</v>
      </c>
      <c r="B81" s="242" t="s">
        <v>196</v>
      </c>
      <c r="C81" s="243" t="s">
        <v>274</v>
      </c>
      <c r="D81" s="243"/>
      <c r="E81" s="244">
        <v>1838</v>
      </c>
      <c r="F81" s="245">
        <v>1685</v>
      </c>
      <c r="G81" s="246">
        <v>153</v>
      </c>
      <c r="I81" s="247">
        <f t="shared" si="4"/>
        <v>0.91675734494015237</v>
      </c>
      <c r="J81" s="248">
        <f t="shared" si="5"/>
        <v>8.3242655059847667E-2</v>
      </c>
      <c r="L81" s="249">
        <v>573</v>
      </c>
      <c r="M81" s="249">
        <v>521</v>
      </c>
      <c r="N81" s="249">
        <v>52</v>
      </c>
      <c r="P81" s="250">
        <f t="shared" si="6"/>
        <v>0.90924956369982546</v>
      </c>
      <c r="Q81" s="250">
        <f t="shared" si="7"/>
        <v>9.0750436300174514E-2</v>
      </c>
    </row>
    <row r="82" spans="1:17">
      <c r="A82" s="241" t="s">
        <v>199</v>
      </c>
      <c r="B82" s="242" t="s">
        <v>200</v>
      </c>
      <c r="C82" s="243" t="s">
        <v>273</v>
      </c>
      <c r="D82" s="243"/>
      <c r="E82" s="244">
        <v>1629</v>
      </c>
      <c r="F82" s="245">
        <v>1480</v>
      </c>
      <c r="G82" s="246">
        <v>149</v>
      </c>
      <c r="I82" s="247">
        <f t="shared" si="4"/>
        <v>0.9085328422344997</v>
      </c>
      <c r="J82" s="248">
        <f t="shared" si="5"/>
        <v>9.1467157765500309E-2</v>
      </c>
      <c r="L82" s="249">
        <v>553</v>
      </c>
      <c r="M82" s="249">
        <v>488</v>
      </c>
      <c r="N82" s="249">
        <v>65</v>
      </c>
      <c r="P82" s="250">
        <f t="shared" si="6"/>
        <v>0.88245931283905965</v>
      </c>
      <c r="Q82" s="250">
        <f t="shared" si="7"/>
        <v>0.11754068716094032</v>
      </c>
    </row>
    <row r="83" spans="1:17">
      <c r="A83" s="241" t="s">
        <v>203</v>
      </c>
      <c r="B83" s="242" t="s">
        <v>805</v>
      </c>
      <c r="C83" s="243" t="s">
        <v>272</v>
      </c>
      <c r="D83" s="243"/>
      <c r="E83" s="244">
        <v>27391</v>
      </c>
      <c r="F83" s="245">
        <v>25544</v>
      </c>
      <c r="G83" s="246">
        <v>1847</v>
      </c>
      <c r="I83" s="247">
        <f t="shared" si="4"/>
        <v>0.93256909203753058</v>
      </c>
      <c r="J83" s="248">
        <f t="shared" si="5"/>
        <v>6.7430907962469422E-2</v>
      </c>
      <c r="L83" s="249">
        <v>10136</v>
      </c>
      <c r="M83" s="249">
        <v>9529</v>
      </c>
      <c r="N83" s="249">
        <v>607</v>
      </c>
      <c r="P83" s="250">
        <f t="shared" si="6"/>
        <v>0.94011444356748219</v>
      </c>
      <c r="Q83" s="250">
        <f t="shared" si="7"/>
        <v>5.9885556432517757E-2</v>
      </c>
    </row>
    <row r="84" spans="1:17">
      <c r="A84" s="241" t="s">
        <v>205</v>
      </c>
      <c r="B84" s="242" t="s">
        <v>303</v>
      </c>
      <c r="C84" s="243" t="s">
        <v>272</v>
      </c>
      <c r="D84" s="243"/>
      <c r="E84" s="244">
        <v>7830</v>
      </c>
      <c r="F84" s="245">
        <v>7065</v>
      </c>
      <c r="G84" s="246">
        <v>765</v>
      </c>
      <c r="I84" s="247">
        <f t="shared" si="4"/>
        <v>0.9022988505747126</v>
      </c>
      <c r="J84" s="248">
        <f t="shared" si="5"/>
        <v>9.7701149425287362E-2</v>
      </c>
      <c r="L84" s="249">
        <v>2523</v>
      </c>
      <c r="M84" s="249">
        <v>2233</v>
      </c>
      <c r="N84" s="249">
        <v>290</v>
      </c>
      <c r="P84" s="250">
        <f t="shared" si="6"/>
        <v>0.88505747126436785</v>
      </c>
      <c r="Q84" s="250">
        <f t="shared" si="7"/>
        <v>0.11494252873563218</v>
      </c>
    </row>
    <row r="85" spans="1:17">
      <c r="A85" s="241" t="s">
        <v>207</v>
      </c>
      <c r="B85" s="242" t="s">
        <v>304</v>
      </c>
      <c r="C85" s="243" t="s">
        <v>274</v>
      </c>
      <c r="D85" s="243"/>
      <c r="E85" s="244">
        <v>24868</v>
      </c>
      <c r="F85" s="245">
        <v>22377</v>
      </c>
      <c r="G85" s="246">
        <v>2491</v>
      </c>
      <c r="I85" s="247">
        <f t="shared" si="4"/>
        <v>0.89983110825156831</v>
      </c>
      <c r="J85" s="248">
        <f t="shared" si="5"/>
        <v>0.10016889174843172</v>
      </c>
      <c r="L85" s="249">
        <v>9709</v>
      </c>
      <c r="M85" s="249">
        <v>8763</v>
      </c>
      <c r="N85" s="249">
        <v>946</v>
      </c>
      <c r="P85" s="250">
        <f t="shared" si="6"/>
        <v>0.90256463075496962</v>
      </c>
      <c r="Q85" s="250">
        <f t="shared" si="7"/>
        <v>9.7435369245030379E-2</v>
      </c>
    </row>
    <row r="86" spans="1:17">
      <c r="A86" s="241" t="s">
        <v>209</v>
      </c>
      <c r="B86" s="242" t="s">
        <v>210</v>
      </c>
      <c r="C86" s="243" t="s">
        <v>275</v>
      </c>
      <c r="D86" s="243"/>
      <c r="E86" s="244">
        <v>7121</v>
      </c>
      <c r="F86" s="245">
        <v>6663</v>
      </c>
      <c r="G86" s="246">
        <v>458</v>
      </c>
      <c r="I86" s="247">
        <f t="shared" si="4"/>
        <v>0.9356831905631231</v>
      </c>
      <c r="J86" s="248">
        <f t="shared" si="5"/>
        <v>6.4316809436876843E-2</v>
      </c>
      <c r="L86" s="249">
        <v>2435</v>
      </c>
      <c r="M86" s="249">
        <v>2264</v>
      </c>
      <c r="N86" s="249">
        <v>171</v>
      </c>
      <c r="P86" s="250">
        <f t="shared" si="6"/>
        <v>0.92977412731006159</v>
      </c>
      <c r="Q86" s="250">
        <f t="shared" si="7"/>
        <v>7.0225872689938393E-2</v>
      </c>
    </row>
    <row r="87" spans="1:17">
      <c r="A87" s="241" t="s">
        <v>211</v>
      </c>
      <c r="B87" s="242" t="s">
        <v>212</v>
      </c>
      <c r="C87" s="243" t="s">
        <v>275</v>
      </c>
      <c r="D87" s="243"/>
      <c r="E87" s="244">
        <v>5615</v>
      </c>
      <c r="F87" s="245">
        <v>5267</v>
      </c>
      <c r="G87" s="246">
        <v>348</v>
      </c>
      <c r="I87" s="247">
        <f t="shared" si="4"/>
        <v>0.93802315227070343</v>
      </c>
      <c r="J87" s="248">
        <f t="shared" si="5"/>
        <v>6.1976847729296528E-2</v>
      </c>
      <c r="L87" s="249">
        <v>1805</v>
      </c>
      <c r="M87" s="249">
        <v>1674</v>
      </c>
      <c r="N87" s="249">
        <v>131</v>
      </c>
      <c r="P87" s="250">
        <f t="shared" si="6"/>
        <v>0.92742382271468149</v>
      </c>
      <c r="Q87" s="250">
        <f t="shared" si="7"/>
        <v>7.2576177285318566E-2</v>
      </c>
    </row>
    <row r="88" spans="1:17">
      <c r="A88" s="241" t="s">
        <v>213</v>
      </c>
      <c r="B88" s="242" t="s">
        <v>214</v>
      </c>
      <c r="C88" s="243" t="s">
        <v>274</v>
      </c>
      <c r="D88" s="243"/>
      <c r="E88" s="244">
        <v>10226</v>
      </c>
      <c r="F88" s="245">
        <v>9052</v>
      </c>
      <c r="G88" s="246">
        <v>1174</v>
      </c>
      <c r="I88" s="247">
        <f t="shared" si="4"/>
        <v>0.88519460199491495</v>
      </c>
      <c r="J88" s="248">
        <f t="shared" si="5"/>
        <v>0.11480539800508507</v>
      </c>
      <c r="L88" s="249">
        <v>3535</v>
      </c>
      <c r="M88" s="249">
        <v>3074</v>
      </c>
      <c r="N88" s="249">
        <v>461</v>
      </c>
      <c r="P88" s="250">
        <f t="shared" si="6"/>
        <v>0.86958981612446962</v>
      </c>
      <c r="Q88" s="250">
        <f t="shared" si="7"/>
        <v>0.13041018387553041</v>
      </c>
    </row>
    <row r="89" spans="1:17">
      <c r="A89" s="241" t="s">
        <v>215</v>
      </c>
      <c r="B89" s="242" t="s">
        <v>216</v>
      </c>
      <c r="C89" s="243" t="s">
        <v>275</v>
      </c>
      <c r="D89" s="243"/>
      <c r="E89" s="244">
        <v>7375</v>
      </c>
      <c r="F89" s="245">
        <v>6640</v>
      </c>
      <c r="G89" s="246">
        <v>735</v>
      </c>
      <c r="I89" s="247">
        <f t="shared" si="4"/>
        <v>0.90033898305084747</v>
      </c>
      <c r="J89" s="248">
        <f t="shared" si="5"/>
        <v>9.9661016949152539E-2</v>
      </c>
      <c r="L89" s="249">
        <v>2466</v>
      </c>
      <c r="M89" s="249">
        <v>2168</v>
      </c>
      <c r="N89" s="249">
        <v>298</v>
      </c>
      <c r="P89" s="250">
        <f t="shared" si="6"/>
        <v>0.87915652879156525</v>
      </c>
      <c r="Q89" s="250">
        <f t="shared" si="7"/>
        <v>0.12084347120843471</v>
      </c>
    </row>
    <row r="90" spans="1:17">
      <c r="A90" s="241" t="s">
        <v>217</v>
      </c>
      <c r="B90" s="242" t="s">
        <v>218</v>
      </c>
      <c r="C90" s="243" t="s">
        <v>271</v>
      </c>
      <c r="D90" s="243"/>
      <c r="E90" s="244">
        <v>3804</v>
      </c>
      <c r="F90" s="245">
        <v>3501</v>
      </c>
      <c r="G90" s="246">
        <v>303</v>
      </c>
      <c r="I90" s="247">
        <f t="shared" si="4"/>
        <v>0.92034700315457418</v>
      </c>
      <c r="J90" s="248">
        <f t="shared" si="5"/>
        <v>7.9652996845425872E-2</v>
      </c>
      <c r="L90" s="249">
        <v>1348</v>
      </c>
      <c r="M90" s="249">
        <v>1235</v>
      </c>
      <c r="N90" s="249">
        <v>113</v>
      </c>
      <c r="P90" s="250">
        <f t="shared" si="6"/>
        <v>0.91617210682492578</v>
      </c>
      <c r="Q90" s="250">
        <f t="shared" si="7"/>
        <v>8.3827893175074178E-2</v>
      </c>
    </row>
    <row r="91" spans="1:17">
      <c r="A91" s="241" t="s">
        <v>219</v>
      </c>
      <c r="B91" s="242" t="s">
        <v>220</v>
      </c>
      <c r="C91" s="243" t="s">
        <v>274</v>
      </c>
      <c r="D91" s="243"/>
      <c r="E91" s="244">
        <v>27740</v>
      </c>
      <c r="F91" s="245">
        <v>25473</v>
      </c>
      <c r="G91" s="246">
        <v>2267</v>
      </c>
      <c r="I91" s="247">
        <f t="shared" si="4"/>
        <v>0.91827685652487379</v>
      </c>
      <c r="J91" s="248">
        <f t="shared" si="5"/>
        <v>8.1723143475126173E-2</v>
      </c>
      <c r="L91" s="249">
        <v>12842</v>
      </c>
      <c r="M91" s="249">
        <v>11937</v>
      </c>
      <c r="N91" s="249">
        <v>905</v>
      </c>
      <c r="P91" s="250">
        <f t="shared" si="6"/>
        <v>0.92952811088615483</v>
      </c>
      <c r="Q91" s="250">
        <f t="shared" si="7"/>
        <v>7.0471889113845193E-2</v>
      </c>
    </row>
    <row r="92" spans="1:17">
      <c r="A92" s="241" t="s">
        <v>221</v>
      </c>
      <c r="B92" s="242" t="s">
        <v>222</v>
      </c>
      <c r="C92" s="243" t="s">
        <v>274</v>
      </c>
      <c r="D92" s="243"/>
      <c r="E92" s="244">
        <v>28707</v>
      </c>
      <c r="F92" s="245">
        <v>26742</v>
      </c>
      <c r="G92" s="246">
        <v>1965</v>
      </c>
      <c r="I92" s="247">
        <f t="shared" si="4"/>
        <v>0.93154979621695055</v>
      </c>
      <c r="J92" s="248">
        <f t="shared" si="5"/>
        <v>6.8450203783049432E-2</v>
      </c>
      <c r="L92" s="249">
        <v>14418</v>
      </c>
      <c r="M92" s="249">
        <v>13579</v>
      </c>
      <c r="N92" s="249">
        <v>839</v>
      </c>
      <c r="P92" s="250">
        <f t="shared" si="6"/>
        <v>0.94180885004855042</v>
      </c>
      <c r="Q92" s="250">
        <f t="shared" si="7"/>
        <v>5.8191149951449576E-2</v>
      </c>
    </row>
    <row r="93" spans="1:17">
      <c r="A93" s="241" t="s">
        <v>225</v>
      </c>
      <c r="B93" s="242" t="s">
        <v>226</v>
      </c>
      <c r="C93" s="243" t="s">
        <v>271</v>
      </c>
      <c r="D93" s="243"/>
      <c r="E93" s="244">
        <v>1585</v>
      </c>
      <c r="F93" s="245">
        <v>1455</v>
      </c>
      <c r="G93" s="246">
        <v>130</v>
      </c>
      <c r="I93" s="247">
        <f t="shared" si="4"/>
        <v>0.917981072555205</v>
      </c>
      <c r="J93" s="248">
        <f t="shared" si="5"/>
        <v>8.2018927444794956E-2</v>
      </c>
      <c r="L93" s="249">
        <v>492</v>
      </c>
      <c r="M93" s="249">
        <v>446</v>
      </c>
      <c r="N93" s="249">
        <v>46</v>
      </c>
      <c r="P93" s="250">
        <f t="shared" si="6"/>
        <v>0.9065040650406504</v>
      </c>
      <c r="Q93" s="250">
        <f t="shared" si="7"/>
        <v>9.3495934959349589E-2</v>
      </c>
    </row>
    <row r="94" spans="1:17">
      <c r="A94" s="241" t="s">
        <v>227</v>
      </c>
      <c r="B94" s="242" t="s">
        <v>228</v>
      </c>
      <c r="C94" s="243" t="s">
        <v>271</v>
      </c>
      <c r="D94" s="243"/>
      <c r="E94" s="244">
        <v>1927</v>
      </c>
      <c r="F94" s="245">
        <v>1700</v>
      </c>
      <c r="G94" s="246">
        <v>227</v>
      </c>
      <c r="I94" s="247">
        <f t="shared" si="4"/>
        <v>0.8822003113648158</v>
      </c>
      <c r="J94" s="248">
        <f t="shared" si="5"/>
        <v>0.11779968863518422</v>
      </c>
      <c r="L94" s="249">
        <v>596</v>
      </c>
      <c r="M94" s="249">
        <v>516</v>
      </c>
      <c r="N94" s="249">
        <v>80</v>
      </c>
      <c r="P94" s="250">
        <f t="shared" si="6"/>
        <v>0.86577181208053688</v>
      </c>
      <c r="Q94" s="250">
        <f t="shared" si="7"/>
        <v>0.13422818791946309</v>
      </c>
    </row>
    <row r="95" spans="1:17">
      <c r="A95" s="241" t="s">
        <v>229</v>
      </c>
      <c r="B95" s="242" t="s">
        <v>230</v>
      </c>
      <c r="C95" s="243" t="s">
        <v>275</v>
      </c>
      <c r="D95" s="243"/>
      <c r="E95" s="244">
        <v>10694</v>
      </c>
      <c r="F95" s="245">
        <v>9927</v>
      </c>
      <c r="G95" s="246">
        <v>767</v>
      </c>
      <c r="I95" s="247">
        <f t="shared" si="4"/>
        <v>0.92827753880680752</v>
      </c>
      <c r="J95" s="248">
        <f t="shared" si="5"/>
        <v>7.1722461193192449E-2</v>
      </c>
      <c r="L95" s="249">
        <v>3630</v>
      </c>
      <c r="M95" s="249">
        <v>3309</v>
      </c>
      <c r="N95" s="249">
        <v>321</v>
      </c>
      <c r="P95" s="250">
        <f t="shared" si="6"/>
        <v>0.9115702479338843</v>
      </c>
      <c r="Q95" s="250">
        <f t="shared" si="7"/>
        <v>8.8429752066115697E-2</v>
      </c>
    </row>
    <row r="96" spans="1:17">
      <c r="A96" s="241" t="s">
        <v>233</v>
      </c>
      <c r="B96" s="242" t="s">
        <v>234</v>
      </c>
      <c r="C96" s="243" t="s">
        <v>274</v>
      </c>
      <c r="D96" s="243"/>
      <c r="E96" s="244">
        <v>8466</v>
      </c>
      <c r="F96" s="245">
        <v>7448</v>
      </c>
      <c r="G96" s="246">
        <v>1018</v>
      </c>
      <c r="I96" s="247">
        <f t="shared" si="4"/>
        <v>0.87975431136309945</v>
      </c>
      <c r="J96" s="248">
        <f t="shared" si="5"/>
        <v>0.12024568863690055</v>
      </c>
      <c r="L96" s="249">
        <v>3365</v>
      </c>
      <c r="M96" s="249">
        <v>2964</v>
      </c>
      <c r="N96" s="249">
        <v>401</v>
      </c>
      <c r="P96" s="250">
        <f t="shared" si="6"/>
        <v>0.88083209509658245</v>
      </c>
      <c r="Q96" s="250">
        <f t="shared" si="7"/>
        <v>0.11916790490341754</v>
      </c>
    </row>
    <row r="97" spans="1:17">
      <c r="A97" s="241" t="s">
        <v>235</v>
      </c>
      <c r="B97" s="242" t="s">
        <v>236</v>
      </c>
      <c r="C97" s="243" t="s">
        <v>275</v>
      </c>
      <c r="D97" s="243"/>
      <c r="E97" s="244">
        <v>13451</v>
      </c>
      <c r="F97" s="245">
        <v>12472</v>
      </c>
      <c r="G97" s="246">
        <v>979</v>
      </c>
      <c r="I97" s="247">
        <f t="shared" si="4"/>
        <v>0.92721730726340046</v>
      </c>
      <c r="J97" s="248">
        <f t="shared" si="5"/>
        <v>7.2782692736599514E-2</v>
      </c>
      <c r="L97" s="249">
        <v>4316</v>
      </c>
      <c r="M97" s="249">
        <v>3992</v>
      </c>
      <c r="N97" s="249">
        <v>324</v>
      </c>
      <c r="P97" s="250">
        <f t="shared" si="6"/>
        <v>0.92493049119555149</v>
      </c>
      <c r="Q97" s="250">
        <f t="shared" si="7"/>
        <v>7.506950880444857E-2</v>
      </c>
    </row>
    <row r="98" spans="1:17">
      <c r="A98" s="241" t="s">
        <v>237</v>
      </c>
      <c r="B98" s="242" t="s">
        <v>238</v>
      </c>
      <c r="C98" s="243" t="s">
        <v>273</v>
      </c>
      <c r="D98" s="243"/>
      <c r="E98" s="244">
        <v>3942</v>
      </c>
      <c r="F98" s="245">
        <v>3509</v>
      </c>
      <c r="G98" s="246">
        <v>433</v>
      </c>
      <c r="I98" s="247">
        <f t="shared" si="4"/>
        <v>0.89015728056823951</v>
      </c>
      <c r="J98" s="248">
        <f t="shared" si="5"/>
        <v>0.10984271943176052</v>
      </c>
      <c r="L98" s="249">
        <v>1096</v>
      </c>
      <c r="M98" s="249">
        <v>949</v>
      </c>
      <c r="N98" s="249">
        <v>147</v>
      </c>
      <c r="P98" s="250">
        <f t="shared" si="6"/>
        <v>0.86587591240875916</v>
      </c>
      <c r="Q98" s="250">
        <f t="shared" si="7"/>
        <v>0.13412408759124086</v>
      </c>
    </row>
    <row r="99" spans="1:17">
      <c r="A99" s="241" t="s">
        <v>243</v>
      </c>
      <c r="B99" s="242" t="s">
        <v>244</v>
      </c>
      <c r="C99" s="243" t="s">
        <v>275</v>
      </c>
      <c r="D99" s="243"/>
      <c r="E99" s="244">
        <v>8806</v>
      </c>
      <c r="F99" s="245">
        <v>8036</v>
      </c>
      <c r="G99" s="246">
        <v>770</v>
      </c>
      <c r="I99" s="247">
        <f t="shared" si="4"/>
        <v>0.91255961844197142</v>
      </c>
      <c r="J99" s="248">
        <f t="shared" si="5"/>
        <v>8.7440381558028621E-2</v>
      </c>
      <c r="L99" s="249">
        <v>3189</v>
      </c>
      <c r="M99" s="249">
        <v>2847</v>
      </c>
      <c r="N99" s="249">
        <v>342</v>
      </c>
      <c r="P99" s="250">
        <f t="shared" si="6"/>
        <v>0.89275634995296327</v>
      </c>
      <c r="Q99" s="250">
        <f t="shared" si="7"/>
        <v>0.10724365004703669</v>
      </c>
    </row>
    <row r="100" spans="1:17">
      <c r="A100" s="241" t="s">
        <v>245</v>
      </c>
      <c r="B100" s="242" t="s">
        <v>246</v>
      </c>
      <c r="C100" s="243" t="s">
        <v>275</v>
      </c>
      <c r="D100" s="243"/>
      <c r="E100" s="244">
        <v>7017</v>
      </c>
      <c r="F100" s="245">
        <v>6427</v>
      </c>
      <c r="G100" s="246">
        <v>590</v>
      </c>
      <c r="I100" s="247">
        <f t="shared" si="4"/>
        <v>0.91591848368248541</v>
      </c>
      <c r="J100" s="248">
        <f t="shared" si="5"/>
        <v>8.4081516317514607E-2</v>
      </c>
      <c r="L100" s="249">
        <v>2359</v>
      </c>
      <c r="M100" s="249">
        <v>2122</v>
      </c>
      <c r="N100" s="249">
        <v>237</v>
      </c>
      <c r="P100" s="250">
        <f t="shared" si="6"/>
        <v>0.89953370072064431</v>
      </c>
      <c r="Q100" s="250">
        <f t="shared" si="7"/>
        <v>0.10046629927935566</v>
      </c>
    </row>
    <row r="101" spans="1:17">
      <c r="A101" s="241" t="s">
        <v>247</v>
      </c>
      <c r="B101" s="242" t="s">
        <v>248</v>
      </c>
      <c r="C101" s="243" t="s">
        <v>271</v>
      </c>
      <c r="D101" s="243"/>
      <c r="E101" s="244">
        <v>19258</v>
      </c>
      <c r="F101" s="245">
        <v>18334</v>
      </c>
      <c r="G101" s="246">
        <v>924</v>
      </c>
      <c r="I101" s="247">
        <f t="shared" si="4"/>
        <v>0.95201993976529231</v>
      </c>
      <c r="J101" s="248">
        <f t="shared" si="5"/>
        <v>4.7980060234707654E-2</v>
      </c>
      <c r="L101" s="249">
        <v>8546</v>
      </c>
      <c r="M101" s="249">
        <v>8213</v>
      </c>
      <c r="N101" s="249">
        <v>333</v>
      </c>
      <c r="P101" s="250">
        <f t="shared" si="6"/>
        <v>0.96103440205944302</v>
      </c>
      <c r="Q101" s="250">
        <f t="shared" si="7"/>
        <v>3.8965597940556984E-2</v>
      </c>
    </row>
    <row r="102" spans="1:17">
      <c r="A102" s="241" t="s">
        <v>14</v>
      </c>
      <c r="B102" s="242" t="s">
        <v>15</v>
      </c>
      <c r="C102" s="243" t="s">
        <v>274</v>
      </c>
      <c r="D102" s="243"/>
      <c r="E102" s="244">
        <v>26684</v>
      </c>
      <c r="F102" s="245">
        <v>22819</v>
      </c>
      <c r="G102" s="246">
        <v>3865</v>
      </c>
      <c r="I102" s="247">
        <f t="shared" si="4"/>
        <v>0.85515664817868386</v>
      </c>
      <c r="J102" s="248">
        <f t="shared" si="5"/>
        <v>0.14484335182131614</v>
      </c>
      <c r="L102" s="249">
        <v>9744</v>
      </c>
      <c r="M102" s="249">
        <v>8972</v>
      </c>
      <c r="N102" s="249">
        <v>772</v>
      </c>
      <c r="P102" s="250">
        <f t="shared" si="6"/>
        <v>0.92077175697865354</v>
      </c>
      <c r="Q102" s="250">
        <f t="shared" si="7"/>
        <v>7.922824302134647E-2</v>
      </c>
    </row>
    <row r="103" spans="1:17">
      <c r="A103" s="241" t="s">
        <v>35</v>
      </c>
      <c r="B103" s="242" t="s">
        <v>36</v>
      </c>
      <c r="C103" s="243" t="s">
        <v>275</v>
      </c>
      <c r="D103" s="243"/>
      <c r="E103" s="244">
        <v>3682</v>
      </c>
      <c r="F103" s="245">
        <v>3261</v>
      </c>
      <c r="G103" s="246">
        <v>421</v>
      </c>
      <c r="I103" s="247">
        <f t="shared" si="4"/>
        <v>0.88565996740901687</v>
      </c>
      <c r="J103" s="248">
        <f t="shared" si="5"/>
        <v>0.11434003259098316</v>
      </c>
      <c r="L103" s="249">
        <v>1243</v>
      </c>
      <c r="M103" s="249">
        <v>1037</v>
      </c>
      <c r="N103" s="249">
        <v>206</v>
      </c>
      <c r="P103" s="250">
        <f t="shared" si="6"/>
        <v>0.83427192276749795</v>
      </c>
      <c r="Q103" s="250">
        <f t="shared" si="7"/>
        <v>0.16572807723250202</v>
      </c>
    </row>
    <row r="104" spans="1:17">
      <c r="A104" s="241" t="s">
        <v>53</v>
      </c>
      <c r="B104" s="242" t="s">
        <v>54</v>
      </c>
      <c r="C104" s="243" t="s">
        <v>272</v>
      </c>
      <c r="D104" s="243"/>
      <c r="E104" s="244">
        <v>6044</v>
      </c>
      <c r="F104" s="245">
        <v>4996</v>
      </c>
      <c r="G104" s="246">
        <v>1048</v>
      </c>
      <c r="I104" s="247">
        <f t="shared" si="4"/>
        <v>0.82660489741892784</v>
      </c>
      <c r="J104" s="248">
        <f t="shared" si="5"/>
        <v>0.17339510258107213</v>
      </c>
      <c r="L104" s="249">
        <v>2127</v>
      </c>
      <c r="M104" s="249">
        <v>1907</v>
      </c>
      <c r="N104" s="249">
        <v>220</v>
      </c>
      <c r="P104" s="250">
        <f t="shared" si="6"/>
        <v>0.89656793606017871</v>
      </c>
      <c r="Q104" s="250">
        <f t="shared" si="7"/>
        <v>0.10343206393982135</v>
      </c>
    </row>
    <row r="105" spans="1:17">
      <c r="A105" s="241" t="s">
        <v>55</v>
      </c>
      <c r="B105" s="242" t="s">
        <v>56</v>
      </c>
      <c r="C105" s="243" t="s">
        <v>271</v>
      </c>
      <c r="D105" s="243"/>
      <c r="E105" s="244">
        <v>47445</v>
      </c>
      <c r="F105" s="245">
        <v>43872</v>
      </c>
      <c r="G105" s="246">
        <v>3573</v>
      </c>
      <c r="I105" s="247">
        <f t="shared" si="4"/>
        <v>0.92469174834018342</v>
      </c>
      <c r="J105" s="248">
        <f t="shared" si="5"/>
        <v>7.5308251659816625E-2</v>
      </c>
      <c r="L105" s="249">
        <v>20777</v>
      </c>
      <c r="M105" s="249">
        <v>19371</v>
      </c>
      <c r="N105" s="249">
        <v>1406</v>
      </c>
      <c r="P105" s="250">
        <f t="shared" si="6"/>
        <v>0.93232901766376286</v>
      </c>
      <c r="Q105" s="250">
        <f t="shared" si="7"/>
        <v>6.7670982336237182E-2</v>
      </c>
    </row>
    <row r="106" spans="1:17">
      <c r="A106" s="241" t="s">
        <v>67</v>
      </c>
      <c r="B106" s="242" t="s">
        <v>68</v>
      </c>
      <c r="C106" s="243" t="s">
        <v>272</v>
      </c>
      <c r="D106" s="243"/>
      <c r="E106" s="244">
        <v>7064</v>
      </c>
      <c r="F106" s="245">
        <v>6212</v>
      </c>
      <c r="G106" s="246">
        <v>852</v>
      </c>
      <c r="I106" s="247">
        <f t="shared" si="4"/>
        <v>0.87938844847112119</v>
      </c>
      <c r="J106" s="248">
        <f t="shared" si="5"/>
        <v>0.12061155152887883</v>
      </c>
      <c r="L106" s="249">
        <v>2114</v>
      </c>
      <c r="M106" s="249">
        <v>1728</v>
      </c>
      <c r="N106" s="249">
        <v>386</v>
      </c>
      <c r="P106" s="250">
        <f t="shared" si="6"/>
        <v>0.81740775780510877</v>
      </c>
      <c r="Q106" s="250">
        <f t="shared" si="7"/>
        <v>0.1825922421948912</v>
      </c>
    </row>
    <row r="107" spans="1:17">
      <c r="A107" s="241" t="s">
        <v>83</v>
      </c>
      <c r="B107" s="242" t="s">
        <v>333</v>
      </c>
      <c r="C107" s="243" t="s">
        <v>271</v>
      </c>
      <c r="D107" s="243"/>
      <c r="E107" s="244">
        <v>1509</v>
      </c>
      <c r="F107" s="245">
        <v>1349</v>
      </c>
      <c r="G107" s="246">
        <v>160</v>
      </c>
      <c r="I107" s="247">
        <f t="shared" si="4"/>
        <v>0.8939695162359178</v>
      </c>
      <c r="J107" s="248">
        <f t="shared" si="5"/>
        <v>0.10603048376408217</v>
      </c>
      <c r="L107" s="249">
        <v>507</v>
      </c>
      <c r="M107" s="249">
        <v>438</v>
      </c>
      <c r="N107" s="249">
        <v>69</v>
      </c>
      <c r="P107" s="250">
        <f t="shared" si="6"/>
        <v>0.86390532544378695</v>
      </c>
      <c r="Q107" s="250">
        <f t="shared" si="7"/>
        <v>0.13609467455621302</v>
      </c>
    </row>
    <row r="108" spans="1:17">
      <c r="A108" s="241" t="s">
        <v>89</v>
      </c>
      <c r="B108" s="242" t="s">
        <v>90</v>
      </c>
      <c r="C108" s="243" t="s">
        <v>274</v>
      </c>
      <c r="D108" s="243"/>
      <c r="E108" s="244">
        <v>3709</v>
      </c>
      <c r="F108" s="245">
        <v>3044</v>
      </c>
      <c r="G108" s="246">
        <v>665</v>
      </c>
      <c r="I108" s="247">
        <f t="shared" si="4"/>
        <v>0.82070638986249667</v>
      </c>
      <c r="J108" s="248">
        <f t="shared" si="5"/>
        <v>0.17929361013750336</v>
      </c>
      <c r="L108" s="249">
        <v>1483</v>
      </c>
      <c r="M108" s="249">
        <v>1250</v>
      </c>
      <c r="N108" s="249">
        <v>233</v>
      </c>
      <c r="P108" s="250">
        <f t="shared" si="6"/>
        <v>0.84288604180714766</v>
      </c>
      <c r="Q108" s="250">
        <f t="shared" si="7"/>
        <v>0.15711395819285232</v>
      </c>
    </row>
    <row r="109" spans="1:17">
      <c r="A109" s="241" t="s">
        <v>91</v>
      </c>
      <c r="B109" s="242" t="s">
        <v>92</v>
      </c>
      <c r="C109" s="243" t="s">
        <v>275</v>
      </c>
      <c r="D109" s="243"/>
      <c r="E109" s="244">
        <v>1355</v>
      </c>
      <c r="F109" s="245">
        <v>1218</v>
      </c>
      <c r="G109" s="246">
        <v>137</v>
      </c>
      <c r="I109" s="247">
        <f t="shared" si="4"/>
        <v>0.89889298892988934</v>
      </c>
      <c r="J109" s="248">
        <f t="shared" si="5"/>
        <v>0.10110701107011071</v>
      </c>
      <c r="L109" s="249">
        <v>489</v>
      </c>
      <c r="M109" s="249">
        <v>432</v>
      </c>
      <c r="N109" s="249">
        <v>57</v>
      </c>
      <c r="P109" s="250">
        <f t="shared" si="6"/>
        <v>0.8834355828220859</v>
      </c>
      <c r="Q109" s="250">
        <f t="shared" si="7"/>
        <v>0.1165644171779141</v>
      </c>
    </row>
    <row r="110" spans="1:17">
      <c r="A110" s="241" t="s">
        <v>107</v>
      </c>
      <c r="B110" s="242" t="s">
        <v>108</v>
      </c>
      <c r="C110" s="243" t="s">
        <v>271</v>
      </c>
      <c r="D110" s="243"/>
      <c r="E110" s="244">
        <v>25384</v>
      </c>
      <c r="F110" s="245">
        <v>22545</v>
      </c>
      <c r="G110" s="246">
        <v>2839</v>
      </c>
      <c r="I110" s="247">
        <f t="shared" si="4"/>
        <v>0.88815789473684215</v>
      </c>
      <c r="J110" s="248">
        <f t="shared" si="5"/>
        <v>0.1118421052631579</v>
      </c>
      <c r="L110" s="249">
        <v>9354</v>
      </c>
      <c r="M110" s="249">
        <v>8280</v>
      </c>
      <c r="N110" s="249">
        <v>1074</v>
      </c>
      <c r="P110" s="250">
        <f t="shared" si="6"/>
        <v>0.88518280949326489</v>
      </c>
      <c r="Q110" s="250">
        <f t="shared" si="7"/>
        <v>0.11481719050673508</v>
      </c>
    </row>
    <row r="111" spans="1:17">
      <c r="A111" s="241" t="s">
        <v>117</v>
      </c>
      <c r="B111" s="242" t="s">
        <v>118</v>
      </c>
      <c r="C111" s="243" t="s">
        <v>273</v>
      </c>
      <c r="D111" s="243"/>
      <c r="E111" s="244">
        <v>3847</v>
      </c>
      <c r="F111" s="245">
        <v>3220</v>
      </c>
      <c r="G111" s="246">
        <v>627</v>
      </c>
      <c r="I111" s="247">
        <f t="shared" si="4"/>
        <v>0.8370158565115674</v>
      </c>
      <c r="J111" s="248">
        <f t="shared" si="5"/>
        <v>0.16298414348843254</v>
      </c>
      <c r="L111" s="249">
        <v>1388</v>
      </c>
      <c r="M111" s="249">
        <v>1087</v>
      </c>
      <c r="N111" s="249">
        <v>301</v>
      </c>
      <c r="P111" s="250">
        <f t="shared" si="6"/>
        <v>0.7831412103746398</v>
      </c>
      <c r="Q111" s="250">
        <f t="shared" si="7"/>
        <v>0.21685878962536023</v>
      </c>
    </row>
    <row r="112" spans="1:17">
      <c r="A112" s="241" t="s">
        <v>139</v>
      </c>
      <c r="B112" s="242" t="s">
        <v>140</v>
      </c>
      <c r="C112" s="243" t="s">
        <v>272</v>
      </c>
      <c r="D112" s="243"/>
      <c r="E112" s="244">
        <v>11948</v>
      </c>
      <c r="F112" s="245">
        <v>10598</v>
      </c>
      <c r="G112" s="246">
        <v>1350</v>
      </c>
      <c r="I112" s="247">
        <f t="shared" si="4"/>
        <v>0.88701037830599261</v>
      </c>
      <c r="J112" s="248">
        <f t="shared" si="5"/>
        <v>0.11298962169400736</v>
      </c>
      <c r="L112" s="249">
        <v>4394</v>
      </c>
      <c r="M112" s="249">
        <v>3862</v>
      </c>
      <c r="N112" s="249">
        <v>532</v>
      </c>
      <c r="P112" s="250">
        <f t="shared" si="6"/>
        <v>0.87892580791989072</v>
      </c>
      <c r="Q112" s="250">
        <f t="shared" si="7"/>
        <v>0.12107419208010924</v>
      </c>
    </row>
    <row r="113" spans="1:17">
      <c r="A113" s="241" t="s">
        <v>143</v>
      </c>
      <c r="B113" s="242" t="s">
        <v>144</v>
      </c>
      <c r="C113" s="243" t="s">
        <v>274</v>
      </c>
      <c r="D113" s="243"/>
      <c r="E113" s="244">
        <v>7239</v>
      </c>
      <c r="F113" s="245">
        <v>6439</v>
      </c>
      <c r="G113" s="246">
        <v>800</v>
      </c>
      <c r="I113" s="247">
        <f t="shared" si="4"/>
        <v>0.88948749827324214</v>
      </c>
      <c r="J113" s="248">
        <f t="shared" si="5"/>
        <v>0.11051250172675783</v>
      </c>
      <c r="L113" s="249">
        <v>3701</v>
      </c>
      <c r="M113" s="249">
        <v>3336</v>
      </c>
      <c r="N113" s="249">
        <v>365</v>
      </c>
      <c r="P113" s="250">
        <f t="shared" si="6"/>
        <v>0.90137800594433937</v>
      </c>
      <c r="Q113" s="250">
        <f t="shared" si="7"/>
        <v>9.8621994055660633E-2</v>
      </c>
    </row>
    <row r="114" spans="1:17">
      <c r="A114" s="241" t="s">
        <v>145</v>
      </c>
      <c r="B114" s="242" t="s">
        <v>146</v>
      </c>
      <c r="C114" s="243" t="s">
        <v>274</v>
      </c>
      <c r="D114" s="243"/>
      <c r="E114" s="244">
        <v>2654</v>
      </c>
      <c r="F114" s="245">
        <v>2314</v>
      </c>
      <c r="G114" s="246">
        <v>340</v>
      </c>
      <c r="I114" s="247">
        <f t="shared" si="4"/>
        <v>0.87189148455162024</v>
      </c>
      <c r="J114" s="248">
        <f t="shared" si="5"/>
        <v>0.12810851544837981</v>
      </c>
      <c r="L114" s="249">
        <v>1470</v>
      </c>
      <c r="M114" s="249">
        <v>1327</v>
      </c>
      <c r="N114" s="249">
        <v>143</v>
      </c>
      <c r="P114" s="250">
        <f t="shared" si="6"/>
        <v>0.90272108843537413</v>
      </c>
      <c r="Q114" s="250">
        <f t="shared" si="7"/>
        <v>9.7278911564625856E-2</v>
      </c>
    </row>
    <row r="115" spans="1:17">
      <c r="A115" s="241" t="s">
        <v>159</v>
      </c>
      <c r="B115" s="242" t="s">
        <v>160</v>
      </c>
      <c r="C115" s="243" t="s">
        <v>271</v>
      </c>
      <c r="D115" s="243"/>
      <c r="E115" s="244">
        <v>32304</v>
      </c>
      <c r="F115" s="245">
        <v>28003</v>
      </c>
      <c r="G115" s="246">
        <v>4301</v>
      </c>
      <c r="I115" s="247">
        <f t="shared" si="4"/>
        <v>0.86685859336305104</v>
      </c>
      <c r="J115" s="248">
        <f t="shared" si="5"/>
        <v>0.13314140663694898</v>
      </c>
      <c r="L115" s="249">
        <v>13357</v>
      </c>
      <c r="M115" s="249">
        <v>11608</v>
      </c>
      <c r="N115" s="249">
        <v>1749</v>
      </c>
      <c r="P115" s="250">
        <f t="shared" si="6"/>
        <v>0.86905742307404354</v>
      </c>
      <c r="Q115" s="250">
        <f t="shared" si="7"/>
        <v>0.13094257692595643</v>
      </c>
    </row>
    <row r="116" spans="1:17">
      <c r="A116" s="241" t="s">
        <v>161</v>
      </c>
      <c r="B116" s="242" t="s">
        <v>162</v>
      </c>
      <c r="C116" s="243" t="s">
        <v>271</v>
      </c>
      <c r="D116" s="243"/>
      <c r="E116" s="244">
        <v>35173</v>
      </c>
      <c r="F116" s="245">
        <v>29572</v>
      </c>
      <c r="G116" s="246">
        <v>5601</v>
      </c>
      <c r="I116" s="247">
        <f t="shared" si="4"/>
        <v>0.84075853637733489</v>
      </c>
      <c r="J116" s="248">
        <f t="shared" si="5"/>
        <v>0.15924146362266511</v>
      </c>
      <c r="L116" s="249">
        <v>13805</v>
      </c>
      <c r="M116" s="249">
        <v>11821</v>
      </c>
      <c r="N116" s="249">
        <v>1984</v>
      </c>
      <c r="P116" s="250">
        <f t="shared" si="6"/>
        <v>0.856283955088736</v>
      </c>
      <c r="Q116" s="250">
        <f t="shared" si="7"/>
        <v>0.14371604491126402</v>
      </c>
    </row>
    <row r="117" spans="1:17">
      <c r="A117" s="241" t="s">
        <v>167</v>
      </c>
      <c r="B117" s="242" t="s">
        <v>168</v>
      </c>
      <c r="C117" s="243" t="s">
        <v>275</v>
      </c>
      <c r="D117" s="243"/>
      <c r="E117" s="244">
        <v>747</v>
      </c>
      <c r="F117" s="245">
        <v>648</v>
      </c>
      <c r="G117" s="246">
        <v>99</v>
      </c>
      <c r="I117" s="247">
        <f t="shared" si="4"/>
        <v>0.86746987951807231</v>
      </c>
      <c r="J117" s="248">
        <f t="shared" si="5"/>
        <v>0.13253012048192772</v>
      </c>
      <c r="L117" s="249">
        <v>270</v>
      </c>
      <c r="M117" s="249">
        <v>229</v>
      </c>
      <c r="N117" s="249">
        <v>41</v>
      </c>
      <c r="P117" s="250">
        <f t="shared" si="6"/>
        <v>0.8481481481481481</v>
      </c>
      <c r="Q117" s="250">
        <f t="shared" si="7"/>
        <v>0.15185185185185185</v>
      </c>
    </row>
    <row r="118" spans="1:17">
      <c r="A118" s="241" t="s">
        <v>177</v>
      </c>
      <c r="B118" s="242" t="s">
        <v>178</v>
      </c>
      <c r="C118" s="243" t="s">
        <v>273</v>
      </c>
      <c r="D118" s="243"/>
      <c r="E118" s="244">
        <v>4395</v>
      </c>
      <c r="F118" s="245">
        <v>3408</v>
      </c>
      <c r="G118" s="246">
        <v>987</v>
      </c>
      <c r="I118" s="247">
        <f t="shared" si="4"/>
        <v>0.7754266211604095</v>
      </c>
      <c r="J118" s="248">
        <f t="shared" si="5"/>
        <v>0.22457337883959044</v>
      </c>
      <c r="L118" s="249">
        <v>1322</v>
      </c>
      <c r="M118" s="249">
        <v>895</v>
      </c>
      <c r="N118" s="249">
        <v>427</v>
      </c>
      <c r="P118" s="250">
        <f t="shared" si="6"/>
        <v>0.67700453857791221</v>
      </c>
      <c r="Q118" s="250">
        <f t="shared" si="7"/>
        <v>0.32299546142208774</v>
      </c>
    </row>
    <row r="119" spans="1:17">
      <c r="A119" s="241" t="s">
        <v>181</v>
      </c>
      <c r="B119" s="242" t="s">
        <v>182</v>
      </c>
      <c r="C119" s="243" t="s">
        <v>271</v>
      </c>
      <c r="D119" s="243"/>
      <c r="E119" s="244">
        <v>16082</v>
      </c>
      <c r="F119" s="245">
        <v>13929</v>
      </c>
      <c r="G119" s="246">
        <v>2153</v>
      </c>
      <c r="I119" s="247">
        <f t="shared" si="4"/>
        <v>0.86612361646561375</v>
      </c>
      <c r="J119" s="248">
        <f t="shared" si="5"/>
        <v>0.13387638353438627</v>
      </c>
      <c r="L119" s="249">
        <v>5886</v>
      </c>
      <c r="M119" s="249">
        <v>5014</v>
      </c>
      <c r="N119" s="249">
        <v>872</v>
      </c>
      <c r="P119" s="250">
        <f t="shared" si="6"/>
        <v>0.85185185185185186</v>
      </c>
      <c r="Q119" s="250">
        <f t="shared" si="7"/>
        <v>0.14814814814814814</v>
      </c>
    </row>
    <row r="120" spans="1:17">
      <c r="A120" s="241" t="s">
        <v>193</v>
      </c>
      <c r="B120" s="242" t="s">
        <v>194</v>
      </c>
      <c r="C120" s="243" t="s">
        <v>275</v>
      </c>
      <c r="D120" s="243"/>
      <c r="E120" s="244">
        <v>2056</v>
      </c>
      <c r="F120" s="245">
        <v>1742</v>
      </c>
      <c r="G120" s="246">
        <v>314</v>
      </c>
      <c r="I120" s="247">
        <f t="shared" si="4"/>
        <v>0.84727626459143968</v>
      </c>
      <c r="J120" s="248">
        <f t="shared" si="5"/>
        <v>0.15272373540856032</v>
      </c>
      <c r="L120" s="249">
        <v>738</v>
      </c>
      <c r="M120" s="249">
        <v>646</v>
      </c>
      <c r="N120" s="249">
        <v>92</v>
      </c>
      <c r="P120" s="250">
        <f t="shared" si="6"/>
        <v>0.87533875338753386</v>
      </c>
      <c r="Q120" s="250">
        <f t="shared" si="7"/>
        <v>0.12466124661246612</v>
      </c>
    </row>
    <row r="121" spans="1:17">
      <c r="A121" s="241" t="s">
        <v>197</v>
      </c>
      <c r="B121" s="242" t="s">
        <v>334</v>
      </c>
      <c r="C121" s="243" t="s">
        <v>273</v>
      </c>
      <c r="D121" s="243"/>
      <c r="E121" s="244">
        <v>27273</v>
      </c>
      <c r="F121" s="245">
        <v>20914</v>
      </c>
      <c r="G121" s="246">
        <v>6359</v>
      </c>
      <c r="I121" s="247">
        <f t="shared" si="4"/>
        <v>0.76683899827668389</v>
      </c>
      <c r="J121" s="248">
        <f t="shared" si="5"/>
        <v>0.23316100172331611</v>
      </c>
      <c r="L121" s="249">
        <v>9095</v>
      </c>
      <c r="M121" s="249">
        <v>7239</v>
      </c>
      <c r="N121" s="249">
        <v>1856</v>
      </c>
      <c r="P121" s="250">
        <f t="shared" si="6"/>
        <v>0.79593183067619566</v>
      </c>
      <c r="Q121" s="250">
        <f t="shared" si="7"/>
        <v>0.20406816932380428</v>
      </c>
    </row>
    <row r="122" spans="1:17">
      <c r="A122" s="241" t="s">
        <v>201</v>
      </c>
      <c r="B122" s="242" t="s">
        <v>335</v>
      </c>
      <c r="C122" s="243" t="s">
        <v>272</v>
      </c>
      <c r="D122" s="243"/>
      <c r="E122" s="244">
        <v>17064</v>
      </c>
      <c r="F122" s="245">
        <v>14014</v>
      </c>
      <c r="G122" s="246">
        <v>3050</v>
      </c>
      <c r="I122" s="247">
        <f t="shared" si="4"/>
        <v>0.82126113455227379</v>
      </c>
      <c r="J122" s="248">
        <f t="shared" si="5"/>
        <v>0.17873886544772621</v>
      </c>
      <c r="L122" s="249">
        <v>6061</v>
      </c>
      <c r="M122" s="249">
        <v>4916</v>
      </c>
      <c r="N122" s="249">
        <v>1145</v>
      </c>
      <c r="P122" s="250">
        <f t="shared" si="6"/>
        <v>0.81108727932684377</v>
      </c>
      <c r="Q122" s="250">
        <f t="shared" si="7"/>
        <v>0.18891272067315623</v>
      </c>
    </row>
    <row r="123" spans="1:17">
      <c r="A123" s="241" t="s">
        <v>223</v>
      </c>
      <c r="B123" s="242" t="s">
        <v>224</v>
      </c>
      <c r="C123" s="243" t="s">
        <v>271</v>
      </c>
      <c r="D123" s="243"/>
      <c r="E123" s="244">
        <v>18140</v>
      </c>
      <c r="F123" s="245">
        <v>16818</v>
      </c>
      <c r="G123" s="246">
        <v>1322</v>
      </c>
      <c r="I123" s="247">
        <f t="shared" si="4"/>
        <v>0.92712238147739801</v>
      </c>
      <c r="J123" s="248">
        <f t="shared" si="5"/>
        <v>7.2877618522601981E-2</v>
      </c>
      <c r="L123" s="249">
        <v>7711</v>
      </c>
      <c r="M123" s="249">
        <v>7175</v>
      </c>
      <c r="N123" s="249">
        <v>536</v>
      </c>
      <c r="P123" s="250">
        <f t="shared" si="6"/>
        <v>0.93048891194397609</v>
      </c>
      <c r="Q123" s="250">
        <f t="shared" si="7"/>
        <v>6.9511088056023865E-2</v>
      </c>
    </row>
    <row r="124" spans="1:17">
      <c r="A124" s="241" t="s">
        <v>231</v>
      </c>
      <c r="B124" s="242" t="s">
        <v>232</v>
      </c>
      <c r="C124" s="243" t="s">
        <v>271</v>
      </c>
      <c r="D124" s="243"/>
      <c r="E124" s="244">
        <v>92701</v>
      </c>
      <c r="F124" s="245">
        <v>83732</v>
      </c>
      <c r="G124" s="246">
        <v>8969</v>
      </c>
      <c r="I124" s="247">
        <f t="shared" si="4"/>
        <v>0.90324807715127131</v>
      </c>
      <c r="J124" s="248">
        <f t="shared" si="5"/>
        <v>9.6751922848728703E-2</v>
      </c>
      <c r="L124" s="249">
        <v>39373</v>
      </c>
      <c r="M124" s="249">
        <v>36360</v>
      </c>
      <c r="N124" s="249">
        <v>3013</v>
      </c>
      <c r="P124" s="250">
        <f t="shared" si="6"/>
        <v>0.92347547811952357</v>
      </c>
      <c r="Q124" s="250">
        <f t="shared" si="7"/>
        <v>7.6524521880476468E-2</v>
      </c>
    </row>
    <row r="125" spans="1:17">
      <c r="A125" s="241" t="s">
        <v>239</v>
      </c>
      <c r="B125" s="242" t="s">
        <v>240</v>
      </c>
      <c r="C125" s="243" t="s">
        <v>271</v>
      </c>
      <c r="D125" s="243"/>
      <c r="E125" s="244">
        <v>1929</v>
      </c>
      <c r="F125" s="245">
        <v>1680</v>
      </c>
      <c r="G125" s="246">
        <v>249</v>
      </c>
      <c r="I125" s="247">
        <f t="shared" si="4"/>
        <v>0.87091757387247282</v>
      </c>
      <c r="J125" s="248">
        <f t="shared" si="5"/>
        <v>0.12908242612752721</v>
      </c>
      <c r="L125" s="249">
        <v>484</v>
      </c>
      <c r="M125" s="249">
        <v>439</v>
      </c>
      <c r="N125" s="249">
        <v>45</v>
      </c>
      <c r="P125" s="250">
        <f t="shared" si="6"/>
        <v>0.90702479338842978</v>
      </c>
      <c r="Q125" s="250">
        <f t="shared" si="7"/>
        <v>9.2975206611570244E-2</v>
      </c>
    </row>
    <row r="126" spans="1:17">
      <c r="A126" s="251" t="s">
        <v>241</v>
      </c>
      <c r="B126" s="252" t="s">
        <v>242</v>
      </c>
      <c r="C126" s="253" t="s">
        <v>274</v>
      </c>
      <c r="D126" s="243"/>
      <c r="E126" s="254">
        <v>4836</v>
      </c>
      <c r="F126" s="255">
        <v>4060</v>
      </c>
      <c r="G126" s="256">
        <v>776</v>
      </c>
      <c r="I126" s="257">
        <f t="shared" si="4"/>
        <v>0.8395368072787428</v>
      </c>
      <c r="J126" s="258">
        <f t="shared" si="5"/>
        <v>0.16046319272125723</v>
      </c>
      <c r="L126" s="249">
        <v>1919</v>
      </c>
      <c r="M126" s="249">
        <v>1614</v>
      </c>
      <c r="N126" s="249">
        <v>305</v>
      </c>
      <c r="P126" s="250">
        <f t="shared" si="6"/>
        <v>0.84106305367378842</v>
      </c>
      <c r="Q126" s="250">
        <f t="shared" si="7"/>
        <v>0.15893694632621158</v>
      </c>
    </row>
    <row r="127" spans="1:17">
      <c r="A127" s="241"/>
      <c r="B127" s="242"/>
      <c r="C127" s="243"/>
      <c r="D127" s="243"/>
      <c r="E127" s="321"/>
      <c r="F127" s="321"/>
      <c r="G127" s="321"/>
      <c r="I127" s="322"/>
      <c r="J127" s="322"/>
      <c r="L127" s="249"/>
      <c r="M127" s="249"/>
      <c r="N127" s="249"/>
      <c r="P127" s="250"/>
      <c r="Q127" s="250"/>
    </row>
    <row r="128" spans="1:17">
      <c r="A128" s="323" t="s">
        <v>970</v>
      </c>
      <c r="B128" s="242"/>
      <c r="C128" s="243"/>
      <c r="D128" s="243"/>
      <c r="E128" s="321"/>
      <c r="F128" s="321"/>
      <c r="G128" s="321"/>
      <c r="I128" s="322"/>
      <c r="J128" s="322"/>
      <c r="L128" s="249"/>
      <c r="M128" s="249"/>
      <c r="N128" s="249"/>
      <c r="P128" s="250"/>
      <c r="Q128" s="250"/>
    </row>
    <row r="129" spans="1:17">
      <c r="A129" s="241" t="s">
        <v>273</v>
      </c>
      <c r="C129" s="243"/>
      <c r="D129" s="243"/>
      <c r="E129" s="321">
        <f>E10+E21+E23+E25+E27+E31+E34+E38+E43+E48+E49+E54+E56+E57+E61+E65+E68+E70+E71+E76+E77+E82+E98+E111+E118+E121</f>
        <v>268921</v>
      </c>
      <c r="F129" s="321">
        <f>F10+F21+F23+F25+F27+F31+F34+F38+F43+F48+F49+F54+F56+F57+F61+F65+F68+F70+F71+F76+F77+F82+F98+F111+F118+F121</f>
        <v>240768</v>
      </c>
      <c r="G129" s="321">
        <f>G10+G21+G23+G25+G27+G31+G34+G38+G43+G48+G49+G54+G56+G57+G61+G65+G68+G70+G71+G76+G77+G82+G98+G111+G118+G121</f>
        <v>28153</v>
      </c>
      <c r="I129" s="322">
        <f>F129/E129</f>
        <v>0.89531126241535619</v>
      </c>
      <c r="J129" s="322">
        <f>G129/E129</f>
        <v>0.10468873758464382</v>
      </c>
      <c r="L129" s="249">
        <f>L10+L21+L23+L25+L27+L31+L34+L38+L43+L48+L49+L54+L56+L57+L61+L65+L68+L70+L71+L76+L77+L82+L98+L111+L118+L121</f>
        <v>107151</v>
      </c>
      <c r="M129" s="249">
        <f>M10+M21+M23+M25+M27+M31+M34+M38+M43+M48+M49+M54+M56+M57+M61+M65+M68+M70+M71+M76+M77+M82+M98+M111+M118+M121</f>
        <v>96952</v>
      </c>
      <c r="N129" s="249">
        <f>N10+N21+N23+N25+N27+N31+N34+N38+N43+N48+N49+N54+N56+N57+N61+N65+N68+N70+N71+N76+N77+N82+N98+N111+N118+N121</f>
        <v>10199</v>
      </c>
      <c r="P129" s="250">
        <f>M129/L129</f>
        <v>0.90481656727422044</v>
      </c>
      <c r="Q129" s="250">
        <f>N129/L129</f>
        <v>9.5183432725779504E-2</v>
      </c>
    </row>
    <row r="130" spans="1:17">
      <c r="A130" s="241" t="s">
        <v>271</v>
      </c>
      <c r="C130" s="243"/>
      <c r="D130" s="243"/>
      <c r="E130" s="321">
        <f>E7+E19+E33+E42+E46+E52+E53+E63+E69+E78+E90+E93+E94+E124+E101+E105+E107+E110+E115+E116+E119+E123+E125</f>
        <v>363407</v>
      </c>
      <c r="F130" s="321">
        <f>F7+F19+F33+F42+F46+F52+F53+F63+F69+F78+F90+F93+F94+F124+F101+F105+F107+F110+F115+F116+F119+F123+F125</f>
        <v>327286</v>
      </c>
      <c r="G130" s="321">
        <f>G7+G19+G33+G42+G46+G52+G53+G63+G69+G78+G90+G93+G94+G124+G101+G105+G107+G110+G115+G116+G119+G123+G125</f>
        <v>36121</v>
      </c>
      <c r="I130" s="322">
        <f>F130/E130</f>
        <v>0.90060455632390135</v>
      </c>
      <c r="J130" s="322">
        <f>G130/E130</f>
        <v>9.9395443676098705E-2</v>
      </c>
      <c r="L130" s="249">
        <f>L7+L19+L33+L42+L46+L52+L53+L63+L69+L78+L90+L93+L94+L124+L101+L105+L107+L110+L115+L116+L119+L123+L125</f>
        <v>144986</v>
      </c>
      <c r="M130" s="249">
        <f>M7+M19+M33+M42+M46+M52+M53+M63+M69+M78+M90+M93+M94+M124+M101+M105+M107+M110+M115+M116+M119+M123+M125</f>
        <v>131552</v>
      </c>
      <c r="N130" s="249">
        <f>N7+N19+N33+N42+N46+N52+N53+N63+N69+N78+N90+N93+N94+N124+N101+N105+N107+N110+N115+N116+N119+N123+N125</f>
        <v>13434</v>
      </c>
      <c r="P130" s="250">
        <f>M130/L130</f>
        <v>0.90734277792338569</v>
      </c>
      <c r="Q130" s="250">
        <f>N130/L130</f>
        <v>9.2657222076614296E-2</v>
      </c>
    </row>
    <row r="131" spans="1:17">
      <c r="A131" s="241" t="s">
        <v>274</v>
      </c>
      <c r="C131" s="243"/>
      <c r="D131" s="243"/>
      <c r="E131" s="321">
        <f>E13+E28+E30+E35+E36+E40+E45+E55+E59+E60+E62+E72+E73+E79+E81+E85+E88+E91+E92+E96+E102+E108+E113+E114+E126</f>
        <v>671538</v>
      </c>
      <c r="F131" s="321">
        <f>F13+F28+F30+F35+F36+F40+F45+F55+F59+F60+F62+F72+F73+F79+F81+F85+F88+F91+F92+F96+F102+F108+F113+F114+F126</f>
        <v>618061</v>
      </c>
      <c r="G131" s="321">
        <f>G13+G28+G30+G35+G36+G40+G45+G55+G59+G60+G62+G72+G73+G79+G81+G85+G88+G91+G92+G96+G102+G108+G113+G114+G126</f>
        <v>53477</v>
      </c>
      <c r="I131" s="322">
        <f>F131/E131</f>
        <v>0.92036638284058381</v>
      </c>
      <c r="J131" s="322">
        <f>G131/E131</f>
        <v>7.9633617159416151E-2</v>
      </c>
      <c r="L131" s="249">
        <f>L13+L28+L30+L35+L36+L40+L45+L55+L59+L60+L62+L72+L73+L79+L81+L85+L88+L91+L92+L96+L102+L108+L113+L114+L126</f>
        <v>313980</v>
      </c>
      <c r="M131" s="249">
        <f>M13+M28+M30+M35+M36+M40+M45+M55+M59+M60+M62+M72+M73+M79+M81+M85+M88+M91+M92+M96+M102+M108+M113+M114+M126</f>
        <v>297413</v>
      </c>
      <c r="N131" s="249">
        <f>N13+N28+N30+N35+N36+N40+N45+N55+N59+N60+N62+N72+N73+N79+N81+N85+N88+N91+N92+N96+N102+N108+N113+N114+N126</f>
        <v>16567</v>
      </c>
      <c r="P131" s="250">
        <f>M131/L131</f>
        <v>0.94723549270654184</v>
      </c>
      <c r="Q131" s="250">
        <f>N131/L131</f>
        <v>5.2764507293458184E-2</v>
      </c>
    </row>
    <row r="132" spans="1:17">
      <c r="A132" s="241" t="s">
        <v>272</v>
      </c>
      <c r="C132" s="243"/>
      <c r="D132" s="243"/>
      <c r="E132" s="321">
        <f>E8+E9+E11+E12+E14+E15+E16+E18+E22+E26+E29+E39+E47+E50+E51+E64+E67+E75+E83+E84+E104+E106+E112+E122</f>
        <v>250573</v>
      </c>
      <c r="F132" s="321">
        <f>F8+F9+F11+F12+F14+F15+F16+F18+F22+F26+F29+F39+F47+F50+F51+F64+F67+F75+F83+F84+F104+F106+F112+F122</f>
        <v>226498</v>
      </c>
      <c r="G132" s="321">
        <f>G8+G9+G11+G12+G14+G15+G16+G18+G22+G26+G29+G39+G47+G50+G51+G64+G67+G75+G83+G84+G104+G106+G112+G122</f>
        <v>24075</v>
      </c>
      <c r="I132" s="322">
        <f>F132/E132</f>
        <v>0.90392021486752361</v>
      </c>
      <c r="J132" s="322">
        <f>G132/E132</f>
        <v>9.6079785132476364E-2</v>
      </c>
      <c r="L132" s="249">
        <f>L8+L9+L11+L12+L14+L15+L16+L18+L22+L26+L29+L39+L47+L50+L51+L64+L67+L75+L83+L84+L104+L106+L112+L122</f>
        <v>87063</v>
      </c>
      <c r="M132" s="249">
        <f>M8+M9+M11+M12+M14+M15+M16+M18+M22+M26+M29+M39+M47+M50+M51+M64+M67+M75+M83+M84+M104+M106+M112+M122</f>
        <v>78016</v>
      </c>
      <c r="N132" s="249">
        <f>N8+N9+N11+N12+N14+N15+N16+N18+N22+N26+N29+N39+N47+N50+N51+N64+N67+N75+N83+N84+N104+N106+N112+N122</f>
        <v>9047</v>
      </c>
      <c r="P132" s="250">
        <f>M132/L132</f>
        <v>0.89608674178468462</v>
      </c>
      <c r="Q132" s="250">
        <f>N132/L132</f>
        <v>0.10391325821531534</v>
      </c>
    </row>
    <row r="133" spans="1:17">
      <c r="A133" s="241" t="s">
        <v>275</v>
      </c>
      <c r="C133" s="243"/>
      <c r="D133" s="243"/>
      <c r="E133" s="321">
        <f>E17+E20+E24+E32+E37+E41+E44+E58+E66+E74+E80+E86+E87+E89+E95+E97+E99+E100+E103+E109+E117+E120</f>
        <v>133729</v>
      </c>
      <c r="F133" s="321">
        <f>F17+F20+F24+F32+F37+F41+F44+F58+F66+F74+F80+F86+F87+F89+F95+F97+F99+F100+F103+F109+F117+F120</f>
        <v>122231</v>
      </c>
      <c r="G133" s="321">
        <f>G17+G20+G24+G32+G37+G41+G44+G58+G66+G74+G80+G86+G87+G89+G95+G97+G99+G100+G103+G109+G117+G120</f>
        <v>11498</v>
      </c>
      <c r="I133" s="322">
        <f>F133/E133</f>
        <v>0.91402014521906239</v>
      </c>
      <c r="J133" s="322">
        <f>G133/E133</f>
        <v>8.5979854780937573E-2</v>
      </c>
      <c r="L133" s="249">
        <f>L17+L20+L24+L32+L37+L41+L44+L58+L66+L74+L80+L86+L87+L89+L95+L97+L99+L100+L103+L109+L117+L120</f>
        <v>44993</v>
      </c>
      <c r="M133" s="249">
        <f>M17+M20+M24+M32+M37+M41+M44+M58+M66+M74+M80+M86+M87+M89+M95+M97+M99+M100+M103+M109+M117+M120</f>
        <v>40677</v>
      </c>
      <c r="N133" s="249">
        <f>N17+N20+N24+N32+N37+N41+N44+N58+N66+N74+N80+N86+N87+N89+N95+N97+N99+N100+N103+N109+N117+N120</f>
        <v>4316</v>
      </c>
      <c r="P133" s="250">
        <f>M133/L133</f>
        <v>0.90407396706154286</v>
      </c>
      <c r="Q133" s="250">
        <f>N133/L133</f>
        <v>9.5926032938457098E-2</v>
      </c>
    </row>
    <row r="134" spans="1:17">
      <c r="A134" s="241"/>
      <c r="B134" s="242"/>
      <c r="C134" s="243"/>
      <c r="D134" s="243"/>
      <c r="E134" s="321"/>
      <c r="F134" s="321"/>
      <c r="G134" s="321"/>
      <c r="I134" s="322"/>
      <c r="J134" s="322"/>
      <c r="L134" s="249"/>
      <c r="M134" s="249"/>
      <c r="N134" s="249"/>
      <c r="P134" s="250"/>
      <c r="Q134" s="250"/>
    </row>
    <row r="135" spans="1:17">
      <c r="A135" s="259" t="s">
        <v>848</v>
      </c>
      <c r="B135" s="260"/>
      <c r="C135" s="260"/>
      <c r="D135" s="260"/>
      <c r="E135" s="228"/>
      <c r="F135" s="228"/>
      <c r="G135" s="228"/>
      <c r="H135" s="228"/>
    </row>
    <row r="136" spans="1:17">
      <c r="A136" s="260"/>
      <c r="B136" s="260"/>
      <c r="C136" s="260"/>
      <c r="D136" s="260"/>
      <c r="E136" s="228"/>
      <c r="F136" s="228"/>
      <c r="G136" s="228"/>
      <c r="H136" s="228"/>
    </row>
    <row r="137" spans="1:17">
      <c r="A137" s="228" t="s">
        <v>249</v>
      </c>
      <c r="B137" s="261"/>
      <c r="C137" s="261"/>
      <c r="D137" s="261"/>
      <c r="E137" s="228"/>
      <c r="F137" s="228"/>
      <c r="G137" s="228"/>
      <c r="H137" s="228"/>
    </row>
    <row r="138" spans="1:17">
      <c r="A138" s="228" t="s">
        <v>250</v>
      </c>
      <c r="B138" s="173" t="s">
        <v>251</v>
      </c>
      <c r="C138" s="262"/>
      <c r="D138" s="262"/>
      <c r="E138" s="228"/>
      <c r="F138" s="228"/>
      <c r="G138" s="228"/>
      <c r="H138" s="228"/>
    </row>
  </sheetData>
  <mergeCells count="4">
    <mergeCell ref="E4:G4"/>
    <mergeCell ref="I4:J4"/>
    <mergeCell ref="L4:N4"/>
    <mergeCell ref="P4:Q4"/>
  </mergeCells>
  <hyperlinks>
    <hyperlink ref="B138" r:id="rId1"/>
  </hyperlinks>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J130"/>
  <sheetViews>
    <sheetView workbookViewId="0">
      <pane ySplit="4" topLeftCell="A103" activePane="bottomLeft" state="frozen"/>
      <selection pane="bottomLeft" activeCell="A4" sqref="A4"/>
    </sheetView>
  </sheetViews>
  <sheetFormatPr defaultRowHeight="15.75"/>
  <cols>
    <col min="1" max="1" width="9.125" style="1366" customWidth="1"/>
    <col min="2" max="2" width="29.75" style="1366" customWidth="1"/>
    <col min="3" max="3" width="12.5" style="1366" customWidth="1"/>
    <col min="4" max="10" width="5.875" style="1366" customWidth="1"/>
    <col min="11" max="16384" width="9" style="1366"/>
  </cols>
  <sheetData>
    <row r="1" spans="1:10">
      <c r="A1" s="1385" t="s">
        <v>297</v>
      </c>
      <c r="B1" s="1386"/>
      <c r="C1" s="1386"/>
      <c r="D1" s="1386"/>
      <c r="E1" s="1386"/>
      <c r="F1" s="1386"/>
      <c r="G1" s="1386"/>
      <c r="H1" s="1386"/>
      <c r="I1" s="1386"/>
      <c r="J1" s="1386"/>
    </row>
    <row r="2" spans="1:10">
      <c r="A2" s="1383"/>
      <c r="B2" s="1384"/>
      <c r="C2" s="1384"/>
      <c r="D2" s="1384"/>
      <c r="E2" s="1384"/>
      <c r="F2" s="1384"/>
      <c r="G2" s="1384"/>
      <c r="H2" s="1384"/>
      <c r="I2" s="1384"/>
      <c r="J2" s="1384"/>
    </row>
    <row r="3" spans="1:10" s="1368" customFormat="1" ht="18">
      <c r="A3" s="1379" t="s">
        <v>4</v>
      </c>
      <c r="B3" s="1382" t="s">
        <v>5</v>
      </c>
      <c r="C3" s="1379" t="s">
        <v>252</v>
      </c>
      <c r="D3" s="1380" t="s">
        <v>281</v>
      </c>
      <c r="E3" s="1380" t="s">
        <v>282</v>
      </c>
      <c r="F3" s="1380" t="s">
        <v>283</v>
      </c>
      <c r="G3" s="1380" t="s">
        <v>284</v>
      </c>
      <c r="H3" s="1380" t="s">
        <v>285</v>
      </c>
      <c r="I3" s="1380" t="s">
        <v>286</v>
      </c>
      <c r="J3" s="1380" t="s">
        <v>1140</v>
      </c>
    </row>
    <row r="4" spans="1:10" s="1368" customFormat="1">
      <c r="A4" s="1388">
        <v>999</v>
      </c>
      <c r="B4" s="1387" t="s">
        <v>9</v>
      </c>
      <c r="C4" s="1388"/>
      <c r="D4" s="1389">
        <v>0.46586525895923542</v>
      </c>
      <c r="E4" s="1389">
        <v>0.51433899357406598</v>
      </c>
      <c r="F4" s="1389">
        <v>0.52770533252457774</v>
      </c>
      <c r="G4" s="1389">
        <v>0.48474833730191313</v>
      </c>
      <c r="H4" s="1389">
        <v>0.54354690633463587</v>
      </c>
      <c r="I4" s="1389">
        <v>0.65914620694302894</v>
      </c>
      <c r="J4" s="1389">
        <v>0.74632806565018006</v>
      </c>
    </row>
    <row r="5" spans="1:10" ht="16.5" customHeight="1">
      <c r="A5" s="1390" t="s">
        <v>10</v>
      </c>
      <c r="B5" s="1391" t="s">
        <v>11</v>
      </c>
      <c r="C5" s="1391" t="s">
        <v>271</v>
      </c>
      <c r="D5" s="1392">
        <v>0.45034688609228785</v>
      </c>
      <c r="E5" s="1392">
        <v>0.41541191654119164</v>
      </c>
      <c r="F5" s="1392">
        <v>0.49280769390208512</v>
      </c>
      <c r="G5" s="1392">
        <v>0.44929031790861035</v>
      </c>
      <c r="H5" s="1392">
        <v>0.41868038512365491</v>
      </c>
      <c r="I5" s="1392">
        <v>0.48250582090491473</v>
      </c>
      <c r="J5" s="1392">
        <v>0.54831036435718328</v>
      </c>
    </row>
    <row r="6" spans="1:10" ht="16.5" customHeight="1">
      <c r="A6" s="1390" t="s">
        <v>12</v>
      </c>
      <c r="B6" s="1391" t="s">
        <v>13</v>
      </c>
      <c r="C6" s="1391" t="s">
        <v>272</v>
      </c>
      <c r="D6" s="1392">
        <v>0.28974198918019145</v>
      </c>
      <c r="E6" s="1392">
        <v>0.36215757106609897</v>
      </c>
      <c r="F6" s="1392">
        <v>0.36683244379750929</v>
      </c>
      <c r="G6" s="1392">
        <v>0.29816299888101455</v>
      </c>
      <c r="H6" s="1392">
        <v>0.4403373425667193</v>
      </c>
      <c r="I6" s="1392">
        <v>0.5727736605515733</v>
      </c>
      <c r="J6" s="1392">
        <v>0.66737941926861866</v>
      </c>
    </row>
    <row r="7" spans="1:10" ht="16.5" customHeight="1">
      <c r="A7" s="1390" t="s">
        <v>16</v>
      </c>
      <c r="B7" s="1391" t="s">
        <v>298</v>
      </c>
      <c r="C7" s="1391" t="s">
        <v>272</v>
      </c>
      <c r="D7" s="1392">
        <v>0.62072503419972636</v>
      </c>
      <c r="E7" s="1392">
        <v>0.66097366694780246</v>
      </c>
      <c r="F7" s="1392">
        <v>0.63330286410725167</v>
      </c>
      <c r="G7" s="1392">
        <v>0.62403965303593556</v>
      </c>
      <c r="H7" s="1392">
        <v>0.79528931381336521</v>
      </c>
      <c r="I7" s="1392">
        <v>0.75589098532494758</v>
      </c>
      <c r="J7" s="1392">
        <v>0.8105157232704403</v>
      </c>
    </row>
    <row r="8" spans="1:10" ht="16.5" customHeight="1">
      <c r="A8" s="1390" t="s">
        <v>18</v>
      </c>
      <c r="B8" s="1391" t="s">
        <v>19</v>
      </c>
      <c r="C8" s="1391" t="s">
        <v>273</v>
      </c>
      <c r="D8" s="1392">
        <v>0.54383460236886638</v>
      </c>
      <c r="E8" s="1392">
        <v>0.64199873497786208</v>
      </c>
      <c r="F8" s="1392">
        <v>0.69769330734243018</v>
      </c>
      <c r="G8" s="1392">
        <v>0.62956827309236951</v>
      </c>
      <c r="H8" s="1392">
        <v>0.72102102102102106</v>
      </c>
      <c r="I8" s="1392">
        <v>1.0326826826826827</v>
      </c>
      <c r="J8" s="1392">
        <v>1.1711711711711712</v>
      </c>
    </row>
    <row r="9" spans="1:10" ht="16.5" customHeight="1">
      <c r="A9" s="1390" t="s">
        <v>20</v>
      </c>
      <c r="B9" s="1391" t="s">
        <v>21</v>
      </c>
      <c r="C9" s="1391" t="s">
        <v>272</v>
      </c>
      <c r="D9" s="1392">
        <v>0.53661899897854959</v>
      </c>
      <c r="E9" s="1392">
        <v>0.59540025146689024</v>
      </c>
      <c r="F9" s="1392">
        <v>0.56495648034815726</v>
      </c>
      <c r="G9" s="1392">
        <v>0.49520328212721326</v>
      </c>
      <c r="H9" s="1392">
        <v>0.51880858023526455</v>
      </c>
      <c r="I9" s="1392">
        <v>0.64603384286343335</v>
      </c>
      <c r="J9" s="1392">
        <v>0.73221362521230415</v>
      </c>
    </row>
    <row r="10" spans="1:10" ht="16.5" customHeight="1">
      <c r="A10" s="1390" t="s">
        <v>22</v>
      </c>
      <c r="B10" s="1391" t="s">
        <v>23</v>
      </c>
      <c r="C10" s="1391" t="s">
        <v>272</v>
      </c>
      <c r="D10" s="1392">
        <v>0.61866638200967838</v>
      </c>
      <c r="E10" s="1392">
        <v>0.68785181804351136</v>
      </c>
      <c r="F10" s="1392">
        <v>0.62509960159362554</v>
      </c>
      <c r="G10" s="1392">
        <v>0.62384844946152851</v>
      </c>
      <c r="H10" s="1392">
        <v>0.69308385579937304</v>
      </c>
      <c r="I10" s="1392">
        <v>0.80005877742946707</v>
      </c>
      <c r="J10" s="1392">
        <v>0.9050156739811912</v>
      </c>
    </row>
    <row r="11" spans="1:10" ht="16.5" customHeight="1">
      <c r="A11" s="1390" t="s">
        <v>24</v>
      </c>
      <c r="B11" s="1391" t="s">
        <v>25</v>
      </c>
      <c r="C11" s="1391" t="s">
        <v>274</v>
      </c>
      <c r="D11" s="1392">
        <v>0.20834828216561599</v>
      </c>
      <c r="E11" s="1392">
        <v>0.20396186766439445</v>
      </c>
      <c r="F11" s="1392">
        <v>0.20425436229537686</v>
      </c>
      <c r="G11" s="1392">
        <v>0.19807410157147656</v>
      </c>
      <c r="H11" s="1392">
        <v>0.21975252874174062</v>
      </c>
      <c r="I11" s="1392">
        <v>0.27225824166090945</v>
      </c>
      <c r="J11" s="1392">
        <v>0.31860551628846256</v>
      </c>
    </row>
    <row r="12" spans="1:10" ht="16.5" customHeight="1">
      <c r="A12" s="1390" t="s">
        <v>26</v>
      </c>
      <c r="B12" s="1393" t="s">
        <v>908</v>
      </c>
      <c r="C12" s="1391" t="s">
        <v>272</v>
      </c>
      <c r="D12" s="1392">
        <v>0.47039166039371338</v>
      </c>
      <c r="E12" s="1392">
        <v>0.52842846727345427</v>
      </c>
      <c r="F12" s="1392">
        <v>0.51882973369220331</v>
      </c>
      <c r="G12" s="1392">
        <v>0.50106524898950677</v>
      </c>
      <c r="H12" s="1392">
        <v>0.67554376786319814</v>
      </c>
      <c r="I12" s="1392">
        <v>0.74325394311775517</v>
      </c>
      <c r="J12" s="1392">
        <v>0.83376195603977954</v>
      </c>
    </row>
    <row r="13" spans="1:10" ht="16.5" customHeight="1">
      <c r="A13" s="1390" t="s">
        <v>27</v>
      </c>
      <c r="B13" s="1391" t="s">
        <v>28</v>
      </c>
      <c r="C13" s="1391" t="s">
        <v>272</v>
      </c>
      <c r="D13" s="1392">
        <v>0.30604288499025339</v>
      </c>
      <c r="E13" s="1392">
        <v>0.31868898186889821</v>
      </c>
      <c r="F13" s="1392">
        <v>0.33193407960199006</v>
      </c>
      <c r="G13" s="1392">
        <v>0.35159010600706714</v>
      </c>
      <c r="H13" s="1392">
        <v>0.45288624787775894</v>
      </c>
      <c r="I13" s="1392">
        <v>0.55333899264289754</v>
      </c>
      <c r="J13" s="1392">
        <v>0.59932088285229201</v>
      </c>
    </row>
    <row r="14" spans="1:10" ht="16.5" customHeight="1">
      <c r="A14" s="1390" t="s">
        <v>29</v>
      </c>
      <c r="B14" s="1391" t="s">
        <v>299</v>
      </c>
      <c r="C14" s="1391" t="s">
        <v>272</v>
      </c>
      <c r="D14" s="1392">
        <v>0.41019570707070707</v>
      </c>
      <c r="E14" s="1392">
        <v>0.46042944785276074</v>
      </c>
      <c r="F14" s="1392">
        <v>0.48036295766817566</v>
      </c>
      <c r="G14" s="1392">
        <v>0.41342153436511897</v>
      </c>
      <c r="H14" s="1392">
        <v>0.55485123452817642</v>
      </c>
      <c r="I14" s="1392">
        <v>0.64231493468282919</v>
      </c>
      <c r="J14" s="1392">
        <v>0.74007296692950453</v>
      </c>
    </row>
    <row r="15" spans="1:10" ht="16.5" customHeight="1">
      <c r="A15" s="1390" t="s">
        <v>31</v>
      </c>
      <c r="B15" s="1391" t="s">
        <v>32</v>
      </c>
      <c r="C15" s="1391" t="s">
        <v>275</v>
      </c>
      <c r="D15" s="1392">
        <v>0.41518136335209505</v>
      </c>
      <c r="E15" s="1392">
        <v>0.39920919128618321</v>
      </c>
      <c r="F15" s="1392">
        <v>0.46311600857055402</v>
      </c>
      <c r="G15" s="1392">
        <v>0.4013104013104013</v>
      </c>
      <c r="H15" s="1392">
        <v>0.39938370846730975</v>
      </c>
      <c r="I15" s="1392">
        <v>0.41579581993569131</v>
      </c>
      <c r="J15" s="1392">
        <v>0.47877813504823152</v>
      </c>
    </row>
    <row r="16" spans="1:10" ht="16.5" customHeight="1">
      <c r="A16" s="1390" t="s">
        <v>33</v>
      </c>
      <c r="B16" s="1391" t="s">
        <v>34</v>
      </c>
      <c r="C16" s="1391" t="s">
        <v>272</v>
      </c>
      <c r="D16" s="1392">
        <v>0.29975908080059305</v>
      </c>
      <c r="E16" s="1392">
        <v>0.32346189164370981</v>
      </c>
      <c r="F16" s="1392">
        <v>0.31836191218498311</v>
      </c>
      <c r="G16" s="1392">
        <v>0.31581740976645434</v>
      </c>
      <c r="H16" s="1392">
        <v>0.34562989752863171</v>
      </c>
      <c r="I16" s="1392">
        <v>0.47510548523206753</v>
      </c>
      <c r="J16" s="1392">
        <v>0.56810126582278486</v>
      </c>
    </row>
    <row r="17" spans="1:10" ht="16.5" customHeight="1">
      <c r="A17" s="1390" t="s">
        <v>37</v>
      </c>
      <c r="B17" s="1391" t="s">
        <v>38</v>
      </c>
      <c r="C17" s="1391" t="s">
        <v>271</v>
      </c>
      <c r="D17" s="1392">
        <v>0.62984946236559136</v>
      </c>
      <c r="E17" s="1392">
        <v>0.64689051586299751</v>
      </c>
      <c r="F17" s="1392">
        <v>0.70859442993907751</v>
      </c>
      <c r="G17" s="1392">
        <v>0.61184065327742221</v>
      </c>
      <c r="H17" s="1392">
        <v>0.66252915068080942</v>
      </c>
      <c r="I17" s="1392">
        <v>0.75161739261265326</v>
      </c>
      <c r="J17" s="1392">
        <v>0.81313473256601221</v>
      </c>
    </row>
    <row r="18" spans="1:10" ht="16.5" customHeight="1">
      <c r="A18" s="1390" t="s">
        <v>39</v>
      </c>
      <c r="B18" s="1391" t="s">
        <v>40</v>
      </c>
      <c r="C18" s="1391" t="s">
        <v>275</v>
      </c>
      <c r="D18" s="1392">
        <v>0.63551368896415472</v>
      </c>
      <c r="E18" s="1392">
        <v>0.54313809059912321</v>
      </c>
      <c r="F18" s="1392">
        <v>0.60614453325854256</v>
      </c>
      <c r="G18" s="1392">
        <v>0.59252760621373757</v>
      </c>
      <c r="H18" s="1392">
        <v>0.60020406226271827</v>
      </c>
      <c r="I18" s="1392">
        <v>0.63570140470766889</v>
      </c>
      <c r="J18" s="1392">
        <v>0.66289863325740317</v>
      </c>
    </row>
    <row r="19" spans="1:10" ht="16.5" customHeight="1">
      <c r="A19" s="1390" t="s">
        <v>41</v>
      </c>
      <c r="B19" s="1391" t="s">
        <v>42</v>
      </c>
      <c r="C19" s="1391" t="s">
        <v>273</v>
      </c>
      <c r="D19" s="1392">
        <v>0.54798572406375279</v>
      </c>
      <c r="E19" s="1392">
        <v>0.51311605723370435</v>
      </c>
      <c r="F19" s="1392">
        <v>0.6006150249059673</v>
      </c>
      <c r="G19" s="1392">
        <v>0.53811708169506334</v>
      </c>
      <c r="H19" s="1392">
        <v>0.60386139526310945</v>
      </c>
      <c r="I19" s="1392">
        <v>0.75218873836512767</v>
      </c>
      <c r="J19" s="1392">
        <v>0.84672380425767213</v>
      </c>
    </row>
    <row r="20" spans="1:10" ht="16.5" customHeight="1">
      <c r="A20" s="1390" t="s">
        <v>43</v>
      </c>
      <c r="B20" s="1391" t="s">
        <v>44</v>
      </c>
      <c r="C20" s="1391" t="s">
        <v>272</v>
      </c>
      <c r="D20" s="1392">
        <v>0.54</v>
      </c>
      <c r="E20" s="1392">
        <v>0.61437543767507008</v>
      </c>
      <c r="F20" s="1392">
        <v>0.57307846678707608</v>
      </c>
      <c r="G20" s="1392">
        <v>0.55848873126644549</v>
      </c>
      <c r="H20" s="1392">
        <v>0.58974802181762309</v>
      </c>
      <c r="I20" s="1392">
        <v>0.72430283475455171</v>
      </c>
      <c r="J20" s="1392">
        <v>0.81011753860336488</v>
      </c>
    </row>
    <row r="21" spans="1:10" ht="16.5" customHeight="1">
      <c r="A21" s="1390" t="s">
        <v>45</v>
      </c>
      <c r="B21" s="1391" t="s">
        <v>46</v>
      </c>
      <c r="C21" s="1391" t="s">
        <v>273</v>
      </c>
      <c r="D21" s="1392">
        <v>0.6696306094454243</v>
      </c>
      <c r="E21" s="1392">
        <v>0.73873735825927056</v>
      </c>
      <c r="F21" s="1392">
        <v>0.74314377898769912</v>
      </c>
      <c r="G21" s="1392">
        <v>0.76818438116718357</v>
      </c>
      <c r="H21" s="1392">
        <v>0.90231884057971012</v>
      </c>
      <c r="I21" s="1392">
        <v>1.1741062801932367</v>
      </c>
      <c r="J21" s="1392">
        <v>1.2823188405797101</v>
      </c>
    </row>
    <row r="22" spans="1:10" ht="16.5" customHeight="1">
      <c r="A22" s="1390" t="s">
        <v>47</v>
      </c>
      <c r="B22" s="1391" t="s">
        <v>48</v>
      </c>
      <c r="C22" s="1391" t="s">
        <v>275</v>
      </c>
      <c r="D22" s="1392">
        <v>0.57748118953780003</v>
      </c>
      <c r="E22" s="1392">
        <v>0.5329052969502408</v>
      </c>
      <c r="F22" s="1392">
        <v>0.63190779496511984</v>
      </c>
      <c r="G22" s="1392">
        <v>0.63223894208846332</v>
      </c>
      <c r="H22" s="1392">
        <v>0.64257060333761229</v>
      </c>
      <c r="I22" s="1392">
        <v>0.75583012409071459</v>
      </c>
      <c r="J22" s="1392">
        <v>0.83080872913992299</v>
      </c>
    </row>
    <row r="23" spans="1:10" ht="16.5" customHeight="1">
      <c r="A23" s="1390" t="s">
        <v>49</v>
      </c>
      <c r="B23" s="1391" t="s">
        <v>276</v>
      </c>
      <c r="C23" s="1391" t="s">
        <v>273</v>
      </c>
      <c r="D23" s="1392">
        <v>0.49942301351796903</v>
      </c>
      <c r="E23" s="1392">
        <v>0.52976774615636246</v>
      </c>
      <c r="F23" s="1392">
        <v>0.57137004260898061</v>
      </c>
      <c r="G23" s="1392">
        <v>0.56529680365296808</v>
      </c>
      <c r="H23" s="1392">
        <v>0.61650120336943437</v>
      </c>
      <c r="I23" s="1392">
        <v>0.76022864019253911</v>
      </c>
      <c r="J23" s="1392">
        <v>0.85451263537906141</v>
      </c>
    </row>
    <row r="24" spans="1:10" ht="16.5" customHeight="1">
      <c r="A24" s="1390" t="s">
        <v>51</v>
      </c>
      <c r="B24" s="1391" t="s">
        <v>52</v>
      </c>
      <c r="C24" s="1391" t="s">
        <v>272</v>
      </c>
      <c r="D24" s="1392">
        <v>0.53851461548111901</v>
      </c>
      <c r="E24" s="1392">
        <v>0.546844894026975</v>
      </c>
      <c r="F24" s="1392">
        <v>0.58021452722397104</v>
      </c>
      <c r="G24" s="1392">
        <v>0.53463681278250819</v>
      </c>
      <c r="H24" s="1392">
        <v>0.65291975091058629</v>
      </c>
      <c r="I24" s="1392">
        <v>0.76362942074961815</v>
      </c>
      <c r="J24" s="1392">
        <v>0.79689813182939728</v>
      </c>
    </row>
    <row r="25" spans="1:10" ht="16.5" customHeight="1">
      <c r="A25" s="1390" t="s">
        <v>57</v>
      </c>
      <c r="B25" s="1391" t="s">
        <v>305</v>
      </c>
      <c r="C25" s="1391" t="s">
        <v>273</v>
      </c>
      <c r="D25" s="1392">
        <v>0.42259082341095616</v>
      </c>
      <c r="E25" s="1392">
        <v>0.51769905743894185</v>
      </c>
      <c r="F25" s="1392">
        <v>0.59980428423950449</v>
      </c>
      <c r="G25" s="1392">
        <v>0.53899600648945467</v>
      </c>
      <c r="H25" s="1392">
        <v>0.65745087280781966</v>
      </c>
      <c r="I25" s="1392">
        <v>0.86218112161508387</v>
      </c>
      <c r="J25" s="1392">
        <v>1.021684383948535</v>
      </c>
    </row>
    <row r="26" spans="1:10" ht="16.5" customHeight="1">
      <c r="A26" s="1390" t="s">
        <v>59</v>
      </c>
      <c r="B26" s="1391" t="s">
        <v>60</v>
      </c>
      <c r="C26" s="1391" t="s">
        <v>274</v>
      </c>
      <c r="D26" s="1392">
        <v>0.26273623664749385</v>
      </c>
      <c r="E26" s="1392">
        <v>0.26749311294765843</v>
      </c>
      <c r="F26" s="1392">
        <v>0.31091814754981151</v>
      </c>
      <c r="G26" s="1392">
        <v>0.32128125805620006</v>
      </c>
      <c r="H26" s="1392">
        <v>0.32996859578286225</v>
      </c>
      <c r="I26" s="1392">
        <v>0.44599596231493943</v>
      </c>
      <c r="J26" s="1392">
        <v>0.50107671601615078</v>
      </c>
    </row>
    <row r="27" spans="1:10" ht="16.5" customHeight="1">
      <c r="A27" s="1390" t="s">
        <v>61</v>
      </c>
      <c r="B27" s="1391" t="s">
        <v>62</v>
      </c>
      <c r="C27" s="1391" t="s">
        <v>272</v>
      </c>
      <c r="D27" s="1392">
        <v>0.419157947184853</v>
      </c>
      <c r="E27" s="1392">
        <v>0.45292439372325249</v>
      </c>
      <c r="F27" s="1392">
        <v>0.46559945504087191</v>
      </c>
      <c r="G27" s="1392">
        <v>0.45931244560487378</v>
      </c>
      <c r="H27" s="1392">
        <v>0.47545219638242892</v>
      </c>
      <c r="I27" s="1392">
        <v>0.64804048234280798</v>
      </c>
      <c r="J27" s="1392">
        <v>0.68682170542635657</v>
      </c>
    </row>
    <row r="28" spans="1:10" ht="16.5" customHeight="1">
      <c r="A28" s="1390" t="s">
        <v>63</v>
      </c>
      <c r="B28" s="1391" t="s">
        <v>64</v>
      </c>
      <c r="C28" s="1391" t="s">
        <v>274</v>
      </c>
      <c r="D28" s="1392">
        <v>0.38213125406107862</v>
      </c>
      <c r="E28" s="1392">
        <v>0.42691159508786214</v>
      </c>
      <c r="F28" s="1392">
        <v>0.45232248823409044</v>
      </c>
      <c r="G28" s="1392">
        <v>0.47933333333333333</v>
      </c>
      <c r="H28" s="1392">
        <v>0.61356440312584204</v>
      </c>
      <c r="I28" s="1392">
        <v>0.89283548908649957</v>
      </c>
      <c r="J28" s="1392">
        <v>1.0588520614389652</v>
      </c>
    </row>
    <row r="29" spans="1:10" ht="16.5" customHeight="1">
      <c r="A29" s="1390" t="s">
        <v>65</v>
      </c>
      <c r="B29" s="1391" t="s">
        <v>66</v>
      </c>
      <c r="C29" s="1391" t="s">
        <v>273</v>
      </c>
      <c r="D29" s="1392">
        <v>0.65049415992812221</v>
      </c>
      <c r="E29" s="1392">
        <v>0.64267103714910068</v>
      </c>
      <c r="F29" s="1392">
        <v>0.67856517935258098</v>
      </c>
      <c r="G29" s="1392">
        <v>0.64125722543352603</v>
      </c>
      <c r="H29" s="1392">
        <v>0.70461095100864557</v>
      </c>
      <c r="I29" s="1392">
        <v>0.87307877041306436</v>
      </c>
      <c r="J29" s="1392">
        <v>0.94380403458213258</v>
      </c>
    </row>
    <row r="30" spans="1:10" ht="16.5" customHeight="1">
      <c r="A30" s="1390" t="s">
        <v>69</v>
      </c>
      <c r="B30" s="1391" t="s">
        <v>70</v>
      </c>
      <c r="C30" s="1391" t="s">
        <v>275</v>
      </c>
      <c r="D30" s="1392">
        <v>0.63736176935229072</v>
      </c>
      <c r="E30" s="1392">
        <v>0.56630824372759858</v>
      </c>
      <c r="F30" s="1392">
        <v>0.65258724428399517</v>
      </c>
      <c r="G30" s="1392">
        <v>0.55255913539967372</v>
      </c>
      <c r="H30" s="1392">
        <v>0.55871133305590237</v>
      </c>
      <c r="I30" s="1392">
        <v>0.60682827021778329</v>
      </c>
      <c r="J30" s="1392">
        <v>0.64565126924677485</v>
      </c>
    </row>
    <row r="31" spans="1:10" ht="16.5" customHeight="1">
      <c r="A31" s="1390" t="s">
        <v>71</v>
      </c>
      <c r="B31" s="1391" t="s">
        <v>72</v>
      </c>
      <c r="C31" s="1391" t="s">
        <v>271</v>
      </c>
      <c r="D31" s="1392">
        <v>0.68108209304502476</v>
      </c>
      <c r="E31" s="1392">
        <v>0.80683540466808124</v>
      </c>
      <c r="F31" s="1392">
        <v>0.73746766568548749</v>
      </c>
      <c r="G31" s="1392">
        <v>0.68707653701380178</v>
      </c>
      <c r="H31" s="1392">
        <v>0.75497225778915922</v>
      </c>
      <c r="I31" s="1392">
        <v>0.94291506615450282</v>
      </c>
      <c r="J31" s="1392">
        <v>1.0813316261203585</v>
      </c>
    </row>
    <row r="32" spans="1:10" ht="16.5" customHeight="1">
      <c r="A32" s="1390" t="s">
        <v>73</v>
      </c>
      <c r="B32" s="1391" t="s">
        <v>74</v>
      </c>
      <c r="C32" s="1391" t="s">
        <v>273</v>
      </c>
      <c r="D32" s="1392">
        <v>0.7468507751937985</v>
      </c>
      <c r="E32" s="1392">
        <v>0.79479655712050079</v>
      </c>
      <c r="F32" s="1392">
        <v>0.80371112383132992</v>
      </c>
      <c r="G32" s="1392">
        <v>0.80954916577919778</v>
      </c>
      <c r="H32" s="1392">
        <v>0.8646156497759393</v>
      </c>
      <c r="I32" s="1392">
        <v>1.0512754222681835</v>
      </c>
      <c r="J32" s="1392">
        <v>1.1600827300930714</v>
      </c>
    </row>
    <row r="33" spans="1:10" ht="16.5" customHeight="1">
      <c r="A33" s="1390" t="s">
        <v>75</v>
      </c>
      <c r="B33" s="1391" t="s">
        <v>300</v>
      </c>
      <c r="C33" s="1391" t="s">
        <v>274</v>
      </c>
      <c r="D33" s="1392">
        <v>0.22789937768203655</v>
      </c>
      <c r="E33" s="1392">
        <v>0.27073690798474659</v>
      </c>
      <c r="F33" s="1392">
        <v>0.26392918528704024</v>
      </c>
      <c r="G33" s="1392">
        <v>0.2674672735564918</v>
      </c>
      <c r="H33" s="1392">
        <v>0.32990066014825237</v>
      </c>
      <c r="I33" s="1392">
        <v>0.42057192157767492</v>
      </c>
      <c r="J33" s="1392">
        <v>0.50337846606393566</v>
      </c>
    </row>
    <row r="34" spans="1:10" ht="16.5" customHeight="1">
      <c r="A34" s="1390" t="s">
        <v>77</v>
      </c>
      <c r="B34" s="1391" t="s">
        <v>78</v>
      </c>
      <c r="C34" s="1391" t="s">
        <v>274</v>
      </c>
      <c r="D34" s="1392">
        <v>0.30197351907630521</v>
      </c>
      <c r="E34" s="1392">
        <v>0.38968432919954904</v>
      </c>
      <c r="F34" s="1392">
        <v>0.37904883407753914</v>
      </c>
      <c r="G34" s="1392">
        <v>0.3783305642729678</v>
      </c>
      <c r="H34" s="1392">
        <v>0.47087991345113595</v>
      </c>
      <c r="I34" s="1392">
        <v>0.61717153504026923</v>
      </c>
      <c r="J34" s="1392">
        <v>0.71381175622069959</v>
      </c>
    </row>
    <row r="35" spans="1:10" ht="16.5" customHeight="1">
      <c r="A35" s="1390" t="s">
        <v>79</v>
      </c>
      <c r="B35" s="1391" t="s">
        <v>80</v>
      </c>
      <c r="C35" s="1391" t="s">
        <v>275</v>
      </c>
      <c r="D35" s="1392">
        <v>0.46488908476568236</v>
      </c>
      <c r="E35" s="1392">
        <v>0.4847810734463277</v>
      </c>
      <c r="F35" s="1392">
        <v>0.44654913728432111</v>
      </c>
      <c r="G35" s="1392">
        <v>0.45091575091575092</v>
      </c>
      <c r="H35" s="1392">
        <v>0.5319577601778519</v>
      </c>
      <c r="I35" s="1392">
        <v>0.66805613450048629</v>
      </c>
      <c r="J35" s="1392">
        <v>0.786494372655273</v>
      </c>
    </row>
    <row r="36" spans="1:10" ht="16.5" customHeight="1">
      <c r="A36" s="1390" t="s">
        <v>81</v>
      </c>
      <c r="B36" s="1391" t="s">
        <v>82</v>
      </c>
      <c r="C36" s="1391" t="s">
        <v>273</v>
      </c>
      <c r="D36" s="1392">
        <v>0.31521220791607057</v>
      </c>
      <c r="E36" s="1392">
        <v>0.28280324934600026</v>
      </c>
      <c r="F36" s="1392">
        <v>0.34771181199752627</v>
      </c>
      <c r="G36" s="1392">
        <v>0.32341024584535094</v>
      </c>
      <c r="H36" s="1392">
        <v>0.3794756554307116</v>
      </c>
      <c r="I36" s="1392">
        <v>0.54580524344569292</v>
      </c>
      <c r="J36" s="1392">
        <v>0.65734831460674159</v>
      </c>
    </row>
    <row r="37" spans="1:10" ht="16.5" customHeight="1">
      <c r="A37" s="1390" t="s">
        <v>85</v>
      </c>
      <c r="B37" s="1391" t="s">
        <v>86</v>
      </c>
      <c r="C37" s="1391" t="s">
        <v>272</v>
      </c>
      <c r="D37" s="1392">
        <v>0.54455090600964673</v>
      </c>
      <c r="E37" s="1392">
        <v>0.66176184216931988</v>
      </c>
      <c r="F37" s="1392">
        <v>0.66591475163306546</v>
      </c>
      <c r="G37" s="1392">
        <v>0.61595736106073429</v>
      </c>
      <c r="H37" s="1392">
        <v>0.65246797703180215</v>
      </c>
      <c r="I37" s="1392">
        <v>0.7977123822143698</v>
      </c>
      <c r="J37" s="1392">
        <v>0.86515017667844518</v>
      </c>
    </row>
    <row r="38" spans="1:10" ht="16.5" customHeight="1">
      <c r="A38" s="1390" t="s">
        <v>87</v>
      </c>
      <c r="B38" s="1391" t="s">
        <v>88</v>
      </c>
      <c r="C38" s="1391" t="s">
        <v>274</v>
      </c>
      <c r="D38" s="1392">
        <v>0.34761946798493409</v>
      </c>
      <c r="E38" s="1392">
        <v>0.38027426160337552</v>
      </c>
      <c r="F38" s="1392">
        <v>0.36097152428810719</v>
      </c>
      <c r="G38" s="1392">
        <v>0.40743167807387992</v>
      </c>
      <c r="H38" s="1392">
        <v>0.50113402061855672</v>
      </c>
      <c r="I38" s="1392">
        <v>0.7163802978235968</v>
      </c>
      <c r="J38" s="1392">
        <v>0.85569759450171823</v>
      </c>
    </row>
    <row r="39" spans="1:10" ht="16.5" customHeight="1">
      <c r="A39" s="1390" t="s">
        <v>93</v>
      </c>
      <c r="B39" s="1391" t="s">
        <v>94</v>
      </c>
      <c r="C39" s="1391" t="s">
        <v>275</v>
      </c>
      <c r="D39" s="1392">
        <v>0.55524605385329617</v>
      </c>
      <c r="E39" s="1392">
        <v>0.56483516483516483</v>
      </c>
      <c r="F39" s="1392">
        <v>0.59449869791666665</v>
      </c>
      <c r="G39" s="1392">
        <v>0.58280367231638419</v>
      </c>
      <c r="H39" s="1392">
        <v>0.60637454710144922</v>
      </c>
      <c r="I39" s="1392">
        <v>0.72342051630434778</v>
      </c>
      <c r="J39" s="1392">
        <v>0.81032608695652175</v>
      </c>
    </row>
    <row r="40" spans="1:10" ht="16.5" customHeight="1">
      <c r="A40" s="1390" t="s">
        <v>95</v>
      </c>
      <c r="B40" s="1391" t="s">
        <v>96</v>
      </c>
      <c r="C40" s="1391" t="s">
        <v>271</v>
      </c>
      <c r="D40" s="1392">
        <v>0.38352983208288677</v>
      </c>
      <c r="E40" s="1392">
        <v>0.46572688914461069</v>
      </c>
      <c r="F40" s="1392">
        <v>0.42652073104200766</v>
      </c>
      <c r="G40" s="1392">
        <v>0.47151120751988429</v>
      </c>
      <c r="H40" s="1392">
        <v>0.51505477635894215</v>
      </c>
      <c r="I40" s="1392">
        <v>0.70129439676226357</v>
      </c>
      <c r="J40" s="1392">
        <v>0.82558090851999166</v>
      </c>
    </row>
    <row r="41" spans="1:10" ht="16.5" customHeight="1">
      <c r="A41" s="1390" t="s">
        <v>97</v>
      </c>
      <c r="B41" s="1391" t="s">
        <v>98</v>
      </c>
      <c r="C41" s="1391" t="s">
        <v>273</v>
      </c>
      <c r="D41" s="1392">
        <v>0.34383202099737531</v>
      </c>
      <c r="E41" s="1392">
        <v>0.39076075439711805</v>
      </c>
      <c r="F41" s="1392">
        <v>0.35978169605373633</v>
      </c>
      <c r="G41" s="1392">
        <v>0.25571165034766569</v>
      </c>
      <c r="H41" s="1392">
        <v>0.44202472042377872</v>
      </c>
      <c r="I41" s="1392">
        <v>0.59510496370413968</v>
      </c>
      <c r="J41" s="1392">
        <v>0.69864626250735729</v>
      </c>
    </row>
    <row r="42" spans="1:10" ht="16.5" customHeight="1">
      <c r="A42" s="1390" t="s">
        <v>99</v>
      </c>
      <c r="B42" s="1391" t="s">
        <v>100</v>
      </c>
      <c r="C42" s="1391" t="s">
        <v>275</v>
      </c>
      <c r="D42" s="1392">
        <v>0.55992171032821436</v>
      </c>
      <c r="E42" s="1392">
        <v>0.54519616065604326</v>
      </c>
      <c r="F42" s="1392">
        <v>0.59518960333624282</v>
      </c>
      <c r="G42" s="1392">
        <v>0.51073216777476815</v>
      </c>
      <c r="H42" s="1392">
        <v>0.57500436071864647</v>
      </c>
      <c r="I42" s="1392">
        <v>0.64226844583987441</v>
      </c>
      <c r="J42" s="1392">
        <v>0.69539508110936687</v>
      </c>
    </row>
    <row r="43" spans="1:10" ht="16.5" customHeight="1">
      <c r="A43" s="1390" t="s">
        <v>101</v>
      </c>
      <c r="B43" s="1391" t="s">
        <v>102</v>
      </c>
      <c r="C43" s="1391" t="s">
        <v>274</v>
      </c>
      <c r="D43" s="1392">
        <v>0.49800762300762302</v>
      </c>
      <c r="E43" s="1392">
        <v>0.5680686220254566</v>
      </c>
      <c r="F43" s="1392">
        <v>0.56412024269167127</v>
      </c>
      <c r="G43" s="1392">
        <v>0.52823147172462237</v>
      </c>
      <c r="H43" s="1392">
        <v>0.61614025192705391</v>
      </c>
      <c r="I43" s="1392">
        <v>0.8715454032712916</v>
      </c>
      <c r="J43" s="1392">
        <v>1.0486181613085166</v>
      </c>
    </row>
    <row r="44" spans="1:10" ht="16.5" customHeight="1">
      <c r="A44" s="1390" t="s">
        <v>103</v>
      </c>
      <c r="B44" s="1391" t="s">
        <v>104</v>
      </c>
      <c r="C44" s="1391" t="s">
        <v>271</v>
      </c>
      <c r="D44" s="1392">
        <v>0.54634988323687683</v>
      </c>
      <c r="E44" s="1392">
        <v>0.60678147499513524</v>
      </c>
      <c r="F44" s="1392">
        <v>0.66488756048961006</v>
      </c>
      <c r="G44" s="1392">
        <v>0.63596157101743689</v>
      </c>
      <c r="H44" s="1392">
        <v>0.77053073269700745</v>
      </c>
      <c r="I44" s="1392">
        <v>0.73525714285714283</v>
      </c>
      <c r="J44" s="1392">
        <v>0.81421714285714286</v>
      </c>
    </row>
    <row r="45" spans="1:10" ht="16.5" customHeight="1">
      <c r="A45" s="1390" t="s">
        <v>105</v>
      </c>
      <c r="B45" s="1391" t="s">
        <v>106</v>
      </c>
      <c r="C45" s="1391" t="s">
        <v>272</v>
      </c>
      <c r="D45" s="1392">
        <v>0.55333744095296777</v>
      </c>
      <c r="E45" s="1392">
        <v>0.65888139790864064</v>
      </c>
      <c r="F45" s="1392">
        <v>0.57568685488767457</v>
      </c>
      <c r="G45" s="1392">
        <v>0.5659284951974386</v>
      </c>
      <c r="H45" s="1392">
        <v>0.60348223643789078</v>
      </c>
      <c r="I45" s="1392">
        <v>0.68521630705844083</v>
      </c>
      <c r="J45" s="1392">
        <v>0.727854277350103</v>
      </c>
    </row>
    <row r="46" spans="1:10" ht="16.5" customHeight="1">
      <c r="A46" s="1390" t="s">
        <v>109</v>
      </c>
      <c r="B46" s="1391" t="s">
        <v>110</v>
      </c>
      <c r="C46" s="1391" t="s">
        <v>273</v>
      </c>
      <c r="D46" s="1392">
        <v>0.34209212778094694</v>
      </c>
      <c r="E46" s="1392">
        <v>0.42799555184876287</v>
      </c>
      <c r="F46" s="1392">
        <v>0.4947381530605891</v>
      </c>
      <c r="G46" s="1392">
        <v>0.38194249320970308</v>
      </c>
      <c r="H46" s="1392">
        <v>0.51615508885298866</v>
      </c>
      <c r="I46" s="1392">
        <v>0.68275444264943452</v>
      </c>
      <c r="J46" s="1392">
        <v>0.79987075928917606</v>
      </c>
    </row>
    <row r="47" spans="1:10" ht="16.5" customHeight="1">
      <c r="A47" s="1390" t="s">
        <v>111</v>
      </c>
      <c r="B47" s="1391" t="s">
        <v>112</v>
      </c>
      <c r="C47" s="1391" t="s">
        <v>273</v>
      </c>
      <c r="D47" s="1392">
        <v>0.42148109528930017</v>
      </c>
      <c r="E47" s="1392">
        <v>0.50962638200533739</v>
      </c>
      <c r="F47" s="1392">
        <v>0.52768534391000865</v>
      </c>
      <c r="G47" s="1392">
        <v>0.45286276972257106</v>
      </c>
      <c r="H47" s="1392">
        <v>0.52185204272390129</v>
      </c>
      <c r="I47" s="1392">
        <v>0.70806428795181942</v>
      </c>
      <c r="J47" s="1392">
        <v>0.85082002000788193</v>
      </c>
    </row>
    <row r="48" spans="1:10" ht="16.5" customHeight="1">
      <c r="A48" s="1390" t="s">
        <v>113</v>
      </c>
      <c r="B48" s="1391" t="s">
        <v>301</v>
      </c>
      <c r="C48" s="1391" t="s">
        <v>272</v>
      </c>
      <c r="D48" s="1392">
        <v>0.60370395916678166</v>
      </c>
      <c r="E48" s="1392">
        <v>0.63152583271316776</v>
      </c>
      <c r="F48" s="1392">
        <v>0.68898120403159901</v>
      </c>
      <c r="G48" s="1392">
        <v>0.62113096999467365</v>
      </c>
      <c r="H48" s="1392">
        <v>0.81689184483599131</v>
      </c>
      <c r="I48" s="1392">
        <v>0.85080807470917363</v>
      </c>
      <c r="J48" s="1392">
        <v>0.90632773819587009</v>
      </c>
    </row>
    <row r="49" spans="1:10" ht="16.5" customHeight="1">
      <c r="A49" s="1390" t="s">
        <v>115</v>
      </c>
      <c r="B49" s="1391" t="s">
        <v>116</v>
      </c>
      <c r="C49" s="1391" t="s">
        <v>272</v>
      </c>
      <c r="D49" s="1392">
        <v>0.31288076588337688</v>
      </c>
      <c r="E49" s="1392">
        <v>0.34752198241406873</v>
      </c>
      <c r="F49" s="1392">
        <v>0.33352402745995424</v>
      </c>
      <c r="G49" s="1392">
        <v>0.30121145374449337</v>
      </c>
      <c r="H49" s="1392">
        <v>0.34859154929577463</v>
      </c>
      <c r="I49" s="1392">
        <v>0.39632237871674492</v>
      </c>
      <c r="J49" s="1392">
        <v>0.40375586854460094</v>
      </c>
    </row>
    <row r="50" spans="1:10" ht="16.5" customHeight="1">
      <c r="A50" s="1390" t="s">
        <v>119</v>
      </c>
      <c r="B50" s="1391" t="s">
        <v>277</v>
      </c>
      <c r="C50" s="1391" t="s">
        <v>271</v>
      </c>
      <c r="D50" s="1392">
        <v>0.54821442226810435</v>
      </c>
      <c r="E50" s="1392">
        <v>0.63340886874611213</v>
      </c>
      <c r="F50" s="1392">
        <v>0.64290390154490706</v>
      </c>
      <c r="G50" s="1392">
        <v>0.57824382129277563</v>
      </c>
      <c r="H50" s="1392">
        <v>0.71734594210619784</v>
      </c>
      <c r="I50" s="1392">
        <v>0.86734150239744268</v>
      </c>
      <c r="J50" s="1392">
        <v>0.97639850825785823</v>
      </c>
    </row>
    <row r="51" spans="1:10" ht="16.5" customHeight="1">
      <c r="A51" s="1390" t="s">
        <v>121</v>
      </c>
      <c r="B51" s="1391" t="s">
        <v>122</v>
      </c>
      <c r="C51" s="1391" t="s">
        <v>271</v>
      </c>
      <c r="D51" s="1392">
        <v>0.36924056135121708</v>
      </c>
      <c r="E51" s="1392">
        <v>0.47360897294919729</v>
      </c>
      <c r="F51" s="1392">
        <v>0.42863222680547369</v>
      </c>
      <c r="G51" s="1392">
        <v>0.42326583801122697</v>
      </c>
      <c r="H51" s="1392">
        <v>0.49310616505810517</v>
      </c>
      <c r="I51" s="1392">
        <v>0.66371216597728322</v>
      </c>
      <c r="J51" s="1392">
        <v>0.77340949379554857</v>
      </c>
    </row>
    <row r="52" spans="1:10" ht="16.5" customHeight="1">
      <c r="A52" s="1390" t="s">
        <v>123</v>
      </c>
      <c r="B52" s="1391" t="s">
        <v>278</v>
      </c>
      <c r="C52" s="1391" t="s">
        <v>273</v>
      </c>
      <c r="D52" s="1392">
        <v>0.63043478260869568</v>
      </c>
      <c r="E52" s="1392">
        <v>0.57482566248256628</v>
      </c>
      <c r="F52" s="1392">
        <v>0.64423359811709324</v>
      </c>
      <c r="G52" s="1392">
        <v>0.57591514143094846</v>
      </c>
      <c r="H52" s="1392">
        <v>0.63792354474370117</v>
      </c>
      <c r="I52" s="1392">
        <v>0.76122212568780767</v>
      </c>
      <c r="J52" s="1392">
        <v>0.87350130321459596</v>
      </c>
    </row>
    <row r="53" spans="1:10" ht="16.5" customHeight="1">
      <c r="A53" s="1390" t="s">
        <v>125</v>
      </c>
      <c r="B53" s="1391" t="s">
        <v>126</v>
      </c>
      <c r="C53" s="1391" t="s">
        <v>274</v>
      </c>
      <c r="D53" s="1392">
        <v>0.55162280701754385</v>
      </c>
      <c r="E53" s="1392">
        <v>0.65107300441235461</v>
      </c>
      <c r="F53" s="1392">
        <v>0.65636486747920297</v>
      </c>
      <c r="G53" s="1392">
        <v>0.61343630626141832</v>
      </c>
      <c r="H53" s="1392">
        <v>0.7824291427577813</v>
      </c>
      <c r="I53" s="1392">
        <v>1.0382976873587202</v>
      </c>
      <c r="J53" s="1392">
        <v>1.2200312989045383</v>
      </c>
    </row>
    <row r="54" spans="1:10" ht="16.5" customHeight="1">
      <c r="A54" s="1390" t="s">
        <v>127</v>
      </c>
      <c r="B54" s="1391" t="s">
        <v>128</v>
      </c>
      <c r="C54" s="1391" t="s">
        <v>273</v>
      </c>
      <c r="D54" s="1392">
        <v>0.51124708624708626</v>
      </c>
      <c r="E54" s="1392">
        <v>0.62792174796747968</v>
      </c>
      <c r="F54" s="1392">
        <v>0.59643605870020966</v>
      </c>
      <c r="G54" s="1392">
        <v>0.60179324894514763</v>
      </c>
      <c r="H54" s="1392">
        <v>0.6783863368669022</v>
      </c>
      <c r="I54" s="1392">
        <v>0.95441696113074204</v>
      </c>
      <c r="J54" s="1392">
        <v>1.125512367491166</v>
      </c>
    </row>
    <row r="55" spans="1:10" ht="16.5" customHeight="1">
      <c r="A55" s="1390" t="s">
        <v>129</v>
      </c>
      <c r="B55" s="1391" t="s">
        <v>130</v>
      </c>
      <c r="C55" s="1391" t="s">
        <v>273</v>
      </c>
      <c r="D55" s="1392">
        <v>0.61568231532895845</v>
      </c>
      <c r="E55" s="1392">
        <v>0.64562541583499666</v>
      </c>
      <c r="F55" s="1392">
        <v>0.60898066207800716</v>
      </c>
      <c r="G55" s="1392">
        <v>0.57010582010582012</v>
      </c>
      <c r="H55" s="1392">
        <v>0.58965402528276778</v>
      </c>
      <c r="I55" s="1392">
        <v>0.69357119095143049</v>
      </c>
      <c r="J55" s="1392">
        <v>0.77035928143712573</v>
      </c>
    </row>
    <row r="56" spans="1:10" ht="16.5" customHeight="1">
      <c r="A56" s="1390" t="s">
        <v>131</v>
      </c>
      <c r="B56" s="1391" t="s">
        <v>132</v>
      </c>
      <c r="C56" s="1391" t="s">
        <v>275</v>
      </c>
      <c r="D56" s="1392">
        <v>0.69147133578085285</v>
      </c>
      <c r="E56" s="1392">
        <v>0.60752919483712353</v>
      </c>
      <c r="F56" s="1392">
        <v>0.69933426769446394</v>
      </c>
      <c r="G56" s="1392">
        <v>0.64706768211350629</v>
      </c>
      <c r="H56" s="1392">
        <v>0.69349276725334763</v>
      </c>
      <c r="I56" s="1392">
        <v>0.7495857405168167</v>
      </c>
      <c r="J56" s="1392">
        <v>0.79575440010748355</v>
      </c>
    </row>
    <row r="57" spans="1:10" ht="16.5" customHeight="1">
      <c r="A57" s="1390" t="s">
        <v>133</v>
      </c>
      <c r="B57" s="1391" t="s">
        <v>134</v>
      </c>
      <c r="C57" s="1391" t="s">
        <v>274</v>
      </c>
      <c r="D57" s="1392">
        <v>0.23964927745278736</v>
      </c>
      <c r="E57" s="1392">
        <v>0.36041326808047852</v>
      </c>
      <c r="F57" s="1392">
        <v>0.32113666603307356</v>
      </c>
      <c r="G57" s="1392">
        <v>0.29947829947829946</v>
      </c>
      <c r="H57" s="1392">
        <v>0.34582491582491581</v>
      </c>
      <c r="I57" s="1392">
        <v>0.48074074074074075</v>
      </c>
      <c r="J57" s="1392">
        <v>0.57452929292929289</v>
      </c>
    </row>
    <row r="58" spans="1:10" ht="16.5" customHeight="1">
      <c r="A58" s="1390" t="s">
        <v>135</v>
      </c>
      <c r="B58" s="1391" t="s">
        <v>136</v>
      </c>
      <c r="C58" s="1391" t="s">
        <v>274</v>
      </c>
      <c r="D58" s="1392">
        <v>0.4172714078374456</v>
      </c>
      <c r="E58" s="1392">
        <v>0.45056306306306304</v>
      </c>
      <c r="F58" s="1392">
        <v>0.49929258630447088</v>
      </c>
      <c r="G58" s="1392">
        <v>0.45967681743543815</v>
      </c>
      <c r="H58" s="1392">
        <v>0.54409470317497466</v>
      </c>
      <c r="I58" s="1392">
        <v>0.75249629456275846</v>
      </c>
      <c r="J58" s="1392">
        <v>0.88233091504797567</v>
      </c>
    </row>
    <row r="59" spans="1:10" ht="16.5" customHeight="1">
      <c r="A59" s="1390" t="s">
        <v>137</v>
      </c>
      <c r="B59" s="1391" t="s">
        <v>138</v>
      </c>
      <c r="C59" s="1391" t="s">
        <v>273</v>
      </c>
      <c r="D59" s="1392">
        <v>0.52998629198080882</v>
      </c>
      <c r="E59" s="1392">
        <v>0.47584541062801933</v>
      </c>
      <c r="F59" s="1392">
        <v>0.53896882494004794</v>
      </c>
      <c r="G59" s="1392">
        <v>0.52234848484848484</v>
      </c>
      <c r="H59" s="1392">
        <v>0.52122618702253165</v>
      </c>
      <c r="I59" s="1392">
        <v>0.60685620346194757</v>
      </c>
      <c r="J59" s="1392">
        <v>0.66910356832027851</v>
      </c>
    </row>
    <row r="60" spans="1:10" ht="16.5" customHeight="1">
      <c r="A60" s="1390" t="s">
        <v>141</v>
      </c>
      <c r="B60" s="1391" t="s">
        <v>142</v>
      </c>
      <c r="C60" s="1391" t="s">
        <v>274</v>
      </c>
      <c r="D60" s="1392">
        <v>0.34643758493496407</v>
      </c>
      <c r="E60" s="1392">
        <v>0.35471587580550673</v>
      </c>
      <c r="F60" s="1392">
        <v>0.32169913419913421</v>
      </c>
      <c r="G60" s="1392">
        <v>0.34409304756926296</v>
      </c>
      <c r="H60" s="1392">
        <v>0.42841391009329943</v>
      </c>
      <c r="I60" s="1392">
        <v>0.58422391857506362</v>
      </c>
      <c r="J60" s="1392">
        <v>0.71531806615776083</v>
      </c>
    </row>
    <row r="61" spans="1:10" ht="16.5" customHeight="1">
      <c r="A61" s="1390" t="s">
        <v>147</v>
      </c>
      <c r="B61" s="1391" t="s">
        <v>148</v>
      </c>
      <c r="C61" s="1391" t="s">
        <v>271</v>
      </c>
      <c r="D61" s="1392">
        <v>0.47104779411764708</v>
      </c>
      <c r="E61" s="1392">
        <v>0.55953608247422681</v>
      </c>
      <c r="F61" s="1392">
        <v>0.5566438132549788</v>
      </c>
      <c r="G61" s="1392">
        <v>0.53435114503816794</v>
      </c>
      <c r="H61" s="1392">
        <v>0.57393483709273185</v>
      </c>
      <c r="I61" s="1392">
        <v>0.73394423558897248</v>
      </c>
      <c r="J61" s="1392">
        <v>0.83496240601503757</v>
      </c>
    </row>
    <row r="62" spans="1:10" ht="16.5" customHeight="1">
      <c r="A62" s="1390" t="s">
        <v>149</v>
      </c>
      <c r="B62" s="1391" t="s">
        <v>150</v>
      </c>
      <c r="C62" s="1391" t="s">
        <v>272</v>
      </c>
      <c r="D62" s="1392">
        <v>0.47630506748153806</v>
      </c>
      <c r="E62" s="1392">
        <v>0.49595929362466329</v>
      </c>
      <c r="F62" s="1392">
        <v>0.55201242571582931</v>
      </c>
      <c r="G62" s="1392">
        <v>0.47403253867494238</v>
      </c>
      <c r="H62" s="1392">
        <v>0.49380391619882241</v>
      </c>
      <c r="I62" s="1392">
        <v>0.59016842393536906</v>
      </c>
      <c r="J62" s="1392">
        <v>0.66832808434889768</v>
      </c>
    </row>
    <row r="63" spans="1:10" ht="16.5" customHeight="1">
      <c r="A63" s="1390" t="s">
        <v>151</v>
      </c>
      <c r="B63" s="1391" t="s">
        <v>152</v>
      </c>
      <c r="C63" s="1391" t="s">
        <v>273</v>
      </c>
      <c r="D63" s="1392">
        <v>0.47603550295857988</v>
      </c>
      <c r="E63" s="1392">
        <v>0.47234657713113226</v>
      </c>
      <c r="F63" s="1392">
        <v>0.49069349962207104</v>
      </c>
      <c r="G63" s="1392">
        <v>0.47371303395399783</v>
      </c>
      <c r="H63" s="1392">
        <v>0.51467775865366228</v>
      </c>
      <c r="I63" s="1392">
        <v>0.64386115892139983</v>
      </c>
      <c r="J63" s="1392">
        <v>0.76695352839931152</v>
      </c>
    </row>
    <row r="64" spans="1:10" ht="16.5" customHeight="1">
      <c r="A64" s="1390" t="s">
        <v>153</v>
      </c>
      <c r="B64" s="1391" t="s">
        <v>154</v>
      </c>
      <c r="C64" s="1391" t="s">
        <v>275</v>
      </c>
      <c r="D64" s="1392">
        <v>0.27314207137946123</v>
      </c>
      <c r="E64" s="1392">
        <v>0.22520464726546136</v>
      </c>
      <c r="F64" s="1392">
        <v>0.23875706214689266</v>
      </c>
      <c r="G64" s="1392">
        <v>0.22827933106872222</v>
      </c>
      <c r="H64" s="1392">
        <v>0.24522534878919269</v>
      </c>
      <c r="I64" s="1392">
        <v>0.28958720467215293</v>
      </c>
      <c r="J64" s="1392">
        <v>0.32091850278736395</v>
      </c>
    </row>
    <row r="65" spans="1:10" ht="16.5" customHeight="1">
      <c r="A65" s="1390" t="s">
        <v>155</v>
      </c>
      <c r="B65" s="1391" t="s">
        <v>156</v>
      </c>
      <c r="C65" s="1391" t="s">
        <v>272</v>
      </c>
      <c r="D65" s="1392">
        <v>0.42102908277404921</v>
      </c>
      <c r="E65" s="1392">
        <v>0.43767836757990869</v>
      </c>
      <c r="F65" s="1392">
        <v>0.49836956521739129</v>
      </c>
      <c r="G65" s="1392">
        <v>0.52630530091669991</v>
      </c>
      <c r="H65" s="1392">
        <v>0.5422117248062015</v>
      </c>
      <c r="I65" s="1392">
        <v>0.6881661821705426</v>
      </c>
      <c r="J65" s="1392">
        <v>0.73546511627906974</v>
      </c>
    </row>
    <row r="66" spans="1:10" ht="16.5" customHeight="1">
      <c r="A66" s="1390" t="s">
        <v>157</v>
      </c>
      <c r="B66" s="1391" t="s">
        <v>158</v>
      </c>
      <c r="C66" s="1391" t="s">
        <v>273</v>
      </c>
      <c r="D66" s="1392">
        <v>0.34270578647106764</v>
      </c>
      <c r="E66" s="1392">
        <v>0.43957564575645758</v>
      </c>
      <c r="F66" s="1392">
        <v>0.38345608292416805</v>
      </c>
      <c r="G66" s="1392">
        <v>0.35886886102403343</v>
      </c>
      <c r="H66" s="1392">
        <v>0.40131912734652458</v>
      </c>
      <c r="I66" s="1392">
        <v>0.56532217148655506</v>
      </c>
      <c r="J66" s="1392">
        <v>0.70639269406392691</v>
      </c>
    </row>
    <row r="67" spans="1:10" ht="16.5" customHeight="1">
      <c r="A67" s="1390" t="s">
        <v>163</v>
      </c>
      <c r="B67" s="1391" t="s">
        <v>164</v>
      </c>
      <c r="C67" s="1391" t="s">
        <v>271</v>
      </c>
      <c r="D67" s="1392">
        <v>0.56711442786069655</v>
      </c>
      <c r="E67" s="1392">
        <v>0.5955555555555555</v>
      </c>
      <c r="F67" s="1392">
        <v>0.63383172090296103</v>
      </c>
      <c r="G67" s="1392">
        <v>0.54354960868467561</v>
      </c>
      <c r="H67" s="1392">
        <v>0.61724170706206638</v>
      </c>
      <c r="I67" s="1392">
        <v>0.69596521243227827</v>
      </c>
      <c r="J67" s="1392">
        <v>0.77507841459937266</v>
      </c>
    </row>
    <row r="68" spans="1:10" ht="16.5" customHeight="1">
      <c r="A68" s="1390" t="s">
        <v>165</v>
      </c>
      <c r="B68" s="1391" t="s">
        <v>166</v>
      </c>
      <c r="C68" s="1391" t="s">
        <v>273</v>
      </c>
      <c r="D68" s="1392">
        <v>0.47064262598243178</v>
      </c>
      <c r="E68" s="1392">
        <v>0.51964285714285718</v>
      </c>
      <c r="F68" s="1392">
        <v>0.45697876029475509</v>
      </c>
      <c r="G68" s="1392">
        <v>0.39378764074365019</v>
      </c>
      <c r="H68" s="1392">
        <v>0.45155797101449274</v>
      </c>
      <c r="I68" s="1392">
        <v>0.55586956521739128</v>
      </c>
      <c r="J68" s="1392">
        <v>0.62295652173913041</v>
      </c>
    </row>
    <row r="69" spans="1:10" ht="16.5" customHeight="1">
      <c r="A69" s="1390" t="s">
        <v>169</v>
      </c>
      <c r="B69" s="1391" t="s">
        <v>170</v>
      </c>
      <c r="C69" s="1391" t="s">
        <v>273</v>
      </c>
      <c r="D69" s="1392">
        <v>0.58268868392343554</v>
      </c>
      <c r="E69" s="1392">
        <v>0.5798766816143498</v>
      </c>
      <c r="F69" s="1392">
        <v>0.57680007309941517</v>
      </c>
      <c r="G69" s="1392">
        <v>0.53485636453689944</v>
      </c>
      <c r="H69" s="1392">
        <v>0.59582708645677163</v>
      </c>
      <c r="I69" s="1392">
        <v>0.71355988672330506</v>
      </c>
      <c r="J69" s="1392">
        <v>0.79445277361319344</v>
      </c>
    </row>
    <row r="70" spans="1:10" ht="16.5" customHeight="1">
      <c r="A70" s="1390" t="s">
        <v>171</v>
      </c>
      <c r="B70" s="1391" t="s">
        <v>172</v>
      </c>
      <c r="C70" s="1391" t="s">
        <v>274</v>
      </c>
      <c r="D70" s="1392">
        <v>0.42210198636228874</v>
      </c>
      <c r="E70" s="1392">
        <v>0.44937126052124532</v>
      </c>
      <c r="F70" s="1392">
        <v>0.45549242424242425</v>
      </c>
      <c r="G70" s="1392">
        <v>0.39823474890461746</v>
      </c>
      <c r="H70" s="1392">
        <v>0.53717843832378875</v>
      </c>
      <c r="I70" s="1392">
        <v>0.71475320425415867</v>
      </c>
      <c r="J70" s="1392">
        <v>0.81788928279247342</v>
      </c>
    </row>
    <row r="71" spans="1:10" ht="16.5" customHeight="1">
      <c r="A71" s="1390" t="s">
        <v>173</v>
      </c>
      <c r="B71" s="1391" t="s">
        <v>174</v>
      </c>
      <c r="C71" s="1391" t="s">
        <v>274</v>
      </c>
      <c r="D71" s="1392">
        <v>0.44782070965540771</v>
      </c>
      <c r="E71" s="1392">
        <v>0.4700745603371424</v>
      </c>
      <c r="F71" s="1392">
        <v>0.51029693486590033</v>
      </c>
      <c r="G71" s="1392">
        <v>0.54516027159324176</v>
      </c>
      <c r="H71" s="1392">
        <v>0.54644069020287345</v>
      </c>
      <c r="I71" s="1392">
        <v>0.70364955598873724</v>
      </c>
      <c r="J71" s="1392">
        <v>0.79358891054797487</v>
      </c>
    </row>
    <row r="72" spans="1:10" ht="16.5" customHeight="1">
      <c r="A72" s="1390" t="s">
        <v>175</v>
      </c>
      <c r="B72" s="1391" t="s">
        <v>176</v>
      </c>
      <c r="C72" s="1391" t="s">
        <v>275</v>
      </c>
      <c r="D72" s="1392">
        <v>0.6116055846422338</v>
      </c>
      <c r="E72" s="1392">
        <v>0.62341062079281973</v>
      </c>
      <c r="F72" s="1392">
        <v>0.70886192314763741</v>
      </c>
      <c r="G72" s="1392">
        <v>0.66450936883629186</v>
      </c>
      <c r="H72" s="1392">
        <v>0.67203376881350751</v>
      </c>
      <c r="I72" s="1392">
        <v>0.76669340667736263</v>
      </c>
      <c r="J72" s="1392">
        <v>0.79990831996332801</v>
      </c>
    </row>
    <row r="73" spans="1:10" ht="16.5" customHeight="1">
      <c r="A73" s="1390" t="s">
        <v>179</v>
      </c>
      <c r="B73" s="1391" t="s">
        <v>180</v>
      </c>
      <c r="C73" s="1391" t="s">
        <v>272</v>
      </c>
      <c r="D73" s="1392">
        <v>0.50069666228317367</v>
      </c>
      <c r="E73" s="1392">
        <v>0.52316332988148662</v>
      </c>
      <c r="F73" s="1392">
        <v>0.62148227879695495</v>
      </c>
      <c r="G73" s="1392">
        <v>0.65652331786176632</v>
      </c>
      <c r="H73" s="1392">
        <v>0.62257934185962271</v>
      </c>
      <c r="I73" s="1392">
        <v>0.72372453955250915</v>
      </c>
      <c r="J73" s="1392">
        <v>0.77883474044972001</v>
      </c>
    </row>
    <row r="74" spans="1:10" ht="16.5" customHeight="1">
      <c r="A74" s="1390" t="s">
        <v>183</v>
      </c>
      <c r="B74" s="1391" t="s">
        <v>184</v>
      </c>
      <c r="C74" s="1391" t="s">
        <v>273</v>
      </c>
      <c r="D74" s="1392">
        <v>0.25861921829663764</v>
      </c>
      <c r="E74" s="1392">
        <v>0.30095340888649036</v>
      </c>
      <c r="F74" s="1392">
        <v>0.31518024944472922</v>
      </c>
      <c r="G74" s="1392">
        <v>0.32521387832699622</v>
      </c>
      <c r="H74" s="1392">
        <v>0.37258986928104576</v>
      </c>
      <c r="I74" s="1392">
        <v>0.50318627450980391</v>
      </c>
      <c r="J74" s="1392">
        <v>0.60411764705882354</v>
      </c>
    </row>
    <row r="75" spans="1:10" ht="16.5" customHeight="1">
      <c r="A75" s="1390" t="s">
        <v>185</v>
      </c>
      <c r="B75" s="1391" t="s">
        <v>186</v>
      </c>
      <c r="C75" s="1391" t="s">
        <v>273</v>
      </c>
      <c r="D75" s="1392">
        <v>0.46958978965491427</v>
      </c>
      <c r="E75" s="1392">
        <v>0.47032697359325315</v>
      </c>
      <c r="F75" s="1392">
        <v>0.55119505390937196</v>
      </c>
      <c r="G75" s="1392">
        <v>0.48951876291408386</v>
      </c>
      <c r="H75" s="1392">
        <v>0.46931306306306309</v>
      </c>
      <c r="I75" s="1392">
        <v>0.54748992413466102</v>
      </c>
      <c r="J75" s="1392">
        <v>0.58403271692745373</v>
      </c>
    </row>
    <row r="76" spans="1:10" ht="16.5" customHeight="1">
      <c r="A76" s="1390" t="s">
        <v>187</v>
      </c>
      <c r="B76" s="1391" t="s">
        <v>188</v>
      </c>
      <c r="C76" s="1391" t="s">
        <v>271</v>
      </c>
      <c r="D76" s="1392">
        <v>0.34425778022583309</v>
      </c>
      <c r="E76" s="1392">
        <v>0.38302538260544977</v>
      </c>
      <c r="F76" s="1392">
        <v>0.44177540529853698</v>
      </c>
      <c r="G76" s="1392">
        <v>0.41351549684883016</v>
      </c>
      <c r="H76" s="1392">
        <v>0.40390971382507052</v>
      </c>
      <c r="I76" s="1392">
        <v>0.47849657396211204</v>
      </c>
      <c r="J76" s="1392">
        <v>0.55380894800483671</v>
      </c>
    </row>
    <row r="77" spans="1:10" ht="16.5" customHeight="1">
      <c r="A77" s="1390" t="s">
        <v>189</v>
      </c>
      <c r="B77" s="1391" t="s">
        <v>190</v>
      </c>
      <c r="C77" s="1391" t="s">
        <v>274</v>
      </c>
      <c r="D77" s="1392">
        <v>0.35699662596208109</v>
      </c>
      <c r="E77" s="1392">
        <v>0.47611355311355313</v>
      </c>
      <c r="F77" s="1392">
        <v>0.46271313090143334</v>
      </c>
      <c r="G77" s="1392">
        <v>0.47040204137286223</v>
      </c>
      <c r="H77" s="1392">
        <v>0.53381058396028458</v>
      </c>
      <c r="I77" s="1392">
        <v>0.728424561134142</v>
      </c>
      <c r="J77" s="1392">
        <v>0.88352525717795183</v>
      </c>
    </row>
    <row r="78" spans="1:10" ht="16.5" customHeight="1">
      <c r="A78" s="1390" t="s">
        <v>191</v>
      </c>
      <c r="B78" s="1391" t="s">
        <v>192</v>
      </c>
      <c r="C78" s="1391" t="s">
        <v>275</v>
      </c>
      <c r="D78" s="1392">
        <v>0.55726947556677708</v>
      </c>
      <c r="E78" s="1392">
        <v>0.54145800543711542</v>
      </c>
      <c r="F78" s="1392">
        <v>0.62223261615216718</v>
      </c>
      <c r="G78" s="1392">
        <v>0.60429967111627003</v>
      </c>
      <c r="H78" s="1392">
        <v>0.61825274107393868</v>
      </c>
      <c r="I78" s="1392">
        <v>0.74305360322369041</v>
      </c>
      <c r="J78" s="1392">
        <v>0.81700871520944618</v>
      </c>
    </row>
    <row r="79" spans="1:10" ht="16.5" customHeight="1">
      <c r="A79" s="1390" t="s">
        <v>195</v>
      </c>
      <c r="B79" s="1391" t="s">
        <v>196</v>
      </c>
      <c r="C79" s="1391" t="s">
        <v>274</v>
      </c>
      <c r="D79" s="1392">
        <v>0.21503411306042886</v>
      </c>
      <c r="E79" s="1392">
        <v>0.25735294117647056</v>
      </c>
      <c r="F79" s="1392">
        <v>0.27492211838006231</v>
      </c>
      <c r="G79" s="1392">
        <v>0.25112751127511274</v>
      </c>
      <c r="H79" s="1392">
        <v>0.314070351758794</v>
      </c>
      <c r="I79" s="1392">
        <v>0.46398659966499162</v>
      </c>
      <c r="J79" s="1392">
        <v>0.54798994974874371</v>
      </c>
    </row>
    <row r="80" spans="1:10" ht="16.5" customHeight="1">
      <c r="A80" s="1390" t="s">
        <v>199</v>
      </c>
      <c r="B80" s="1391" t="s">
        <v>279</v>
      </c>
      <c r="C80" s="1391" t="s">
        <v>273</v>
      </c>
      <c r="D80" s="1392">
        <v>0.49176954732510286</v>
      </c>
      <c r="E80" s="1392">
        <v>0.52760513776672879</v>
      </c>
      <c r="F80" s="1392">
        <v>0.54588771493681376</v>
      </c>
      <c r="G80" s="1392">
        <v>0.48061279826464209</v>
      </c>
      <c r="H80" s="1392">
        <v>0.52099519052904175</v>
      </c>
      <c r="I80" s="1392">
        <v>0.64729004809470958</v>
      </c>
      <c r="J80" s="1392">
        <v>0.74472807991120982</v>
      </c>
    </row>
    <row r="81" spans="1:10" ht="16.5" customHeight="1">
      <c r="A81" s="1390" t="s">
        <v>203</v>
      </c>
      <c r="B81" s="1391" t="s">
        <v>302</v>
      </c>
      <c r="C81" s="1391" t="s">
        <v>272</v>
      </c>
      <c r="D81" s="1392">
        <v>0.34811001366629396</v>
      </c>
      <c r="E81" s="1392">
        <v>0.45952010087524109</v>
      </c>
      <c r="F81" s="1392">
        <v>0.48775808020754513</v>
      </c>
      <c r="G81" s="1392">
        <v>0.42996665078608859</v>
      </c>
      <c r="H81" s="1392">
        <v>0.4955533070614549</v>
      </c>
      <c r="I81" s="1392">
        <v>0.66582598912432023</v>
      </c>
      <c r="J81" s="1392">
        <v>0.72221190166573779</v>
      </c>
    </row>
    <row r="82" spans="1:10" ht="16.5" customHeight="1">
      <c r="A82" s="1390" t="s">
        <v>205</v>
      </c>
      <c r="B82" s="1391" t="s">
        <v>303</v>
      </c>
      <c r="C82" s="1391" t="s">
        <v>272</v>
      </c>
      <c r="D82" s="1392">
        <v>0.3775115110925073</v>
      </c>
      <c r="E82" s="1392">
        <v>0.37772709242364139</v>
      </c>
      <c r="F82" s="1392">
        <v>0.34263654477262073</v>
      </c>
      <c r="G82" s="1392">
        <v>0.34949761580381472</v>
      </c>
      <c r="H82" s="1392">
        <v>0.49797695169972184</v>
      </c>
      <c r="I82" s="1392">
        <v>0.52190280629705676</v>
      </c>
      <c r="J82" s="1392">
        <v>0.5958247775496236</v>
      </c>
    </row>
    <row r="83" spans="1:10" ht="16.5" customHeight="1">
      <c r="A83" s="1390" t="s">
        <v>207</v>
      </c>
      <c r="B83" s="1391" t="s">
        <v>304</v>
      </c>
      <c r="C83" s="1391" t="s">
        <v>274</v>
      </c>
      <c r="D83" s="1392">
        <v>0.32555873813838387</v>
      </c>
      <c r="E83" s="1392">
        <v>0.32212364052661707</v>
      </c>
      <c r="F83" s="1392">
        <v>0.29783135182738879</v>
      </c>
      <c r="G83" s="1392">
        <v>0.28247908102277036</v>
      </c>
      <c r="H83" s="1392">
        <v>0.41238260763507745</v>
      </c>
      <c r="I83" s="1392">
        <v>0.35787130944331758</v>
      </c>
      <c r="J83" s="1392">
        <v>0.42431541582150101</v>
      </c>
    </row>
    <row r="84" spans="1:10" ht="16.5" customHeight="1">
      <c r="A84" s="1390" t="s">
        <v>209</v>
      </c>
      <c r="B84" s="1391" t="s">
        <v>210</v>
      </c>
      <c r="C84" s="1391" t="s">
        <v>275</v>
      </c>
      <c r="D84" s="1392">
        <v>0.66974760918860299</v>
      </c>
      <c r="E84" s="1392">
        <v>0.63450131052558978</v>
      </c>
      <c r="F84" s="1392">
        <v>0.70323921097426656</v>
      </c>
      <c r="G84" s="1392">
        <v>0.63408752082785236</v>
      </c>
      <c r="H84" s="1392">
        <v>0.64393939393939392</v>
      </c>
      <c r="I84" s="1392">
        <v>0.71540734859512156</v>
      </c>
      <c r="J84" s="1392">
        <v>0.76988222839751219</v>
      </c>
    </row>
    <row r="85" spans="1:10" ht="16.5" customHeight="1">
      <c r="A85" s="1390" t="s">
        <v>211</v>
      </c>
      <c r="B85" s="1391" t="s">
        <v>212</v>
      </c>
      <c r="C85" s="1391" t="s">
        <v>275</v>
      </c>
      <c r="D85" s="1392">
        <v>0.48228455116263025</v>
      </c>
      <c r="E85" s="1392">
        <v>0.47335770985686604</v>
      </c>
      <c r="F85" s="1392">
        <v>0.48652777777777778</v>
      </c>
      <c r="G85" s="1392">
        <v>0.44274395804833561</v>
      </c>
      <c r="H85" s="1392">
        <v>0.51118367089406269</v>
      </c>
      <c r="I85" s="1392">
        <v>0.61104801564767497</v>
      </c>
      <c r="J85" s="1392">
        <v>0.69123604012871476</v>
      </c>
    </row>
    <row r="86" spans="1:10" ht="16.5" customHeight="1">
      <c r="A86" s="1390" t="s">
        <v>213</v>
      </c>
      <c r="B86" s="1391" t="s">
        <v>214</v>
      </c>
      <c r="C86" s="1391" t="s">
        <v>274</v>
      </c>
      <c r="D86" s="1392">
        <v>0.41473927670311184</v>
      </c>
      <c r="E86" s="1392">
        <v>0.492583918813427</v>
      </c>
      <c r="F86" s="1392">
        <v>0.51546468958286529</v>
      </c>
      <c r="G86" s="1392">
        <v>0.48623077414002169</v>
      </c>
      <c r="H86" s="1392">
        <v>0.55140692640692646</v>
      </c>
      <c r="I86" s="1392">
        <v>0.77510822510822508</v>
      </c>
      <c r="J86" s="1392">
        <v>0.89717996289424862</v>
      </c>
    </row>
    <row r="87" spans="1:10" ht="16.5" customHeight="1">
      <c r="A87" s="1390" t="s">
        <v>215</v>
      </c>
      <c r="B87" s="1391" t="s">
        <v>216</v>
      </c>
      <c r="C87" s="1391" t="s">
        <v>275</v>
      </c>
      <c r="D87" s="1392">
        <v>0.59406753165546344</v>
      </c>
      <c r="E87" s="1392">
        <v>0.74790871067466813</v>
      </c>
      <c r="F87" s="1392">
        <v>0.66579026442307687</v>
      </c>
      <c r="G87" s="1392">
        <v>0.60338070628768303</v>
      </c>
      <c r="H87" s="1392">
        <v>0.64303321224701604</v>
      </c>
      <c r="I87" s="1392">
        <v>0.75527590382286802</v>
      </c>
      <c r="J87" s="1392">
        <v>0.82021276595744685</v>
      </c>
    </row>
    <row r="88" spans="1:10" ht="16.5" customHeight="1">
      <c r="A88" s="1390" t="s">
        <v>217</v>
      </c>
      <c r="B88" s="1391" t="s">
        <v>218</v>
      </c>
      <c r="C88" s="1391" t="s">
        <v>271</v>
      </c>
      <c r="D88" s="1392">
        <v>0.5863830925628678</v>
      </c>
      <c r="E88" s="1392">
        <v>0.59913345786633454</v>
      </c>
      <c r="F88" s="1392">
        <v>0.60061637080867847</v>
      </c>
      <c r="G88" s="1392">
        <v>0.60047281323877066</v>
      </c>
      <c r="H88" s="1392">
        <v>0.55761660248181433</v>
      </c>
      <c r="I88" s="1392">
        <v>0.63380402225074883</v>
      </c>
      <c r="J88" s="1392">
        <v>0.67969191270860074</v>
      </c>
    </row>
    <row r="89" spans="1:10" ht="16.5" customHeight="1">
      <c r="A89" s="1390" t="s">
        <v>219</v>
      </c>
      <c r="B89" s="1391" t="s">
        <v>220</v>
      </c>
      <c r="C89" s="1391" t="s">
        <v>274</v>
      </c>
      <c r="D89" s="1392">
        <v>0.40452350518392272</v>
      </c>
      <c r="E89" s="1392">
        <v>0.47466276710039396</v>
      </c>
      <c r="F89" s="1392">
        <v>0.49932569116655429</v>
      </c>
      <c r="G89" s="1392">
        <v>0.48859122178083519</v>
      </c>
      <c r="H89" s="1392">
        <v>0.61021841624170114</v>
      </c>
      <c r="I89" s="1392">
        <v>0.82611693768241445</v>
      </c>
      <c r="J89" s="1392">
        <v>0.95106321562590201</v>
      </c>
    </row>
    <row r="90" spans="1:10" ht="16.5" customHeight="1">
      <c r="A90" s="1390" t="s">
        <v>221</v>
      </c>
      <c r="B90" s="1391" t="s">
        <v>222</v>
      </c>
      <c r="C90" s="1391" t="s">
        <v>274</v>
      </c>
      <c r="D90" s="1392">
        <v>0.39855823979176835</v>
      </c>
      <c r="E90" s="1392">
        <v>0.50820038590051297</v>
      </c>
      <c r="F90" s="1392">
        <v>0.58420800383417204</v>
      </c>
      <c r="G90" s="1392">
        <v>0.62454174207619839</v>
      </c>
      <c r="H90" s="1392">
        <v>0.65068566074698697</v>
      </c>
      <c r="I90" s="1392">
        <v>0.85953536902176231</v>
      </c>
      <c r="J90" s="1392">
        <v>1.0119074996805928</v>
      </c>
    </row>
    <row r="91" spans="1:10" ht="16.5" customHeight="1">
      <c r="A91" s="1390" t="s">
        <v>225</v>
      </c>
      <c r="B91" s="1391" t="s">
        <v>226</v>
      </c>
      <c r="C91" s="1391" t="s">
        <v>271</v>
      </c>
      <c r="D91" s="1392">
        <v>0.5353133769878391</v>
      </c>
      <c r="E91" s="1392">
        <v>0.54364716636197441</v>
      </c>
      <c r="F91" s="1392">
        <v>0.61371782339524272</v>
      </c>
      <c r="G91" s="1392">
        <v>0.50607947805456699</v>
      </c>
      <c r="H91" s="1392">
        <v>0.53523936170212771</v>
      </c>
      <c r="I91" s="1392">
        <v>0.7021276595744681</v>
      </c>
      <c r="J91" s="1392">
        <v>0.8117021276595745</v>
      </c>
    </row>
    <row r="92" spans="1:10" ht="16.5" customHeight="1">
      <c r="A92" s="1390" t="s">
        <v>227</v>
      </c>
      <c r="B92" s="1391" t="s">
        <v>228</v>
      </c>
      <c r="C92" s="1391" t="s">
        <v>271</v>
      </c>
      <c r="D92" s="1392">
        <v>0.49636312771016927</v>
      </c>
      <c r="E92" s="1392">
        <v>0.53732423490488002</v>
      </c>
      <c r="F92" s="1392">
        <v>0.44718849141231815</v>
      </c>
      <c r="G92" s="1392">
        <v>0.47089384815208407</v>
      </c>
      <c r="H92" s="1392">
        <v>0.4855715871254162</v>
      </c>
      <c r="I92" s="1392">
        <v>0.5631088913552843</v>
      </c>
      <c r="J92" s="1392">
        <v>0.63706992230854609</v>
      </c>
    </row>
    <row r="93" spans="1:10" ht="16.5" customHeight="1">
      <c r="A93" s="1390" t="s">
        <v>229</v>
      </c>
      <c r="B93" s="1391" t="s">
        <v>230</v>
      </c>
      <c r="C93" s="1391" t="s">
        <v>275</v>
      </c>
      <c r="D93" s="1392">
        <v>0.57800431717764511</v>
      </c>
      <c r="E93" s="1392">
        <v>0.59208592236253088</v>
      </c>
      <c r="F93" s="1392">
        <v>0.62505576718487255</v>
      </c>
      <c r="G93" s="1392">
        <v>0.52772010591562857</v>
      </c>
      <c r="H93" s="1392">
        <v>0.54298194806448496</v>
      </c>
      <c r="I93" s="1392">
        <v>0.61547929336808571</v>
      </c>
      <c r="J93" s="1392">
        <v>0.68043247417704411</v>
      </c>
    </row>
    <row r="94" spans="1:10" ht="16.5" customHeight="1">
      <c r="A94" s="1390" t="s">
        <v>233</v>
      </c>
      <c r="B94" s="1391" t="s">
        <v>234</v>
      </c>
      <c r="C94" s="1391" t="s">
        <v>274</v>
      </c>
      <c r="D94" s="1392">
        <v>0.47227875772651889</v>
      </c>
      <c r="E94" s="1392">
        <v>0.4538110095832405</v>
      </c>
      <c r="F94" s="1392">
        <v>0.43354869323988904</v>
      </c>
      <c r="G94" s="1392">
        <v>0.48687920190847972</v>
      </c>
      <c r="H94" s="1392">
        <v>0.53723654181769365</v>
      </c>
      <c r="I94" s="1392">
        <v>0.76137736608940798</v>
      </c>
      <c r="J94" s="1392">
        <v>0.88453483689085788</v>
      </c>
    </row>
    <row r="95" spans="1:10" ht="16.5" customHeight="1">
      <c r="A95" s="1390" t="s">
        <v>235</v>
      </c>
      <c r="B95" s="1391" t="s">
        <v>236</v>
      </c>
      <c r="C95" s="1391" t="s">
        <v>275</v>
      </c>
      <c r="D95" s="1392">
        <v>0.46882400828892834</v>
      </c>
      <c r="E95" s="1392">
        <v>0.62364346365163692</v>
      </c>
      <c r="F95" s="1392">
        <v>0.53939513403919803</v>
      </c>
      <c r="G95" s="1392">
        <v>0.455614624984854</v>
      </c>
      <c r="H95" s="1392">
        <v>0.52944655471144875</v>
      </c>
      <c r="I95" s="1392">
        <v>0.63682027189124346</v>
      </c>
      <c r="J95" s="1392">
        <v>0.71223510595761697</v>
      </c>
    </row>
    <row r="96" spans="1:10" ht="16.5" customHeight="1">
      <c r="A96" s="1390" t="s">
        <v>237</v>
      </c>
      <c r="B96" s="1391" t="s">
        <v>238</v>
      </c>
      <c r="C96" s="1391" t="s">
        <v>273</v>
      </c>
      <c r="D96" s="1392">
        <v>0.5462735462735463</v>
      </c>
      <c r="E96" s="1392">
        <v>0.513265965300849</v>
      </c>
      <c r="F96" s="1392">
        <v>0.5342257453385183</v>
      </c>
      <c r="G96" s="1392">
        <v>0.5818137414522957</v>
      </c>
      <c r="H96" s="1392">
        <v>0.56161601681957185</v>
      </c>
      <c r="I96" s="1392">
        <v>0.6993262614678899</v>
      </c>
      <c r="J96" s="1392">
        <v>0.80183486238532109</v>
      </c>
    </row>
    <row r="97" spans="1:10" ht="16.5" customHeight="1">
      <c r="A97" s="1390" t="s">
        <v>243</v>
      </c>
      <c r="B97" s="1391" t="s">
        <v>244</v>
      </c>
      <c r="C97" s="1391" t="s">
        <v>275</v>
      </c>
      <c r="D97" s="1392">
        <v>0.69689191711778986</v>
      </c>
      <c r="E97" s="1392">
        <v>0.62440060570370992</v>
      </c>
      <c r="F97" s="1392">
        <v>0.71126604692341744</v>
      </c>
      <c r="G97" s="1392">
        <v>0.60497530966371482</v>
      </c>
      <c r="H97" s="1392">
        <v>0.64847764173933464</v>
      </c>
      <c r="I97" s="1392">
        <v>0.69858921283654829</v>
      </c>
      <c r="J97" s="1392">
        <v>0.74560028186382454</v>
      </c>
    </row>
    <row r="98" spans="1:10" ht="16.5" customHeight="1">
      <c r="A98" s="1390" t="s">
        <v>245</v>
      </c>
      <c r="B98" s="1391" t="s">
        <v>246</v>
      </c>
      <c r="C98" s="1391" t="s">
        <v>275</v>
      </c>
      <c r="D98" s="1392">
        <v>0.54605997210599722</v>
      </c>
      <c r="E98" s="1392">
        <v>0.54923417178319134</v>
      </c>
      <c r="F98" s="1392">
        <v>0.52853000956480156</v>
      </c>
      <c r="G98" s="1392">
        <v>0.6088541666666667</v>
      </c>
      <c r="H98" s="1392">
        <v>0.59619748543391593</v>
      </c>
      <c r="I98" s="1392">
        <v>0.73888377798221405</v>
      </c>
      <c r="J98" s="1392">
        <v>0.82211591536338546</v>
      </c>
    </row>
    <row r="99" spans="1:10" ht="16.5" customHeight="1">
      <c r="A99" s="1390" t="s">
        <v>247</v>
      </c>
      <c r="B99" s="1391" t="s">
        <v>248</v>
      </c>
      <c r="C99" s="1391" t="s">
        <v>271</v>
      </c>
      <c r="D99" s="1392">
        <v>0.2849618780096308</v>
      </c>
      <c r="E99" s="1392">
        <v>0.35629376323074419</v>
      </c>
      <c r="F99" s="1392">
        <v>0.35438656876242924</v>
      </c>
      <c r="G99" s="1392">
        <v>0.35473352822127274</v>
      </c>
      <c r="H99" s="1392">
        <v>0.42803125261134789</v>
      </c>
      <c r="I99" s="1392">
        <v>0.52887712839392542</v>
      </c>
      <c r="J99" s="1392">
        <v>0.58421537045559135</v>
      </c>
    </row>
    <row r="100" spans="1:10" ht="16.5" customHeight="1">
      <c r="A100" s="1390" t="s">
        <v>14</v>
      </c>
      <c r="B100" s="1391" t="s">
        <v>15</v>
      </c>
      <c r="C100" s="1391" t="s">
        <v>274</v>
      </c>
      <c r="D100" s="1392">
        <v>0.33114145746604434</v>
      </c>
      <c r="E100" s="1392">
        <v>0.37817501101159889</v>
      </c>
      <c r="F100" s="1392">
        <v>0.38753983428935629</v>
      </c>
      <c r="G100" s="1392">
        <v>0.31247364934048066</v>
      </c>
      <c r="H100" s="1392">
        <v>0.35414131710961683</v>
      </c>
      <c r="I100" s="1392">
        <v>0.43976945244956772</v>
      </c>
      <c r="J100" s="1392">
        <v>0.49606147934678196</v>
      </c>
    </row>
    <row r="101" spans="1:10" ht="16.5" customHeight="1">
      <c r="A101" s="1390" t="s">
        <v>35</v>
      </c>
      <c r="B101" s="1391" t="s">
        <v>36</v>
      </c>
      <c r="C101" s="1391" t="s">
        <v>275</v>
      </c>
      <c r="D101" s="1392">
        <v>0.70840656121851198</v>
      </c>
      <c r="E101" s="1392">
        <v>0.77620611265471073</v>
      </c>
      <c r="F101" s="1392">
        <v>0.68836984980019289</v>
      </c>
      <c r="G101" s="1392">
        <v>0.76550905313149298</v>
      </c>
      <c r="H101" s="1392">
        <v>0.7749038266855639</v>
      </c>
      <c r="I101" s="1392">
        <v>0.86660592562597016</v>
      </c>
      <c r="J101" s="1392">
        <v>0.90730917189714522</v>
      </c>
    </row>
    <row r="102" spans="1:10" ht="16.5" customHeight="1">
      <c r="A102" s="1390" t="s">
        <v>53</v>
      </c>
      <c r="B102" s="1391" t="s">
        <v>54</v>
      </c>
      <c r="C102" s="1391" t="s">
        <v>272</v>
      </c>
      <c r="D102" s="1392">
        <v>0.41685879969258716</v>
      </c>
      <c r="E102" s="1392">
        <v>0.33503288104553403</v>
      </c>
      <c r="F102" s="1392">
        <v>0.31238309016086796</v>
      </c>
      <c r="G102" s="1392">
        <v>0.28185874616829826</v>
      </c>
      <c r="H102" s="1392">
        <v>0.3432035144039875</v>
      </c>
      <c r="I102" s="1392">
        <v>0.41021092055982655</v>
      </c>
      <c r="J102" s="1392">
        <v>0.45381431105854525</v>
      </c>
    </row>
    <row r="103" spans="1:10" ht="16.5" customHeight="1">
      <c r="A103" s="1390" t="s">
        <v>55</v>
      </c>
      <c r="B103" s="1391" t="s">
        <v>56</v>
      </c>
      <c r="C103" s="1391" t="s">
        <v>271</v>
      </c>
      <c r="D103" s="1392">
        <v>0.42821986001422313</v>
      </c>
      <c r="E103" s="1392">
        <v>0.64449672455027551</v>
      </c>
      <c r="F103" s="1392">
        <v>0.60965658081186969</v>
      </c>
      <c r="G103" s="1392">
        <v>0.49046600285253461</v>
      </c>
      <c r="H103" s="1392">
        <v>0.57360500049834129</v>
      </c>
      <c r="I103" s="1392">
        <v>0.73518502698161836</v>
      </c>
      <c r="J103" s="1392">
        <v>0.83347998803981038</v>
      </c>
    </row>
    <row r="104" spans="1:10" ht="16.5" customHeight="1">
      <c r="A104" s="1390" t="s">
        <v>67</v>
      </c>
      <c r="B104" s="1391" t="s">
        <v>68</v>
      </c>
      <c r="C104" s="1391" t="s">
        <v>272</v>
      </c>
      <c r="D104" s="1392">
        <v>0.68400000000000005</v>
      </c>
      <c r="E104" s="1392">
        <v>0.63773896542029795</v>
      </c>
      <c r="F104" s="1392">
        <v>0.72739879025173804</v>
      </c>
      <c r="G104" s="1392">
        <v>0.69586429613167577</v>
      </c>
      <c r="H104" s="1392">
        <v>0.86617822157276614</v>
      </c>
      <c r="I104" s="1392">
        <v>0.9767210586134113</v>
      </c>
      <c r="J104" s="1392">
        <v>1.0337230069816528</v>
      </c>
    </row>
    <row r="105" spans="1:10" ht="16.5" customHeight="1">
      <c r="A105" s="1390" t="s">
        <v>83</v>
      </c>
      <c r="B105" s="1391" t="s">
        <v>84</v>
      </c>
      <c r="C105" s="1391" t="s">
        <v>271</v>
      </c>
      <c r="D105" s="1392">
        <v>0.81553357009978011</v>
      </c>
      <c r="E105" s="1392">
        <v>0.79458068422646078</v>
      </c>
      <c r="F105" s="1392">
        <v>0.8303571428571429</v>
      </c>
      <c r="G105" s="1392">
        <v>0.70039855072463764</v>
      </c>
      <c r="H105" s="1392">
        <v>0.73646473514779043</v>
      </c>
      <c r="I105" s="1392">
        <v>0.88458443078724025</v>
      </c>
      <c r="J105" s="1392">
        <v>0.99122036874451269</v>
      </c>
    </row>
    <row r="106" spans="1:10" ht="16.5" customHeight="1">
      <c r="A106" s="1390" t="s">
        <v>89</v>
      </c>
      <c r="B106" s="1391" t="s">
        <v>90</v>
      </c>
      <c r="C106" s="1391" t="s">
        <v>274</v>
      </c>
      <c r="D106" s="1392">
        <v>0.5725568942436412</v>
      </c>
      <c r="E106" s="1392">
        <v>0.54702765358503058</v>
      </c>
      <c r="F106" s="1392">
        <v>0.59358087126253212</v>
      </c>
      <c r="G106" s="1392">
        <v>0.61054784774101745</v>
      </c>
      <c r="H106" s="1392">
        <v>0.61038935705368291</v>
      </c>
      <c r="I106" s="1392">
        <v>0.75813436329588013</v>
      </c>
      <c r="J106" s="1392">
        <v>0.86671348314606744</v>
      </c>
    </row>
    <row r="107" spans="1:10" ht="16.5" customHeight="1">
      <c r="A107" s="1390" t="s">
        <v>91</v>
      </c>
      <c r="B107" s="1391" t="s">
        <v>92</v>
      </c>
      <c r="C107" s="1391" t="s">
        <v>275</v>
      </c>
      <c r="D107" s="1392">
        <v>0.76820948782535681</v>
      </c>
      <c r="E107" s="1392">
        <v>0.71312932809283169</v>
      </c>
      <c r="F107" s="1392">
        <v>0.66785714285714282</v>
      </c>
      <c r="G107" s="1392">
        <v>0.78565596080566136</v>
      </c>
      <c r="H107" s="1392">
        <v>0.82949329096045199</v>
      </c>
      <c r="I107" s="1392">
        <v>0.90841278248587576</v>
      </c>
      <c r="J107" s="1392">
        <v>0.94671610169491527</v>
      </c>
    </row>
    <row r="108" spans="1:10" ht="16.5" customHeight="1">
      <c r="A108" s="1390" t="s">
        <v>107</v>
      </c>
      <c r="B108" s="1391" t="s">
        <v>108</v>
      </c>
      <c r="C108" s="1391" t="s">
        <v>271</v>
      </c>
      <c r="D108" s="1392">
        <v>0.53503918856615951</v>
      </c>
      <c r="E108" s="1392">
        <v>0.57655243985089799</v>
      </c>
      <c r="F108" s="1392">
        <v>0.61185690027077888</v>
      </c>
      <c r="G108" s="1392">
        <v>0.43562073576301985</v>
      </c>
      <c r="H108" s="1392">
        <v>0.50907545975006141</v>
      </c>
      <c r="I108" s="1392">
        <v>0.60921244782176043</v>
      </c>
      <c r="J108" s="1392">
        <v>0.67985112239754975</v>
      </c>
    </row>
    <row r="109" spans="1:10" ht="16.5" customHeight="1">
      <c r="A109" s="1390" t="s">
        <v>117</v>
      </c>
      <c r="B109" s="1391" t="s">
        <v>118</v>
      </c>
      <c r="C109" s="1391" t="s">
        <v>273</v>
      </c>
      <c r="D109" s="1392">
        <v>0.80158410524902668</v>
      </c>
      <c r="E109" s="1392">
        <v>0.84147294725394239</v>
      </c>
      <c r="F109" s="1392">
        <v>0.83261980618611442</v>
      </c>
      <c r="G109" s="1392">
        <v>0.87963713764443541</v>
      </c>
      <c r="H109" s="1392">
        <v>0.83398950131233596</v>
      </c>
      <c r="I109" s="1392">
        <v>0.99469100453352421</v>
      </c>
      <c r="J109" s="1392">
        <v>1.1075876879026485</v>
      </c>
    </row>
    <row r="110" spans="1:10" ht="16.5" customHeight="1">
      <c r="A110" s="1390" t="s">
        <v>139</v>
      </c>
      <c r="B110" s="1391" t="s">
        <v>140</v>
      </c>
      <c r="C110" s="1391" t="s">
        <v>272</v>
      </c>
      <c r="D110" s="1392">
        <v>0.54354032833690225</v>
      </c>
      <c r="E110" s="1392">
        <v>0.58127704892030907</v>
      </c>
      <c r="F110" s="1392">
        <v>0.58389488605386541</v>
      </c>
      <c r="G110" s="1392">
        <v>0.5148619346420279</v>
      </c>
      <c r="H110" s="1392">
        <v>0.5520962687008456</v>
      </c>
      <c r="I110" s="1392">
        <v>0.64487611613742535</v>
      </c>
      <c r="J110" s="1392">
        <v>0.71736739400390281</v>
      </c>
    </row>
    <row r="111" spans="1:10" ht="16.5" customHeight="1">
      <c r="A111" s="1390" t="s">
        <v>143</v>
      </c>
      <c r="B111" s="1391" t="s">
        <v>280</v>
      </c>
      <c r="C111" s="1391" t="s">
        <v>274</v>
      </c>
      <c r="D111" s="1392">
        <v>0.36495060466700735</v>
      </c>
      <c r="E111" s="1392">
        <v>0.43618549297219655</v>
      </c>
      <c r="F111" s="1392">
        <v>0.41141014858424446</v>
      </c>
      <c r="G111" s="1392">
        <v>0.38660527103923331</v>
      </c>
      <c r="H111" s="1392">
        <v>0.50482973149967258</v>
      </c>
      <c r="I111" s="1392">
        <v>0.74433120497707927</v>
      </c>
      <c r="J111" s="1392">
        <v>0.8598231827111984</v>
      </c>
    </row>
    <row r="112" spans="1:10" ht="16.5" customHeight="1">
      <c r="A112" s="1390" t="s">
        <v>145</v>
      </c>
      <c r="B112" s="1391" t="s">
        <v>146</v>
      </c>
      <c r="C112" s="1391" t="s">
        <v>274</v>
      </c>
      <c r="D112" s="1392">
        <v>0.3795736824437731</v>
      </c>
      <c r="E112" s="1392">
        <v>0.46124239169351949</v>
      </c>
      <c r="F112" s="1392">
        <v>0.50808457711442789</v>
      </c>
      <c r="G112" s="1392">
        <v>0.59380111220150478</v>
      </c>
      <c r="H112" s="1392">
        <v>0.7590412828386216</v>
      </c>
      <c r="I112" s="1392">
        <v>1.0617536676902082</v>
      </c>
      <c r="J112" s="1392">
        <v>1.1977482088024565</v>
      </c>
    </row>
    <row r="113" spans="1:10" ht="16.5" customHeight="1">
      <c r="A113" s="1390" t="s">
        <v>159</v>
      </c>
      <c r="B113" s="1391" t="s">
        <v>160</v>
      </c>
      <c r="C113" s="1391" t="s">
        <v>271</v>
      </c>
      <c r="D113" s="1392">
        <v>0.58625972595193832</v>
      </c>
      <c r="E113" s="1392">
        <v>0.62731924326622335</v>
      </c>
      <c r="F113" s="1392">
        <v>0.68828830342540936</v>
      </c>
      <c r="G113" s="1392">
        <v>0.54461297491231353</v>
      </c>
      <c r="H113" s="1392">
        <v>0.69319518164192861</v>
      </c>
      <c r="I113" s="1392">
        <v>0.84594073461950015</v>
      </c>
      <c r="J113" s="1392">
        <v>0.96594094650859741</v>
      </c>
    </row>
    <row r="114" spans="1:10" ht="16.5" customHeight="1">
      <c r="A114" s="1390" t="s">
        <v>161</v>
      </c>
      <c r="B114" s="1391" t="s">
        <v>162</v>
      </c>
      <c r="C114" s="1391" t="s">
        <v>271</v>
      </c>
      <c r="D114" s="1392">
        <v>0.55881218781820696</v>
      </c>
      <c r="E114" s="1392">
        <v>0.62203083062005682</v>
      </c>
      <c r="F114" s="1392">
        <v>0.65347444006095146</v>
      </c>
      <c r="G114" s="1392">
        <v>0.58223755086462159</v>
      </c>
      <c r="H114" s="1392">
        <v>0.5902594626491805</v>
      </c>
      <c r="I114" s="1392">
        <v>0.70016528776328624</v>
      </c>
      <c r="J114" s="1392">
        <v>0.77657429820441493</v>
      </c>
    </row>
    <row r="115" spans="1:10" ht="16.5" customHeight="1">
      <c r="A115" s="1390" t="s">
        <v>167</v>
      </c>
      <c r="B115" s="1391" t="s">
        <v>168</v>
      </c>
      <c r="C115" s="1391" t="s">
        <v>275</v>
      </c>
      <c r="D115" s="1392">
        <v>0.89052462526766596</v>
      </c>
      <c r="E115" s="1392">
        <v>0.8070009460737938</v>
      </c>
      <c r="F115" s="1392">
        <v>0.90500338066260988</v>
      </c>
      <c r="G115" s="1392">
        <v>0.82953855494839102</v>
      </c>
      <c r="H115" s="1392">
        <v>0.88517628205128207</v>
      </c>
      <c r="I115" s="1392">
        <v>0.92940705128205126</v>
      </c>
      <c r="J115" s="1392">
        <v>0.9736538461538462</v>
      </c>
    </row>
    <row r="116" spans="1:10" ht="16.5" customHeight="1">
      <c r="A116" s="1390" t="s">
        <v>177</v>
      </c>
      <c r="B116" s="1391" t="s">
        <v>178</v>
      </c>
      <c r="C116" s="1391" t="s">
        <v>273</v>
      </c>
      <c r="D116" s="1392">
        <v>0.7949986012868161</v>
      </c>
      <c r="E116" s="1392">
        <v>0.75586750672414427</v>
      </c>
      <c r="F116" s="1392">
        <v>0.8542577745383868</v>
      </c>
      <c r="G116" s="1392">
        <v>0.79937195350581181</v>
      </c>
      <c r="H116" s="1392">
        <v>0.83724882629107977</v>
      </c>
      <c r="I116" s="1392">
        <v>0.99456338028169011</v>
      </c>
      <c r="J116" s="1392">
        <v>1.0993126760563381</v>
      </c>
    </row>
    <row r="117" spans="1:10" ht="16.5" customHeight="1">
      <c r="A117" s="1390" t="s">
        <v>181</v>
      </c>
      <c r="B117" s="1391" t="s">
        <v>182</v>
      </c>
      <c r="C117" s="1391" t="s">
        <v>271</v>
      </c>
      <c r="D117" s="1392">
        <v>0.61106485978138536</v>
      </c>
      <c r="E117" s="1392">
        <v>0.66628996178581412</v>
      </c>
      <c r="F117" s="1392">
        <v>0.75725375524341632</v>
      </c>
      <c r="G117" s="1392">
        <v>0.66542077505159369</v>
      </c>
      <c r="H117" s="1392">
        <v>0.63847596952511887</v>
      </c>
      <c r="I117" s="1392">
        <v>0.76133141433235951</v>
      </c>
      <c r="J117" s="1392">
        <v>0.84777453170647876</v>
      </c>
    </row>
    <row r="118" spans="1:10" ht="16.5" customHeight="1">
      <c r="A118" s="1390" t="s">
        <v>193</v>
      </c>
      <c r="B118" s="1391" t="s">
        <v>194</v>
      </c>
      <c r="C118" s="1391" t="s">
        <v>275</v>
      </c>
      <c r="D118" s="1392">
        <v>0.30696784073506889</v>
      </c>
      <c r="E118" s="1392">
        <v>0.25727826675693977</v>
      </c>
      <c r="F118" s="1392">
        <v>0.31304554489672459</v>
      </c>
      <c r="G118" s="1392">
        <v>0.20295520070969172</v>
      </c>
      <c r="H118" s="1392">
        <v>0.27385086823289073</v>
      </c>
      <c r="I118" s="1392">
        <v>0.31847122914538645</v>
      </c>
      <c r="J118" s="1392">
        <v>0.34606741573033706</v>
      </c>
    </row>
    <row r="119" spans="1:10" ht="16.5" customHeight="1">
      <c r="A119" s="1390" t="s">
        <v>197</v>
      </c>
      <c r="B119" s="1391" t="s">
        <v>198</v>
      </c>
      <c r="C119" s="1391" t="s">
        <v>273</v>
      </c>
      <c r="D119" s="1392">
        <v>0.63020319462446717</v>
      </c>
      <c r="E119" s="1392">
        <v>0.72582216292908119</v>
      </c>
      <c r="F119" s="1392">
        <v>0.68280742978628173</v>
      </c>
      <c r="G119" s="1392">
        <v>0.56104123161924646</v>
      </c>
      <c r="H119" s="1392">
        <v>0.5408664480207459</v>
      </c>
      <c r="I119" s="1392">
        <v>0.61187298197442352</v>
      </c>
      <c r="J119" s="1392">
        <v>0.68735870642971553</v>
      </c>
    </row>
    <row r="120" spans="1:10" ht="16.5" customHeight="1">
      <c r="A120" s="1390" t="s">
        <v>201</v>
      </c>
      <c r="B120" s="1391" t="s">
        <v>202</v>
      </c>
      <c r="C120" s="1391" t="s">
        <v>272</v>
      </c>
      <c r="D120" s="1392">
        <v>0.56488408061486983</v>
      </c>
      <c r="E120" s="1392">
        <v>0.63448695339799488</v>
      </c>
      <c r="F120" s="1392">
        <v>0.66952366756103221</v>
      </c>
      <c r="G120" s="1392">
        <v>0.64317729083665343</v>
      </c>
      <c r="H120" s="1392">
        <v>0.69297988233346874</v>
      </c>
      <c r="I120" s="1392">
        <v>0.83221234144359679</v>
      </c>
      <c r="J120" s="1392">
        <v>0.93290299282264255</v>
      </c>
    </row>
    <row r="121" spans="1:10" ht="16.5" customHeight="1">
      <c r="A121" s="1390" t="s">
        <v>223</v>
      </c>
      <c r="B121" s="1391" t="s">
        <v>224</v>
      </c>
      <c r="C121" s="1391" t="s">
        <v>271</v>
      </c>
      <c r="D121" s="1392">
        <v>0.62066855776183327</v>
      </c>
      <c r="E121" s="1392">
        <v>0.64036893683603724</v>
      </c>
      <c r="F121" s="1392">
        <v>0.66446627997575969</v>
      </c>
      <c r="G121" s="1392">
        <v>0.60240908129823445</v>
      </c>
      <c r="H121" s="1392">
        <v>0.65524980483996875</v>
      </c>
      <c r="I121" s="1392">
        <v>0.80273502843760458</v>
      </c>
      <c r="J121" s="1392">
        <v>0.90807962529274</v>
      </c>
    </row>
    <row r="122" spans="1:10" ht="16.5" customHeight="1">
      <c r="A122" s="1390" t="s">
        <v>231</v>
      </c>
      <c r="B122" s="1391" t="s">
        <v>232</v>
      </c>
      <c r="C122" s="1391" t="s">
        <v>271</v>
      </c>
      <c r="D122" s="1392">
        <v>0.33338861593106262</v>
      </c>
      <c r="E122" s="1392">
        <v>0.39706846825490894</v>
      </c>
      <c r="F122" s="1392">
        <v>0.397593649417676</v>
      </c>
      <c r="G122" s="1392">
        <v>0.40719128191355158</v>
      </c>
      <c r="H122" s="1392">
        <v>0.4476939617884772</v>
      </c>
      <c r="I122" s="1392">
        <v>0.59181517091376457</v>
      </c>
      <c r="J122" s="1392">
        <v>0.69770879161620403</v>
      </c>
    </row>
    <row r="123" spans="1:10" ht="16.5" customHeight="1">
      <c r="A123" s="1390" t="s">
        <v>239</v>
      </c>
      <c r="B123" s="1391" t="s">
        <v>240</v>
      </c>
      <c r="C123" s="1391" t="s">
        <v>271</v>
      </c>
      <c r="D123" s="1392">
        <v>0.25940860215053763</v>
      </c>
      <c r="E123" s="1392">
        <v>0.22802366682034733</v>
      </c>
      <c r="F123" s="1392">
        <v>0.25445917198494516</v>
      </c>
      <c r="G123" s="1392">
        <v>0.22870004391743523</v>
      </c>
      <c r="H123" s="1392">
        <v>0.29020141984480768</v>
      </c>
      <c r="I123" s="1392">
        <v>0.36346376093775795</v>
      </c>
      <c r="J123" s="1392">
        <v>0.43704804358593363</v>
      </c>
    </row>
    <row r="124" spans="1:10" ht="16.5" customHeight="1">
      <c r="A124" s="1394" t="s">
        <v>241</v>
      </c>
      <c r="B124" s="1395" t="s">
        <v>242</v>
      </c>
      <c r="C124" s="1395" t="s">
        <v>274</v>
      </c>
      <c r="D124" s="1396">
        <v>0.43303273213092852</v>
      </c>
      <c r="E124" s="1396">
        <v>0.4561613363552422</v>
      </c>
      <c r="F124" s="1396">
        <v>0.39335079295795139</v>
      </c>
      <c r="G124" s="1396">
        <v>0.47347957288765086</v>
      </c>
      <c r="H124" s="1396">
        <v>0.53933652895077222</v>
      </c>
      <c r="I124" s="1396">
        <v>0.76238301757589588</v>
      </c>
      <c r="J124" s="1396">
        <v>0.89915544396256564</v>
      </c>
    </row>
    <row r="126" spans="1:10">
      <c r="A126" s="1366" t="s">
        <v>1142</v>
      </c>
    </row>
    <row r="127" spans="1:10" ht="18">
      <c r="A127" s="1381" t="s">
        <v>1141</v>
      </c>
    </row>
    <row r="128" spans="1:10" ht="18">
      <c r="A128" s="1381"/>
    </row>
    <row r="129" spans="1:10">
      <c r="A129" s="1715" t="s">
        <v>249</v>
      </c>
      <c r="B129" s="1715"/>
      <c r="C129" s="1715"/>
      <c r="D129" s="1715"/>
      <c r="E129" s="1715"/>
      <c r="F129" s="1715"/>
      <c r="G129" s="1715"/>
      <c r="H129" s="1715"/>
      <c r="I129" s="1715"/>
      <c r="J129" s="1715"/>
    </row>
    <row r="130" spans="1:10">
      <c r="A130" s="1367" t="s">
        <v>250</v>
      </c>
      <c r="B130" s="857" t="s">
        <v>251</v>
      </c>
    </row>
  </sheetData>
  <autoFilter ref="A3:C3"/>
  <mergeCells count="1">
    <mergeCell ref="A129:J129"/>
  </mergeCells>
  <hyperlinks>
    <hyperlink ref="B130" r:id="rId1"/>
  </hyperlinks>
  <pageMargins left="0.45" right="0.45" top="0.75" bottom="0.75" header="0.3" footer="0.3"/>
  <pageSetup orientation="portrait" r:id="rId2"/>
  <headerFooter>
    <oddFooter>&amp;C&amp;"Courier New,Regular"&amp;P of &amp;N</oddFooter>
  </headerFooter>
</worksheet>
</file>

<file path=xl/worksheets/sheet44.xml><?xml version="1.0" encoding="utf-8"?>
<worksheet xmlns="http://schemas.openxmlformats.org/spreadsheetml/2006/main" xmlns:r="http://schemas.openxmlformats.org/officeDocument/2006/relationships">
  <dimension ref="A1:J141"/>
  <sheetViews>
    <sheetView workbookViewId="0">
      <pane ySplit="5" topLeftCell="A55" activePane="bottomLeft" state="frozen"/>
      <selection pane="bottomLeft" activeCell="L19" sqref="L19"/>
    </sheetView>
  </sheetViews>
  <sheetFormatPr defaultRowHeight="15.75"/>
  <cols>
    <col min="1" max="1" width="9.125" style="1040" customWidth="1"/>
    <col min="2" max="2" width="30.125" style="1040" customWidth="1"/>
    <col min="3" max="3" width="11.25" style="1040" customWidth="1"/>
    <col min="4" max="9" width="9" style="1138"/>
    <col min="10" max="10" width="12.75" style="1138" customWidth="1"/>
    <col min="11" max="16384" width="9" style="1138"/>
  </cols>
  <sheetData>
    <row r="1" spans="1:10">
      <c r="A1" s="64" t="s">
        <v>1079</v>
      </c>
      <c r="B1" s="1138"/>
      <c r="C1" s="1138"/>
    </row>
    <row r="2" spans="1:10">
      <c r="A2" s="1138"/>
      <c r="B2" s="1138"/>
      <c r="C2" s="1138"/>
    </row>
    <row r="3" spans="1:10">
      <c r="A3" s="1138"/>
      <c r="B3" s="1138"/>
      <c r="C3" s="1138"/>
      <c r="D3" s="64"/>
      <c r="E3" s="1643" t="s">
        <v>1080</v>
      </c>
      <c r="F3" s="1643"/>
      <c r="G3" s="1643"/>
      <c r="H3" s="1643" t="s">
        <v>1081</v>
      </c>
      <c r="I3" s="1643"/>
      <c r="J3" s="1643"/>
    </row>
    <row r="4" spans="1:10">
      <c r="A4" s="1041" t="s">
        <v>4</v>
      </c>
      <c r="B4" s="1060" t="s">
        <v>5</v>
      </c>
      <c r="C4" s="1041" t="s">
        <v>252</v>
      </c>
      <c r="D4" s="1370" t="s">
        <v>289</v>
      </c>
      <c r="E4" s="1370" t="s">
        <v>2</v>
      </c>
      <c r="F4" s="1370" t="s">
        <v>608</v>
      </c>
      <c r="G4" s="1370" t="s">
        <v>609</v>
      </c>
      <c r="H4" s="1370" t="s">
        <v>1064</v>
      </c>
      <c r="I4" s="1371" t="s">
        <v>1082</v>
      </c>
      <c r="J4" s="1370" t="s">
        <v>1083</v>
      </c>
    </row>
    <row r="5" spans="1:10">
      <c r="A5" s="1376">
        <v>999</v>
      </c>
      <c r="B5" s="1377" t="s">
        <v>9</v>
      </c>
      <c r="C5" s="1376"/>
      <c r="D5" s="1378">
        <f>SUM(D6:D125)</f>
        <v>19894</v>
      </c>
      <c r="E5" s="1378">
        <f t="shared" ref="E5:J5" si="0">SUM(E6:E125)</f>
        <v>13442</v>
      </c>
      <c r="F5" s="1378">
        <f t="shared" si="0"/>
        <v>4805</v>
      </c>
      <c r="G5" s="1378">
        <f t="shared" si="0"/>
        <v>1647</v>
      </c>
      <c r="H5" s="1378">
        <f t="shared" si="0"/>
        <v>2055</v>
      </c>
      <c r="I5" s="1378">
        <f t="shared" si="0"/>
        <v>4052</v>
      </c>
      <c r="J5" s="1378">
        <f t="shared" si="0"/>
        <v>13787</v>
      </c>
    </row>
    <row r="6" spans="1:10">
      <c r="A6" s="1030" t="s">
        <v>10</v>
      </c>
      <c r="B6" s="1031" t="s">
        <v>11</v>
      </c>
      <c r="C6" s="1032" t="s">
        <v>271</v>
      </c>
      <c r="D6" s="280">
        <v>95</v>
      </c>
      <c r="E6" s="280">
        <v>62</v>
      </c>
      <c r="F6" s="280">
        <v>32</v>
      </c>
      <c r="G6" s="280">
        <v>1</v>
      </c>
      <c r="H6" s="280">
        <v>8</v>
      </c>
      <c r="I6" s="280">
        <v>17</v>
      </c>
      <c r="J6" s="280">
        <v>70</v>
      </c>
    </row>
    <row r="7" spans="1:10">
      <c r="A7" s="1030" t="s">
        <v>12</v>
      </c>
      <c r="B7" s="1031" t="s">
        <v>13</v>
      </c>
      <c r="C7" s="1032" t="s">
        <v>272</v>
      </c>
      <c r="D7" s="280">
        <v>409</v>
      </c>
      <c r="E7" s="280">
        <v>311</v>
      </c>
      <c r="F7" s="280">
        <v>63</v>
      </c>
      <c r="G7" s="280">
        <v>35</v>
      </c>
      <c r="H7" s="280">
        <v>31</v>
      </c>
      <c r="I7" s="280">
        <v>62</v>
      </c>
      <c r="J7" s="280">
        <v>316</v>
      </c>
    </row>
    <row r="8" spans="1:10">
      <c r="A8" s="1030" t="s">
        <v>16</v>
      </c>
      <c r="B8" s="1031" t="s">
        <v>307</v>
      </c>
      <c r="C8" s="1032" t="s">
        <v>272</v>
      </c>
      <c r="D8" s="280">
        <v>96</v>
      </c>
      <c r="E8" s="280">
        <v>82</v>
      </c>
      <c r="F8" s="280">
        <v>13</v>
      </c>
      <c r="G8" s="280">
        <v>1</v>
      </c>
      <c r="H8" s="280">
        <v>23</v>
      </c>
      <c r="I8" s="280">
        <v>44</v>
      </c>
      <c r="J8" s="280">
        <v>29</v>
      </c>
    </row>
    <row r="9" spans="1:10">
      <c r="A9" s="1030" t="s">
        <v>18</v>
      </c>
      <c r="B9" s="1031" t="s">
        <v>19</v>
      </c>
      <c r="C9" s="1032" t="s">
        <v>273</v>
      </c>
      <c r="D9" s="280">
        <v>18</v>
      </c>
      <c r="E9" s="280">
        <v>9</v>
      </c>
      <c r="F9" s="280">
        <v>9</v>
      </c>
      <c r="G9" s="280">
        <v>0</v>
      </c>
      <c r="H9" s="280">
        <v>4</v>
      </c>
      <c r="I9" s="280">
        <v>2</v>
      </c>
      <c r="J9" s="280">
        <v>12</v>
      </c>
    </row>
    <row r="10" spans="1:10">
      <c r="A10" s="1030" t="s">
        <v>20</v>
      </c>
      <c r="B10" s="1031" t="s">
        <v>21</v>
      </c>
      <c r="C10" s="1032" t="s">
        <v>272</v>
      </c>
      <c r="D10" s="280">
        <v>141</v>
      </c>
      <c r="E10" s="280">
        <v>99</v>
      </c>
      <c r="F10" s="280">
        <v>24</v>
      </c>
      <c r="G10" s="280">
        <v>18</v>
      </c>
      <c r="H10" s="280">
        <v>11</v>
      </c>
      <c r="I10" s="280">
        <v>46</v>
      </c>
      <c r="J10" s="280">
        <v>84</v>
      </c>
    </row>
    <row r="11" spans="1:10">
      <c r="A11" s="1030" t="s">
        <v>22</v>
      </c>
      <c r="B11" s="1031" t="s">
        <v>23</v>
      </c>
      <c r="C11" s="1032" t="s">
        <v>272</v>
      </c>
      <c r="D11" s="280">
        <v>34</v>
      </c>
      <c r="E11" s="280">
        <v>25</v>
      </c>
      <c r="F11" s="280">
        <v>9</v>
      </c>
      <c r="G11" s="280">
        <v>0</v>
      </c>
      <c r="H11" s="280">
        <v>1</v>
      </c>
      <c r="I11" s="280">
        <v>8</v>
      </c>
      <c r="J11" s="280">
        <v>25</v>
      </c>
    </row>
    <row r="12" spans="1:10">
      <c r="A12" s="1030" t="s">
        <v>24</v>
      </c>
      <c r="B12" s="1031" t="s">
        <v>25</v>
      </c>
      <c r="C12" s="1032" t="s">
        <v>274</v>
      </c>
      <c r="D12" s="280">
        <v>286</v>
      </c>
      <c r="E12" s="280">
        <v>190</v>
      </c>
      <c r="F12" s="280">
        <v>56</v>
      </c>
      <c r="G12" s="280">
        <v>40</v>
      </c>
      <c r="H12" s="280">
        <v>28</v>
      </c>
      <c r="I12" s="280">
        <v>39</v>
      </c>
      <c r="J12" s="280">
        <v>219</v>
      </c>
    </row>
    <row r="13" spans="1:10">
      <c r="A13" s="1030" t="s">
        <v>26</v>
      </c>
      <c r="B13" s="1031" t="s">
        <v>308</v>
      </c>
      <c r="C13" s="1032" t="s">
        <v>272</v>
      </c>
      <c r="D13" s="280">
        <v>707</v>
      </c>
      <c r="E13" s="280">
        <v>498</v>
      </c>
      <c r="F13" s="280">
        <v>64</v>
      </c>
      <c r="G13" s="280">
        <v>145</v>
      </c>
      <c r="H13" s="280">
        <v>65</v>
      </c>
      <c r="I13" s="280">
        <v>169</v>
      </c>
      <c r="J13" s="280">
        <v>473</v>
      </c>
    </row>
    <row r="14" spans="1:10">
      <c r="A14" s="1030" t="s">
        <v>27</v>
      </c>
      <c r="B14" s="1031" t="s">
        <v>28</v>
      </c>
      <c r="C14" s="1032" t="s">
        <v>272</v>
      </c>
      <c r="D14" s="280">
        <v>14</v>
      </c>
      <c r="E14" s="280">
        <v>13</v>
      </c>
      <c r="F14" s="280">
        <v>1</v>
      </c>
      <c r="G14" s="280">
        <v>0</v>
      </c>
      <c r="H14" s="280">
        <v>0</v>
      </c>
      <c r="I14" s="280">
        <v>0</v>
      </c>
      <c r="J14" s="280">
        <v>14</v>
      </c>
    </row>
    <row r="15" spans="1:10">
      <c r="A15" s="1030" t="s">
        <v>29</v>
      </c>
      <c r="B15" s="1031" t="s">
        <v>910</v>
      </c>
      <c r="C15" s="1032" t="s">
        <v>272</v>
      </c>
      <c r="D15" s="280">
        <v>378</v>
      </c>
      <c r="E15" s="280">
        <v>343</v>
      </c>
      <c r="F15" s="280">
        <v>35</v>
      </c>
      <c r="G15" s="280">
        <v>0</v>
      </c>
      <c r="H15" s="280">
        <v>37</v>
      </c>
      <c r="I15" s="280">
        <v>86</v>
      </c>
      <c r="J15" s="280">
        <v>255</v>
      </c>
    </row>
    <row r="16" spans="1:10">
      <c r="A16" s="1030" t="s">
        <v>31</v>
      </c>
      <c r="B16" s="1031" t="s">
        <v>32</v>
      </c>
      <c r="C16" s="1032" t="s">
        <v>275</v>
      </c>
      <c r="D16" s="280">
        <v>2</v>
      </c>
      <c r="E16" s="280">
        <v>1</v>
      </c>
      <c r="F16" s="280">
        <v>1</v>
      </c>
      <c r="G16" s="280">
        <v>0</v>
      </c>
      <c r="H16" s="280">
        <v>0</v>
      </c>
      <c r="I16" s="280">
        <v>0</v>
      </c>
      <c r="J16" s="280">
        <v>2</v>
      </c>
    </row>
    <row r="17" spans="1:10">
      <c r="A17" s="1030" t="s">
        <v>33</v>
      </c>
      <c r="B17" s="1031" t="s">
        <v>34</v>
      </c>
      <c r="C17" s="1032" t="s">
        <v>272</v>
      </c>
      <c r="D17" s="280">
        <v>15</v>
      </c>
      <c r="E17" s="280">
        <v>13</v>
      </c>
      <c r="F17" s="280">
        <v>0</v>
      </c>
      <c r="G17" s="280">
        <v>2</v>
      </c>
      <c r="H17" s="280">
        <v>3</v>
      </c>
      <c r="I17" s="280">
        <v>1</v>
      </c>
      <c r="J17" s="280">
        <v>11</v>
      </c>
    </row>
    <row r="18" spans="1:10">
      <c r="A18" s="1030" t="s">
        <v>37</v>
      </c>
      <c r="B18" s="1031" t="s">
        <v>38</v>
      </c>
      <c r="C18" s="1032" t="s">
        <v>271</v>
      </c>
      <c r="D18" s="280">
        <v>32</v>
      </c>
      <c r="E18" s="280">
        <v>11</v>
      </c>
      <c r="F18" s="280">
        <v>21</v>
      </c>
      <c r="G18" s="280">
        <v>0</v>
      </c>
      <c r="H18" s="280">
        <v>4</v>
      </c>
      <c r="I18" s="280">
        <v>4</v>
      </c>
      <c r="J18" s="280">
        <v>24</v>
      </c>
    </row>
    <row r="19" spans="1:10">
      <c r="A19" s="1030" t="s">
        <v>39</v>
      </c>
      <c r="B19" s="1031" t="s">
        <v>40</v>
      </c>
      <c r="C19" s="1032" t="s">
        <v>275</v>
      </c>
      <c r="D19" s="280">
        <v>19</v>
      </c>
      <c r="E19" s="280">
        <v>19</v>
      </c>
      <c r="F19" s="280">
        <v>0</v>
      </c>
      <c r="G19" s="280">
        <v>0</v>
      </c>
      <c r="H19" s="280">
        <v>2</v>
      </c>
      <c r="I19" s="280">
        <v>4</v>
      </c>
      <c r="J19" s="280">
        <v>13</v>
      </c>
    </row>
    <row r="20" spans="1:10">
      <c r="A20" s="1030" t="s">
        <v>41</v>
      </c>
      <c r="B20" s="1031" t="s">
        <v>42</v>
      </c>
      <c r="C20" s="1032" t="s">
        <v>273</v>
      </c>
      <c r="D20" s="280">
        <v>31</v>
      </c>
      <c r="E20" s="280">
        <v>22</v>
      </c>
      <c r="F20" s="280">
        <v>9</v>
      </c>
      <c r="G20" s="280">
        <v>0</v>
      </c>
      <c r="H20" s="280">
        <v>1</v>
      </c>
      <c r="I20" s="280">
        <v>6</v>
      </c>
      <c r="J20" s="280">
        <v>24</v>
      </c>
    </row>
    <row r="21" spans="1:10">
      <c r="A21" s="1030" t="s">
        <v>43</v>
      </c>
      <c r="B21" s="1031" t="s">
        <v>44</v>
      </c>
      <c r="C21" s="1032" t="s">
        <v>272</v>
      </c>
      <c r="D21" s="280">
        <v>105</v>
      </c>
      <c r="E21" s="280">
        <v>82</v>
      </c>
      <c r="F21" s="280">
        <v>19</v>
      </c>
      <c r="G21" s="280">
        <v>4</v>
      </c>
      <c r="H21" s="280">
        <v>6</v>
      </c>
      <c r="I21" s="280">
        <v>9</v>
      </c>
      <c r="J21" s="280">
        <v>90</v>
      </c>
    </row>
    <row r="22" spans="1:10">
      <c r="A22" s="1030" t="s">
        <v>45</v>
      </c>
      <c r="B22" s="1031" t="s">
        <v>46</v>
      </c>
      <c r="C22" s="1032" t="s">
        <v>273</v>
      </c>
      <c r="D22" s="280">
        <v>50</v>
      </c>
      <c r="E22" s="280">
        <v>28</v>
      </c>
      <c r="F22" s="280">
        <v>19</v>
      </c>
      <c r="G22" s="280">
        <v>3</v>
      </c>
      <c r="H22" s="280">
        <v>8</v>
      </c>
      <c r="I22" s="280">
        <v>6</v>
      </c>
      <c r="J22" s="280">
        <v>36</v>
      </c>
    </row>
    <row r="23" spans="1:10">
      <c r="A23" s="1030" t="s">
        <v>47</v>
      </c>
      <c r="B23" s="1031" t="s">
        <v>48</v>
      </c>
      <c r="C23" s="1032" t="s">
        <v>275</v>
      </c>
      <c r="D23" s="280">
        <v>177</v>
      </c>
      <c r="E23" s="280">
        <v>170</v>
      </c>
      <c r="F23" s="280">
        <v>1</v>
      </c>
      <c r="G23" s="280">
        <v>6</v>
      </c>
      <c r="H23" s="280">
        <v>22</v>
      </c>
      <c r="I23" s="280">
        <v>41</v>
      </c>
      <c r="J23" s="280">
        <v>114</v>
      </c>
    </row>
    <row r="24" spans="1:10">
      <c r="A24" s="1030" t="s">
        <v>49</v>
      </c>
      <c r="B24" s="1031" t="s">
        <v>276</v>
      </c>
      <c r="C24" s="1032" t="s">
        <v>273</v>
      </c>
      <c r="D24" s="280">
        <v>20</v>
      </c>
      <c r="E24" s="280">
        <v>4</v>
      </c>
      <c r="F24" s="280">
        <v>16</v>
      </c>
      <c r="G24" s="280">
        <v>0</v>
      </c>
      <c r="H24" s="280">
        <v>3</v>
      </c>
      <c r="I24" s="280">
        <v>2</v>
      </c>
      <c r="J24" s="280">
        <v>15</v>
      </c>
    </row>
    <row r="25" spans="1:10">
      <c r="A25" s="1030" t="s">
        <v>51</v>
      </c>
      <c r="B25" s="1031" t="s">
        <v>52</v>
      </c>
      <c r="C25" s="1032" t="s">
        <v>272</v>
      </c>
      <c r="D25" s="280">
        <v>26</v>
      </c>
      <c r="E25" s="280">
        <v>14</v>
      </c>
      <c r="F25" s="280">
        <v>12</v>
      </c>
      <c r="G25" s="280">
        <v>0</v>
      </c>
      <c r="H25" s="280">
        <v>2</v>
      </c>
      <c r="I25" s="280">
        <v>5</v>
      </c>
      <c r="J25" s="280">
        <v>19</v>
      </c>
    </row>
    <row r="26" spans="1:10">
      <c r="A26" s="1030" t="s">
        <v>57</v>
      </c>
      <c r="B26" s="1031" t="s">
        <v>305</v>
      </c>
      <c r="C26" s="1032" t="s">
        <v>273</v>
      </c>
      <c r="D26" s="280">
        <v>506</v>
      </c>
      <c r="E26" s="280">
        <v>349</v>
      </c>
      <c r="F26" s="280">
        <v>125</v>
      </c>
      <c r="G26" s="280">
        <v>32</v>
      </c>
      <c r="H26" s="280">
        <v>90</v>
      </c>
      <c r="I26" s="280">
        <v>80</v>
      </c>
      <c r="J26" s="280">
        <v>336</v>
      </c>
    </row>
    <row r="27" spans="1:10">
      <c r="A27" s="1030" t="s">
        <v>59</v>
      </c>
      <c r="B27" s="1031" t="s">
        <v>60</v>
      </c>
      <c r="C27" s="1032" t="s">
        <v>274</v>
      </c>
      <c r="D27" s="280">
        <v>59</v>
      </c>
      <c r="E27" s="280">
        <v>35</v>
      </c>
      <c r="F27" s="280">
        <v>11</v>
      </c>
      <c r="G27" s="280">
        <v>13</v>
      </c>
      <c r="H27" s="280">
        <v>9</v>
      </c>
      <c r="I27" s="280">
        <v>9</v>
      </c>
      <c r="J27" s="280">
        <v>41</v>
      </c>
    </row>
    <row r="28" spans="1:10">
      <c r="A28" s="1030" t="s">
        <v>61</v>
      </c>
      <c r="B28" s="1031" t="s">
        <v>62</v>
      </c>
      <c r="C28" s="1032" t="s">
        <v>272</v>
      </c>
      <c r="D28" s="280">
        <v>7</v>
      </c>
      <c r="E28" s="280">
        <v>7</v>
      </c>
      <c r="F28" s="280">
        <v>0</v>
      </c>
      <c r="G28" s="280">
        <v>0</v>
      </c>
      <c r="H28" s="280">
        <v>0</v>
      </c>
      <c r="I28" s="280">
        <v>2</v>
      </c>
      <c r="J28" s="280">
        <v>5</v>
      </c>
    </row>
    <row r="29" spans="1:10">
      <c r="A29" s="1030" t="s">
        <v>63</v>
      </c>
      <c r="B29" s="1031" t="s">
        <v>64</v>
      </c>
      <c r="C29" s="1032" t="s">
        <v>274</v>
      </c>
      <c r="D29" s="280">
        <v>31</v>
      </c>
      <c r="E29" s="280">
        <v>25</v>
      </c>
      <c r="F29" s="280">
        <v>3</v>
      </c>
      <c r="G29" s="280">
        <v>3</v>
      </c>
      <c r="H29" s="280">
        <v>6</v>
      </c>
      <c r="I29" s="280">
        <v>4</v>
      </c>
      <c r="J29" s="280">
        <v>21</v>
      </c>
    </row>
    <row r="30" spans="1:10">
      <c r="A30" s="1030" t="s">
        <v>65</v>
      </c>
      <c r="B30" s="1031" t="s">
        <v>66</v>
      </c>
      <c r="C30" s="1032" t="s">
        <v>273</v>
      </c>
      <c r="D30" s="280">
        <v>41</v>
      </c>
      <c r="E30" s="280">
        <v>29</v>
      </c>
      <c r="F30" s="280">
        <v>12</v>
      </c>
      <c r="G30" s="280">
        <v>0</v>
      </c>
      <c r="H30" s="280">
        <v>5</v>
      </c>
      <c r="I30" s="280">
        <v>14</v>
      </c>
      <c r="J30" s="280">
        <v>22</v>
      </c>
    </row>
    <row r="31" spans="1:10">
      <c r="A31" s="1030" t="s">
        <v>69</v>
      </c>
      <c r="B31" s="1031" t="s">
        <v>70</v>
      </c>
      <c r="C31" s="1032" t="s">
        <v>275</v>
      </c>
      <c r="D31" s="280">
        <v>37</v>
      </c>
      <c r="E31" s="280">
        <v>37</v>
      </c>
      <c r="F31" s="280">
        <v>0</v>
      </c>
      <c r="G31" s="280">
        <v>0</v>
      </c>
      <c r="H31" s="280">
        <v>2</v>
      </c>
      <c r="I31" s="280">
        <v>7</v>
      </c>
      <c r="J31" s="280">
        <v>28</v>
      </c>
    </row>
    <row r="32" spans="1:10">
      <c r="A32" s="1030" t="s">
        <v>71</v>
      </c>
      <c r="B32" s="1031" t="s">
        <v>72</v>
      </c>
      <c r="C32" s="1032" t="s">
        <v>271</v>
      </c>
      <c r="D32" s="280">
        <v>63</v>
      </c>
      <c r="E32" s="280">
        <v>28</v>
      </c>
      <c r="F32" s="280">
        <v>34</v>
      </c>
      <c r="G32" s="280">
        <v>1</v>
      </c>
      <c r="H32" s="280">
        <v>11</v>
      </c>
      <c r="I32" s="280">
        <v>25</v>
      </c>
      <c r="J32" s="280">
        <v>27</v>
      </c>
    </row>
    <row r="33" spans="1:10">
      <c r="A33" s="1030" t="s">
        <v>73</v>
      </c>
      <c r="B33" s="1031" t="s">
        <v>74</v>
      </c>
      <c r="C33" s="1032" t="s">
        <v>273</v>
      </c>
      <c r="D33" s="280">
        <v>6</v>
      </c>
      <c r="E33" s="280">
        <v>5</v>
      </c>
      <c r="F33" s="280">
        <v>1</v>
      </c>
      <c r="G33" s="280">
        <v>0</v>
      </c>
      <c r="H33" s="280">
        <v>0</v>
      </c>
      <c r="I33" s="280">
        <v>1</v>
      </c>
      <c r="J33" s="280">
        <v>5</v>
      </c>
    </row>
    <row r="34" spans="1:10" ht="31.5">
      <c r="A34" s="1030" t="s">
        <v>75</v>
      </c>
      <c r="B34" s="1031" t="s">
        <v>840</v>
      </c>
      <c r="C34" s="1032" t="s">
        <v>274</v>
      </c>
      <c r="D34" s="280">
        <v>1034</v>
      </c>
      <c r="E34" s="280">
        <v>706</v>
      </c>
      <c r="F34" s="280">
        <v>103</v>
      </c>
      <c r="G34" s="280">
        <v>225</v>
      </c>
      <c r="H34" s="280">
        <v>88</v>
      </c>
      <c r="I34" s="280">
        <v>124</v>
      </c>
      <c r="J34" s="280">
        <v>822</v>
      </c>
    </row>
    <row r="35" spans="1:10">
      <c r="A35" s="1030" t="s">
        <v>77</v>
      </c>
      <c r="B35" s="1031" t="s">
        <v>78</v>
      </c>
      <c r="C35" s="1032" t="s">
        <v>274</v>
      </c>
      <c r="D35" s="280">
        <v>161</v>
      </c>
      <c r="E35" s="280">
        <v>98</v>
      </c>
      <c r="F35" s="280">
        <v>31</v>
      </c>
      <c r="G35" s="280">
        <v>32</v>
      </c>
      <c r="H35" s="280">
        <v>6</v>
      </c>
      <c r="I35" s="280">
        <v>22</v>
      </c>
      <c r="J35" s="280">
        <v>133</v>
      </c>
    </row>
    <row r="36" spans="1:10">
      <c r="A36" s="1030" t="s">
        <v>79</v>
      </c>
      <c r="B36" s="1031" t="s">
        <v>80</v>
      </c>
      <c r="C36" s="1032" t="s">
        <v>275</v>
      </c>
      <c r="D36" s="280">
        <v>33</v>
      </c>
      <c r="E36" s="280">
        <v>33</v>
      </c>
      <c r="F36" s="280">
        <v>0</v>
      </c>
      <c r="G36" s="280">
        <v>0</v>
      </c>
      <c r="H36" s="280">
        <v>2</v>
      </c>
      <c r="I36" s="280">
        <v>7</v>
      </c>
      <c r="J36" s="280">
        <v>24</v>
      </c>
    </row>
    <row r="37" spans="1:10">
      <c r="A37" s="1030" t="s">
        <v>81</v>
      </c>
      <c r="B37" s="1031" t="s">
        <v>82</v>
      </c>
      <c r="C37" s="1032" t="s">
        <v>273</v>
      </c>
      <c r="D37" s="280">
        <v>102</v>
      </c>
      <c r="E37" s="280">
        <v>75</v>
      </c>
      <c r="F37" s="280">
        <v>24</v>
      </c>
      <c r="G37" s="280">
        <v>3</v>
      </c>
      <c r="H37" s="280">
        <v>4</v>
      </c>
      <c r="I37" s="280">
        <v>27</v>
      </c>
      <c r="J37" s="280">
        <v>71</v>
      </c>
    </row>
    <row r="38" spans="1:10">
      <c r="A38" s="1030" t="s">
        <v>85</v>
      </c>
      <c r="B38" s="1031" t="s">
        <v>86</v>
      </c>
      <c r="C38" s="1032" t="s">
        <v>272</v>
      </c>
      <c r="D38" s="280">
        <v>170</v>
      </c>
      <c r="E38" s="280">
        <v>92</v>
      </c>
      <c r="F38" s="280">
        <v>22</v>
      </c>
      <c r="G38" s="280">
        <v>56</v>
      </c>
      <c r="H38" s="280">
        <v>17</v>
      </c>
      <c r="I38" s="280">
        <v>21</v>
      </c>
      <c r="J38" s="280">
        <v>132</v>
      </c>
    </row>
    <row r="39" spans="1:10">
      <c r="A39" s="1030" t="s">
        <v>87</v>
      </c>
      <c r="B39" s="1031" t="s">
        <v>88</v>
      </c>
      <c r="C39" s="1032" t="s">
        <v>274</v>
      </c>
      <c r="D39" s="280">
        <v>282</v>
      </c>
      <c r="E39" s="280">
        <v>245</v>
      </c>
      <c r="F39" s="280">
        <v>10</v>
      </c>
      <c r="G39" s="280">
        <v>27</v>
      </c>
      <c r="H39" s="280">
        <v>26</v>
      </c>
      <c r="I39" s="280">
        <v>59</v>
      </c>
      <c r="J39" s="280">
        <v>197</v>
      </c>
    </row>
    <row r="40" spans="1:10">
      <c r="A40" s="1030" t="s">
        <v>93</v>
      </c>
      <c r="B40" s="1031" t="s">
        <v>94</v>
      </c>
      <c r="C40" s="1032" t="s">
        <v>275</v>
      </c>
      <c r="D40" s="280">
        <v>100</v>
      </c>
      <c r="E40" s="280">
        <v>97</v>
      </c>
      <c r="F40" s="280">
        <v>1</v>
      </c>
      <c r="G40" s="280">
        <v>2</v>
      </c>
      <c r="H40" s="280">
        <v>14</v>
      </c>
      <c r="I40" s="280">
        <v>21</v>
      </c>
      <c r="J40" s="280">
        <v>65</v>
      </c>
    </row>
    <row r="41" spans="1:10">
      <c r="A41" s="1030" t="s">
        <v>95</v>
      </c>
      <c r="B41" s="1031" t="s">
        <v>96</v>
      </c>
      <c r="C41" s="1032" t="s">
        <v>271</v>
      </c>
      <c r="D41" s="280">
        <v>79</v>
      </c>
      <c r="E41" s="280">
        <v>63</v>
      </c>
      <c r="F41" s="280">
        <v>7</v>
      </c>
      <c r="G41" s="280">
        <v>9</v>
      </c>
      <c r="H41" s="280">
        <v>8</v>
      </c>
      <c r="I41" s="280">
        <v>15</v>
      </c>
      <c r="J41" s="280">
        <v>56</v>
      </c>
    </row>
    <row r="42" spans="1:10">
      <c r="A42" s="1030" t="s">
        <v>97</v>
      </c>
      <c r="B42" s="1031" t="s">
        <v>98</v>
      </c>
      <c r="C42" s="1032" t="s">
        <v>273</v>
      </c>
      <c r="D42" s="280">
        <v>19</v>
      </c>
      <c r="E42" s="280">
        <v>8</v>
      </c>
      <c r="F42" s="280">
        <v>9</v>
      </c>
      <c r="G42" s="280">
        <v>2</v>
      </c>
      <c r="H42" s="280">
        <v>1</v>
      </c>
      <c r="I42" s="280">
        <v>6</v>
      </c>
      <c r="J42" s="280">
        <v>12</v>
      </c>
    </row>
    <row r="43" spans="1:10">
      <c r="A43" s="1030" t="s">
        <v>99</v>
      </c>
      <c r="B43" s="1031" t="s">
        <v>100</v>
      </c>
      <c r="C43" s="1032" t="s">
        <v>275</v>
      </c>
      <c r="D43" s="280">
        <v>113</v>
      </c>
      <c r="E43" s="280">
        <v>108</v>
      </c>
      <c r="F43" s="280">
        <v>5</v>
      </c>
      <c r="G43" s="280">
        <v>0</v>
      </c>
      <c r="H43" s="280">
        <v>7</v>
      </c>
      <c r="I43" s="280">
        <v>17</v>
      </c>
      <c r="J43" s="280">
        <v>89</v>
      </c>
    </row>
    <row r="44" spans="1:10">
      <c r="A44" s="1030" t="s">
        <v>101</v>
      </c>
      <c r="B44" s="1031" t="s">
        <v>102</v>
      </c>
      <c r="C44" s="1032" t="s">
        <v>274</v>
      </c>
      <c r="D44" s="280">
        <v>19</v>
      </c>
      <c r="E44" s="280">
        <v>16</v>
      </c>
      <c r="F44" s="280">
        <v>3</v>
      </c>
      <c r="G44" s="280">
        <v>0</v>
      </c>
      <c r="H44" s="280">
        <v>0</v>
      </c>
      <c r="I44" s="280">
        <v>6</v>
      </c>
      <c r="J44" s="280">
        <v>13</v>
      </c>
    </row>
    <row r="45" spans="1:10">
      <c r="A45" s="1030" t="s">
        <v>103</v>
      </c>
      <c r="B45" s="1031" t="s">
        <v>290</v>
      </c>
      <c r="C45" s="1032" t="s">
        <v>271</v>
      </c>
      <c r="D45" s="280">
        <v>79</v>
      </c>
      <c r="E45" s="280">
        <v>28</v>
      </c>
      <c r="F45" s="280">
        <v>50</v>
      </c>
      <c r="G45" s="280">
        <v>1</v>
      </c>
      <c r="H45" s="280">
        <v>10</v>
      </c>
      <c r="I45" s="280">
        <v>11</v>
      </c>
      <c r="J45" s="280">
        <v>58</v>
      </c>
    </row>
    <row r="46" spans="1:10">
      <c r="A46" s="1030" t="s">
        <v>105</v>
      </c>
      <c r="B46" s="1031" t="s">
        <v>106</v>
      </c>
      <c r="C46" s="1032" t="s">
        <v>272</v>
      </c>
      <c r="D46" s="280">
        <v>134</v>
      </c>
      <c r="E46" s="280">
        <v>68</v>
      </c>
      <c r="F46" s="280">
        <v>65</v>
      </c>
      <c r="G46" s="280">
        <v>1</v>
      </c>
      <c r="H46" s="280">
        <v>5</v>
      </c>
      <c r="I46" s="280">
        <v>29</v>
      </c>
      <c r="J46" s="280">
        <v>100</v>
      </c>
    </row>
    <row r="47" spans="1:10">
      <c r="A47" s="1030" t="s">
        <v>109</v>
      </c>
      <c r="B47" s="1031" t="s">
        <v>110</v>
      </c>
      <c r="C47" s="1032" t="s">
        <v>273</v>
      </c>
      <c r="D47" s="280">
        <v>248</v>
      </c>
      <c r="E47" s="280">
        <v>181</v>
      </c>
      <c r="F47" s="280">
        <v>42</v>
      </c>
      <c r="G47" s="280">
        <v>25</v>
      </c>
      <c r="H47" s="280">
        <v>16</v>
      </c>
      <c r="I47" s="280">
        <v>35</v>
      </c>
      <c r="J47" s="280">
        <v>197</v>
      </c>
    </row>
    <row r="48" spans="1:10">
      <c r="A48" s="1030" t="s">
        <v>111</v>
      </c>
      <c r="B48" s="1031" t="s">
        <v>112</v>
      </c>
      <c r="C48" s="1032" t="s">
        <v>273</v>
      </c>
      <c r="D48" s="280">
        <v>719</v>
      </c>
      <c r="E48" s="280">
        <v>438</v>
      </c>
      <c r="F48" s="280">
        <v>212</v>
      </c>
      <c r="G48" s="280">
        <v>69</v>
      </c>
      <c r="H48" s="280">
        <v>88</v>
      </c>
      <c r="I48" s="280">
        <v>149</v>
      </c>
      <c r="J48" s="280">
        <v>482</v>
      </c>
    </row>
    <row r="49" spans="1:10">
      <c r="A49" s="1030" t="s">
        <v>113</v>
      </c>
      <c r="B49" s="1031" t="s">
        <v>310</v>
      </c>
      <c r="C49" s="1032" t="s">
        <v>272</v>
      </c>
      <c r="D49" s="280">
        <v>212</v>
      </c>
      <c r="E49" s="280">
        <v>128</v>
      </c>
      <c r="F49" s="280">
        <v>46</v>
      </c>
      <c r="G49" s="280">
        <v>38</v>
      </c>
      <c r="H49" s="280">
        <v>12</v>
      </c>
      <c r="I49" s="280">
        <v>50</v>
      </c>
      <c r="J49" s="280">
        <v>150</v>
      </c>
    </row>
    <row r="50" spans="1:10">
      <c r="A50" s="1030" t="s">
        <v>115</v>
      </c>
      <c r="B50" s="1031" t="s">
        <v>116</v>
      </c>
      <c r="C50" s="1032" t="s">
        <v>272</v>
      </c>
      <c r="D50" s="280">
        <v>9</v>
      </c>
      <c r="E50" s="280">
        <v>9</v>
      </c>
      <c r="F50" s="280">
        <v>0</v>
      </c>
      <c r="G50" s="280">
        <v>0</v>
      </c>
      <c r="H50" s="280">
        <v>0</v>
      </c>
      <c r="I50" s="280">
        <v>0</v>
      </c>
      <c r="J50" s="280">
        <v>9</v>
      </c>
    </row>
    <row r="51" spans="1:10">
      <c r="A51" s="1030" t="s">
        <v>119</v>
      </c>
      <c r="B51" s="1031" t="s">
        <v>277</v>
      </c>
      <c r="C51" s="1032" t="s">
        <v>271</v>
      </c>
      <c r="D51" s="280">
        <v>87</v>
      </c>
      <c r="E51" s="280">
        <v>43</v>
      </c>
      <c r="F51" s="280">
        <v>40</v>
      </c>
      <c r="G51" s="280">
        <v>4</v>
      </c>
      <c r="H51" s="280">
        <v>7</v>
      </c>
      <c r="I51" s="280">
        <v>13</v>
      </c>
      <c r="J51" s="280">
        <v>67</v>
      </c>
    </row>
    <row r="52" spans="1:10">
      <c r="A52" s="1030" t="s">
        <v>121</v>
      </c>
      <c r="B52" s="1031" t="s">
        <v>122</v>
      </c>
      <c r="C52" s="1032" t="s">
        <v>271</v>
      </c>
      <c r="D52" s="280">
        <v>283</v>
      </c>
      <c r="E52" s="280">
        <v>126</v>
      </c>
      <c r="F52" s="280">
        <v>102</v>
      </c>
      <c r="G52" s="280">
        <v>55</v>
      </c>
      <c r="H52" s="280">
        <v>35</v>
      </c>
      <c r="I52" s="280">
        <v>53</v>
      </c>
      <c r="J52" s="280">
        <v>195</v>
      </c>
    </row>
    <row r="53" spans="1:10">
      <c r="A53" s="1030" t="s">
        <v>123</v>
      </c>
      <c r="B53" s="1031" t="s">
        <v>296</v>
      </c>
      <c r="C53" s="1032" t="s">
        <v>273</v>
      </c>
      <c r="D53" s="280">
        <v>23</v>
      </c>
      <c r="E53" s="280">
        <v>16</v>
      </c>
      <c r="F53" s="280">
        <v>7</v>
      </c>
      <c r="G53" s="280">
        <v>0</v>
      </c>
      <c r="H53" s="280">
        <v>2</v>
      </c>
      <c r="I53" s="280">
        <v>2</v>
      </c>
      <c r="J53" s="280">
        <v>19</v>
      </c>
    </row>
    <row r="54" spans="1:10">
      <c r="A54" s="1030" t="s">
        <v>125</v>
      </c>
      <c r="B54" s="1031" t="s">
        <v>126</v>
      </c>
      <c r="C54" s="1032" t="s">
        <v>274</v>
      </c>
      <c r="D54" s="280">
        <v>4</v>
      </c>
      <c r="E54" s="280">
        <v>3</v>
      </c>
      <c r="F54" s="280">
        <v>1</v>
      </c>
      <c r="G54" s="280">
        <v>0</v>
      </c>
      <c r="H54" s="280">
        <v>0</v>
      </c>
      <c r="I54" s="280">
        <v>0</v>
      </c>
      <c r="J54" s="280">
        <v>4</v>
      </c>
    </row>
    <row r="55" spans="1:10">
      <c r="A55" s="1030" t="s">
        <v>127</v>
      </c>
      <c r="B55" s="1031" t="s">
        <v>128</v>
      </c>
      <c r="C55" s="1032" t="s">
        <v>273</v>
      </c>
      <c r="D55" s="280">
        <v>6</v>
      </c>
      <c r="E55" s="280">
        <v>3</v>
      </c>
      <c r="F55" s="280">
        <v>2</v>
      </c>
      <c r="G55" s="280">
        <v>1</v>
      </c>
      <c r="H55" s="280">
        <v>0</v>
      </c>
      <c r="I55" s="280">
        <v>3</v>
      </c>
      <c r="J55" s="280">
        <v>3</v>
      </c>
    </row>
    <row r="56" spans="1:10">
      <c r="A56" s="1030" t="s">
        <v>129</v>
      </c>
      <c r="B56" s="1031" t="s">
        <v>130</v>
      </c>
      <c r="C56" s="1032" t="s">
        <v>273</v>
      </c>
      <c r="D56" s="280">
        <v>17</v>
      </c>
      <c r="E56" s="280">
        <v>12</v>
      </c>
      <c r="F56" s="280">
        <v>4</v>
      </c>
      <c r="G56" s="280">
        <v>1</v>
      </c>
      <c r="H56" s="280">
        <v>0</v>
      </c>
      <c r="I56" s="280">
        <v>5</v>
      </c>
      <c r="J56" s="280">
        <v>12</v>
      </c>
    </row>
    <row r="57" spans="1:10">
      <c r="A57" s="1030" t="s">
        <v>131</v>
      </c>
      <c r="B57" s="1031" t="s">
        <v>132</v>
      </c>
      <c r="C57" s="1032" t="s">
        <v>275</v>
      </c>
      <c r="D57" s="280">
        <v>73</v>
      </c>
      <c r="E57" s="280">
        <v>73</v>
      </c>
      <c r="F57" s="280">
        <v>0</v>
      </c>
      <c r="G57" s="280">
        <v>0</v>
      </c>
      <c r="H57" s="280">
        <v>6</v>
      </c>
      <c r="I57" s="280">
        <v>16</v>
      </c>
      <c r="J57" s="280">
        <v>51</v>
      </c>
    </row>
    <row r="58" spans="1:10">
      <c r="A58" s="1030" t="s">
        <v>133</v>
      </c>
      <c r="B58" s="1031" t="s">
        <v>134</v>
      </c>
      <c r="C58" s="1032" t="s">
        <v>274</v>
      </c>
      <c r="D58" s="280">
        <v>350</v>
      </c>
      <c r="E58" s="280">
        <v>244</v>
      </c>
      <c r="F58" s="280">
        <v>46</v>
      </c>
      <c r="G58" s="280">
        <v>60</v>
      </c>
      <c r="H58" s="280">
        <v>55</v>
      </c>
      <c r="I58" s="280">
        <v>71</v>
      </c>
      <c r="J58" s="280">
        <v>224</v>
      </c>
    </row>
    <row r="59" spans="1:10">
      <c r="A59" s="1030" t="s">
        <v>135</v>
      </c>
      <c r="B59" s="1031" t="s">
        <v>136</v>
      </c>
      <c r="C59" s="1032" t="s">
        <v>274</v>
      </c>
      <c r="D59" s="280">
        <v>84</v>
      </c>
      <c r="E59" s="280">
        <v>58</v>
      </c>
      <c r="F59" s="280">
        <v>26</v>
      </c>
      <c r="G59" s="280">
        <v>0</v>
      </c>
      <c r="H59" s="280">
        <v>7</v>
      </c>
      <c r="I59" s="280">
        <v>24</v>
      </c>
      <c r="J59" s="280">
        <v>53</v>
      </c>
    </row>
    <row r="60" spans="1:10">
      <c r="A60" s="1030" t="s">
        <v>137</v>
      </c>
      <c r="B60" s="1031" t="s">
        <v>138</v>
      </c>
      <c r="C60" s="1032" t="s">
        <v>273</v>
      </c>
      <c r="D60" s="280">
        <v>19</v>
      </c>
      <c r="E60" s="280">
        <v>9</v>
      </c>
      <c r="F60" s="280">
        <v>10</v>
      </c>
      <c r="G60" s="280">
        <v>0</v>
      </c>
      <c r="H60" s="280">
        <v>1</v>
      </c>
      <c r="I60" s="280">
        <v>4</v>
      </c>
      <c r="J60" s="280">
        <v>14</v>
      </c>
    </row>
    <row r="61" spans="1:10">
      <c r="A61" s="1030" t="s">
        <v>141</v>
      </c>
      <c r="B61" s="1031" t="s">
        <v>142</v>
      </c>
      <c r="C61" s="1032" t="s">
        <v>274</v>
      </c>
      <c r="D61" s="280">
        <v>5</v>
      </c>
      <c r="E61" s="280">
        <v>5</v>
      </c>
      <c r="F61" s="280">
        <v>0</v>
      </c>
      <c r="G61" s="280">
        <v>0</v>
      </c>
      <c r="H61" s="280">
        <v>0</v>
      </c>
      <c r="I61" s="280">
        <v>0</v>
      </c>
      <c r="J61" s="280">
        <v>5</v>
      </c>
    </row>
    <row r="62" spans="1:10">
      <c r="A62" s="1030" t="s">
        <v>147</v>
      </c>
      <c r="B62" s="1031" t="s">
        <v>148</v>
      </c>
      <c r="C62" s="1032" t="s">
        <v>271</v>
      </c>
      <c r="D62" s="280">
        <v>21</v>
      </c>
      <c r="E62" s="280">
        <v>17</v>
      </c>
      <c r="F62" s="280">
        <v>3</v>
      </c>
      <c r="G62" s="280">
        <v>1</v>
      </c>
      <c r="H62" s="280">
        <v>0</v>
      </c>
      <c r="I62" s="280">
        <v>2</v>
      </c>
      <c r="J62" s="280">
        <v>19</v>
      </c>
    </row>
    <row r="63" spans="1:10">
      <c r="A63" s="1030" t="s">
        <v>149</v>
      </c>
      <c r="B63" s="1031" t="s">
        <v>150</v>
      </c>
      <c r="C63" s="1032" t="s">
        <v>272</v>
      </c>
      <c r="D63" s="280">
        <v>100</v>
      </c>
      <c r="E63" s="280">
        <v>48</v>
      </c>
      <c r="F63" s="280">
        <v>51</v>
      </c>
      <c r="G63" s="280">
        <v>1</v>
      </c>
      <c r="H63" s="280">
        <v>12</v>
      </c>
      <c r="I63" s="280">
        <v>19</v>
      </c>
      <c r="J63" s="280">
        <v>69</v>
      </c>
    </row>
    <row r="64" spans="1:10">
      <c r="A64" s="1030" t="s">
        <v>151</v>
      </c>
      <c r="B64" s="1031" t="s">
        <v>152</v>
      </c>
      <c r="C64" s="1032" t="s">
        <v>273</v>
      </c>
      <c r="D64" s="280">
        <v>53</v>
      </c>
      <c r="E64" s="280">
        <v>40</v>
      </c>
      <c r="F64" s="280">
        <v>10</v>
      </c>
      <c r="G64" s="280">
        <v>3</v>
      </c>
      <c r="H64" s="280">
        <v>0</v>
      </c>
      <c r="I64" s="280">
        <v>8</v>
      </c>
      <c r="J64" s="280">
        <v>45</v>
      </c>
    </row>
    <row r="65" spans="1:10">
      <c r="A65" s="1030" t="s">
        <v>153</v>
      </c>
      <c r="B65" s="1031" t="s">
        <v>154</v>
      </c>
      <c r="C65" s="1032" t="s">
        <v>275</v>
      </c>
      <c r="D65" s="280">
        <v>343</v>
      </c>
      <c r="E65" s="280">
        <v>308</v>
      </c>
      <c r="F65" s="280">
        <v>16</v>
      </c>
      <c r="G65" s="280">
        <v>19</v>
      </c>
      <c r="H65" s="280">
        <v>31</v>
      </c>
      <c r="I65" s="280">
        <v>94</v>
      </c>
      <c r="J65" s="280">
        <v>218</v>
      </c>
    </row>
    <row r="66" spans="1:10">
      <c r="A66" s="1030" t="s">
        <v>155</v>
      </c>
      <c r="B66" s="1031" t="s">
        <v>156</v>
      </c>
      <c r="C66" s="1032" t="s">
        <v>272</v>
      </c>
      <c r="D66" s="280">
        <v>26</v>
      </c>
      <c r="E66" s="280">
        <v>17</v>
      </c>
      <c r="F66" s="280">
        <v>9</v>
      </c>
      <c r="G66" s="280">
        <v>0</v>
      </c>
      <c r="H66" s="280">
        <v>0</v>
      </c>
      <c r="I66" s="280">
        <v>2</v>
      </c>
      <c r="J66" s="280">
        <v>24</v>
      </c>
    </row>
    <row r="67" spans="1:10">
      <c r="A67" s="1030" t="s">
        <v>157</v>
      </c>
      <c r="B67" s="1031" t="s">
        <v>158</v>
      </c>
      <c r="C67" s="1032" t="s">
        <v>273</v>
      </c>
      <c r="D67" s="280">
        <v>23</v>
      </c>
      <c r="E67" s="280">
        <v>17</v>
      </c>
      <c r="F67" s="280">
        <v>5</v>
      </c>
      <c r="G67" s="280">
        <v>1</v>
      </c>
      <c r="H67" s="280">
        <v>1</v>
      </c>
      <c r="I67" s="280">
        <v>2</v>
      </c>
      <c r="J67" s="280">
        <v>20</v>
      </c>
    </row>
    <row r="68" spans="1:10">
      <c r="A68" s="1030" t="s">
        <v>163</v>
      </c>
      <c r="B68" s="1031" t="s">
        <v>164</v>
      </c>
      <c r="C68" s="1032" t="s">
        <v>271</v>
      </c>
      <c r="D68" s="280">
        <v>8</v>
      </c>
      <c r="E68" s="280">
        <v>4</v>
      </c>
      <c r="F68" s="280">
        <v>4</v>
      </c>
      <c r="G68" s="280">
        <v>0</v>
      </c>
      <c r="H68" s="280">
        <v>1</v>
      </c>
      <c r="I68" s="280">
        <v>3</v>
      </c>
      <c r="J68" s="280">
        <v>4</v>
      </c>
    </row>
    <row r="69" spans="1:10">
      <c r="A69" s="1030" t="s">
        <v>165</v>
      </c>
      <c r="B69" s="1031" t="s">
        <v>166</v>
      </c>
      <c r="C69" s="1032" t="s">
        <v>273</v>
      </c>
      <c r="D69" s="280">
        <v>21</v>
      </c>
      <c r="E69" s="280">
        <v>10</v>
      </c>
      <c r="F69" s="280">
        <v>11</v>
      </c>
      <c r="G69" s="280">
        <v>0</v>
      </c>
      <c r="H69" s="280">
        <v>2</v>
      </c>
      <c r="I69" s="280">
        <v>2</v>
      </c>
      <c r="J69" s="280">
        <v>17</v>
      </c>
    </row>
    <row r="70" spans="1:10">
      <c r="A70" s="1030" t="s">
        <v>169</v>
      </c>
      <c r="B70" s="1031" t="s">
        <v>170</v>
      </c>
      <c r="C70" s="1032" t="s">
        <v>273</v>
      </c>
      <c r="D70" s="280">
        <v>6</v>
      </c>
      <c r="E70" s="280">
        <v>3</v>
      </c>
      <c r="F70" s="280">
        <v>3</v>
      </c>
      <c r="G70" s="280">
        <v>0</v>
      </c>
      <c r="H70" s="280">
        <v>1</v>
      </c>
      <c r="I70" s="280">
        <v>2</v>
      </c>
      <c r="J70" s="280">
        <v>3</v>
      </c>
    </row>
    <row r="71" spans="1:10">
      <c r="A71" s="1030" t="s">
        <v>171</v>
      </c>
      <c r="B71" s="1031" t="s">
        <v>172</v>
      </c>
      <c r="C71" s="1032" t="s">
        <v>274</v>
      </c>
      <c r="D71" s="280">
        <v>105</v>
      </c>
      <c r="E71" s="280">
        <v>89</v>
      </c>
      <c r="F71" s="280">
        <v>14</v>
      </c>
      <c r="G71" s="280">
        <v>2</v>
      </c>
      <c r="H71" s="280">
        <v>10</v>
      </c>
      <c r="I71" s="280">
        <v>20</v>
      </c>
      <c r="J71" s="280">
        <v>75</v>
      </c>
    </row>
    <row r="72" spans="1:10">
      <c r="A72" s="1030" t="s">
        <v>173</v>
      </c>
      <c r="B72" s="1031" t="s">
        <v>174</v>
      </c>
      <c r="C72" s="1032" t="s">
        <v>274</v>
      </c>
      <c r="D72" s="280">
        <v>49</v>
      </c>
      <c r="E72" s="280">
        <v>46</v>
      </c>
      <c r="F72" s="280">
        <v>3</v>
      </c>
      <c r="G72" s="280">
        <v>0</v>
      </c>
      <c r="H72" s="280">
        <v>7</v>
      </c>
      <c r="I72" s="280">
        <v>11</v>
      </c>
      <c r="J72" s="280">
        <v>31</v>
      </c>
    </row>
    <row r="73" spans="1:10">
      <c r="A73" s="1030" t="s">
        <v>175</v>
      </c>
      <c r="B73" s="1031" t="s">
        <v>176</v>
      </c>
      <c r="C73" s="1032" t="s">
        <v>275</v>
      </c>
      <c r="D73" s="280">
        <v>153</v>
      </c>
      <c r="E73" s="280">
        <v>136</v>
      </c>
      <c r="F73" s="280">
        <v>17</v>
      </c>
      <c r="G73" s="280">
        <v>0</v>
      </c>
      <c r="H73" s="280">
        <v>26</v>
      </c>
      <c r="I73" s="280">
        <v>48</v>
      </c>
      <c r="J73" s="280">
        <v>79</v>
      </c>
    </row>
    <row r="74" spans="1:10">
      <c r="A74" s="1030" t="s">
        <v>179</v>
      </c>
      <c r="B74" s="1031" t="s">
        <v>180</v>
      </c>
      <c r="C74" s="1032" t="s">
        <v>272</v>
      </c>
      <c r="D74" s="280">
        <v>143</v>
      </c>
      <c r="E74" s="280">
        <v>70</v>
      </c>
      <c r="F74" s="280">
        <v>62</v>
      </c>
      <c r="G74" s="280">
        <v>11</v>
      </c>
      <c r="H74" s="280">
        <v>7</v>
      </c>
      <c r="I74" s="280">
        <v>21</v>
      </c>
      <c r="J74" s="280">
        <v>115</v>
      </c>
    </row>
    <row r="75" spans="1:10">
      <c r="A75" s="1030" t="s">
        <v>183</v>
      </c>
      <c r="B75" s="1031" t="s">
        <v>184</v>
      </c>
      <c r="C75" s="1032" t="s">
        <v>273</v>
      </c>
      <c r="D75" s="280">
        <v>6</v>
      </c>
      <c r="E75" s="280">
        <v>3</v>
      </c>
      <c r="F75" s="280">
        <v>1</v>
      </c>
      <c r="G75" s="280">
        <v>2</v>
      </c>
      <c r="H75" s="280">
        <v>1</v>
      </c>
      <c r="I75" s="280">
        <v>1</v>
      </c>
      <c r="J75" s="280">
        <v>4</v>
      </c>
    </row>
    <row r="76" spans="1:10">
      <c r="A76" s="1030" t="s">
        <v>185</v>
      </c>
      <c r="B76" s="1031" t="s">
        <v>186</v>
      </c>
      <c r="C76" s="1032" t="s">
        <v>273</v>
      </c>
      <c r="D76" s="280">
        <v>64</v>
      </c>
      <c r="E76" s="280">
        <v>37</v>
      </c>
      <c r="F76" s="280">
        <v>23</v>
      </c>
      <c r="G76" s="280">
        <v>4</v>
      </c>
      <c r="H76" s="280">
        <v>8</v>
      </c>
      <c r="I76" s="280">
        <v>17</v>
      </c>
      <c r="J76" s="280">
        <v>39</v>
      </c>
    </row>
    <row r="77" spans="1:10">
      <c r="A77" s="1030" t="s">
        <v>187</v>
      </c>
      <c r="B77" s="1031" t="s">
        <v>188</v>
      </c>
      <c r="C77" s="1032" t="s">
        <v>271</v>
      </c>
      <c r="D77" s="280">
        <v>42</v>
      </c>
      <c r="E77" s="280">
        <v>29</v>
      </c>
      <c r="F77" s="280">
        <v>11</v>
      </c>
      <c r="G77" s="280">
        <v>2</v>
      </c>
      <c r="H77" s="280">
        <v>3</v>
      </c>
      <c r="I77" s="280">
        <v>8</v>
      </c>
      <c r="J77" s="280">
        <v>31</v>
      </c>
    </row>
    <row r="78" spans="1:10">
      <c r="A78" s="1030" t="s">
        <v>189</v>
      </c>
      <c r="B78" s="1031" t="s">
        <v>190</v>
      </c>
      <c r="C78" s="1032" t="s">
        <v>274</v>
      </c>
      <c r="D78" s="280">
        <v>637</v>
      </c>
      <c r="E78" s="280">
        <v>404</v>
      </c>
      <c r="F78" s="280">
        <v>144</v>
      </c>
      <c r="G78" s="280">
        <v>89</v>
      </c>
      <c r="H78" s="280">
        <v>142</v>
      </c>
      <c r="I78" s="280">
        <v>121</v>
      </c>
      <c r="J78" s="280">
        <v>374</v>
      </c>
    </row>
    <row r="79" spans="1:10">
      <c r="A79" s="1030" t="s">
        <v>191</v>
      </c>
      <c r="B79" s="1031" t="s">
        <v>192</v>
      </c>
      <c r="C79" s="1032" t="s">
        <v>275</v>
      </c>
      <c r="D79" s="280">
        <v>263</v>
      </c>
      <c r="E79" s="280">
        <v>234</v>
      </c>
      <c r="F79" s="280">
        <v>16</v>
      </c>
      <c r="G79" s="280">
        <v>13</v>
      </c>
      <c r="H79" s="280">
        <v>16</v>
      </c>
      <c r="I79" s="280">
        <v>45</v>
      </c>
      <c r="J79" s="280">
        <v>202</v>
      </c>
    </row>
    <row r="80" spans="1:10">
      <c r="A80" s="1030" t="s">
        <v>195</v>
      </c>
      <c r="B80" s="1031" t="s">
        <v>196</v>
      </c>
      <c r="C80" s="1032" t="s">
        <v>274</v>
      </c>
      <c r="D80" s="280">
        <v>22</v>
      </c>
      <c r="E80" s="280">
        <v>20</v>
      </c>
      <c r="F80" s="280">
        <v>2</v>
      </c>
      <c r="G80" s="280">
        <v>0</v>
      </c>
      <c r="H80" s="280">
        <v>0</v>
      </c>
      <c r="I80" s="280">
        <v>1</v>
      </c>
      <c r="J80" s="280">
        <v>21</v>
      </c>
    </row>
    <row r="81" spans="1:10">
      <c r="A81" s="1030" t="s">
        <v>199</v>
      </c>
      <c r="B81" s="1031" t="s">
        <v>279</v>
      </c>
      <c r="C81" s="1032" t="s">
        <v>273</v>
      </c>
      <c r="D81" s="280">
        <v>12</v>
      </c>
      <c r="E81" s="280">
        <v>7</v>
      </c>
      <c r="F81" s="280">
        <v>5</v>
      </c>
      <c r="G81" s="280">
        <v>0</v>
      </c>
      <c r="H81" s="280">
        <v>1</v>
      </c>
      <c r="I81" s="280">
        <v>1</v>
      </c>
      <c r="J81" s="280">
        <v>10</v>
      </c>
    </row>
    <row r="82" spans="1:10">
      <c r="A82" s="1030" t="s">
        <v>203</v>
      </c>
      <c r="B82" s="1031" t="s">
        <v>311</v>
      </c>
      <c r="C82" s="1032" t="s">
        <v>272</v>
      </c>
      <c r="D82" s="280">
        <v>620</v>
      </c>
      <c r="E82" s="280">
        <v>541</v>
      </c>
      <c r="F82" s="280">
        <v>68</v>
      </c>
      <c r="G82" s="280">
        <v>11</v>
      </c>
      <c r="H82" s="280">
        <v>62</v>
      </c>
      <c r="I82" s="280">
        <v>126</v>
      </c>
      <c r="J82" s="280">
        <v>432</v>
      </c>
    </row>
    <row r="83" spans="1:10">
      <c r="A83" s="1030" t="s">
        <v>205</v>
      </c>
      <c r="B83" s="1031" t="s">
        <v>303</v>
      </c>
      <c r="C83" s="1032" t="s">
        <v>272</v>
      </c>
      <c r="D83" s="280">
        <v>92</v>
      </c>
      <c r="E83" s="280">
        <v>88</v>
      </c>
      <c r="F83" s="280">
        <v>4</v>
      </c>
      <c r="G83" s="280">
        <v>0</v>
      </c>
      <c r="H83" s="280">
        <v>5</v>
      </c>
      <c r="I83" s="280">
        <v>15</v>
      </c>
      <c r="J83" s="280">
        <v>72</v>
      </c>
    </row>
    <row r="84" spans="1:10">
      <c r="A84" s="1030" t="s">
        <v>207</v>
      </c>
      <c r="B84" s="1031" t="s">
        <v>304</v>
      </c>
      <c r="C84" s="1032" t="s">
        <v>274</v>
      </c>
      <c r="D84" s="280">
        <v>236</v>
      </c>
      <c r="E84" s="280">
        <v>215</v>
      </c>
      <c r="F84" s="280">
        <v>11</v>
      </c>
      <c r="G84" s="280">
        <v>10</v>
      </c>
      <c r="H84" s="280">
        <v>27</v>
      </c>
      <c r="I84" s="280">
        <v>42</v>
      </c>
      <c r="J84" s="280">
        <v>167</v>
      </c>
    </row>
    <row r="85" spans="1:10">
      <c r="A85" s="1030" t="s">
        <v>209</v>
      </c>
      <c r="B85" s="1031" t="s">
        <v>210</v>
      </c>
      <c r="C85" s="1032" t="s">
        <v>275</v>
      </c>
      <c r="D85" s="280">
        <v>109</v>
      </c>
      <c r="E85" s="280">
        <v>107</v>
      </c>
      <c r="F85" s="280">
        <v>1</v>
      </c>
      <c r="G85" s="280">
        <v>1</v>
      </c>
      <c r="H85" s="280">
        <v>8</v>
      </c>
      <c r="I85" s="280">
        <v>25</v>
      </c>
      <c r="J85" s="280">
        <v>76</v>
      </c>
    </row>
    <row r="86" spans="1:10">
      <c r="A86" s="1030" t="s">
        <v>211</v>
      </c>
      <c r="B86" s="1031" t="s">
        <v>212</v>
      </c>
      <c r="C86" s="1032" t="s">
        <v>275</v>
      </c>
      <c r="D86" s="280">
        <v>184</v>
      </c>
      <c r="E86" s="280">
        <v>179</v>
      </c>
      <c r="F86" s="280">
        <v>4</v>
      </c>
      <c r="G86" s="280">
        <v>1</v>
      </c>
      <c r="H86" s="280">
        <v>16</v>
      </c>
      <c r="I86" s="280">
        <v>55</v>
      </c>
      <c r="J86" s="280">
        <v>113</v>
      </c>
    </row>
    <row r="87" spans="1:10">
      <c r="A87" s="1030" t="s">
        <v>213</v>
      </c>
      <c r="B87" s="1031" t="s">
        <v>214</v>
      </c>
      <c r="C87" s="1032" t="s">
        <v>274</v>
      </c>
      <c r="D87" s="280">
        <v>131</v>
      </c>
      <c r="E87" s="280">
        <v>122</v>
      </c>
      <c r="F87" s="280">
        <v>4</v>
      </c>
      <c r="G87" s="280">
        <v>5</v>
      </c>
      <c r="H87" s="280">
        <v>8</v>
      </c>
      <c r="I87" s="280">
        <v>20</v>
      </c>
      <c r="J87" s="280">
        <v>103</v>
      </c>
    </row>
    <row r="88" spans="1:10">
      <c r="A88" s="1030" t="s">
        <v>215</v>
      </c>
      <c r="B88" s="1031" t="s">
        <v>216</v>
      </c>
      <c r="C88" s="1032" t="s">
        <v>275</v>
      </c>
      <c r="D88" s="280">
        <v>280</v>
      </c>
      <c r="E88" s="280">
        <v>278</v>
      </c>
      <c r="F88" s="280">
        <v>2</v>
      </c>
      <c r="G88" s="280">
        <v>0</v>
      </c>
      <c r="H88" s="280">
        <v>20</v>
      </c>
      <c r="I88" s="280">
        <v>75</v>
      </c>
      <c r="J88" s="280">
        <v>185</v>
      </c>
    </row>
    <row r="89" spans="1:10">
      <c r="A89" s="1030" t="s">
        <v>217</v>
      </c>
      <c r="B89" s="1031" t="s">
        <v>218</v>
      </c>
      <c r="C89" s="1032" t="s">
        <v>271</v>
      </c>
      <c r="D89" s="280">
        <v>56</v>
      </c>
      <c r="E89" s="280">
        <v>18</v>
      </c>
      <c r="F89" s="280">
        <v>38</v>
      </c>
      <c r="G89" s="280">
        <v>0</v>
      </c>
      <c r="H89" s="280">
        <v>3</v>
      </c>
      <c r="I89" s="280">
        <v>12</v>
      </c>
      <c r="J89" s="280">
        <v>41</v>
      </c>
    </row>
    <row r="90" spans="1:10">
      <c r="A90" s="1030" t="s">
        <v>219</v>
      </c>
      <c r="B90" s="1031" t="s">
        <v>220</v>
      </c>
      <c r="C90" s="1032" t="s">
        <v>274</v>
      </c>
      <c r="D90" s="280">
        <v>140</v>
      </c>
      <c r="E90" s="280">
        <v>109</v>
      </c>
      <c r="F90" s="280">
        <v>26</v>
      </c>
      <c r="G90" s="280">
        <v>5</v>
      </c>
      <c r="H90" s="280">
        <v>6</v>
      </c>
      <c r="I90" s="280">
        <v>22</v>
      </c>
      <c r="J90" s="280">
        <v>112</v>
      </c>
    </row>
    <row r="91" spans="1:10">
      <c r="A91" s="1030" t="s">
        <v>221</v>
      </c>
      <c r="B91" s="1031" t="s">
        <v>222</v>
      </c>
      <c r="C91" s="1032" t="s">
        <v>274</v>
      </c>
      <c r="D91" s="280">
        <v>53</v>
      </c>
      <c r="E91" s="280">
        <v>40</v>
      </c>
      <c r="F91" s="280">
        <v>9</v>
      </c>
      <c r="G91" s="280">
        <v>4</v>
      </c>
      <c r="H91" s="280">
        <v>6</v>
      </c>
      <c r="I91" s="280">
        <v>8</v>
      </c>
      <c r="J91" s="280">
        <v>39</v>
      </c>
    </row>
    <row r="92" spans="1:10">
      <c r="A92" s="1030" t="s">
        <v>225</v>
      </c>
      <c r="B92" s="1031" t="s">
        <v>226</v>
      </c>
      <c r="C92" s="1032" t="s">
        <v>271</v>
      </c>
      <c r="D92" s="280">
        <v>13</v>
      </c>
      <c r="E92" s="280">
        <v>6</v>
      </c>
      <c r="F92" s="280">
        <v>7</v>
      </c>
      <c r="G92" s="280">
        <v>0</v>
      </c>
      <c r="H92" s="280">
        <v>0</v>
      </c>
      <c r="I92" s="280">
        <v>6</v>
      </c>
      <c r="J92" s="280">
        <v>7</v>
      </c>
    </row>
    <row r="93" spans="1:10">
      <c r="A93" s="1030" t="s">
        <v>227</v>
      </c>
      <c r="B93" s="1031" t="s">
        <v>228</v>
      </c>
      <c r="C93" s="1032" t="s">
        <v>271</v>
      </c>
      <c r="D93" s="280">
        <v>72</v>
      </c>
      <c r="E93" s="280">
        <v>23</v>
      </c>
      <c r="F93" s="280">
        <v>47</v>
      </c>
      <c r="G93" s="280">
        <v>2</v>
      </c>
      <c r="H93" s="280">
        <v>20</v>
      </c>
      <c r="I93" s="280">
        <v>19</v>
      </c>
      <c r="J93" s="280">
        <v>33</v>
      </c>
    </row>
    <row r="94" spans="1:10">
      <c r="A94" s="1030" t="s">
        <v>229</v>
      </c>
      <c r="B94" s="1031" t="s">
        <v>230</v>
      </c>
      <c r="C94" s="1032" t="s">
        <v>275</v>
      </c>
      <c r="D94" s="280">
        <v>269</v>
      </c>
      <c r="E94" s="280">
        <v>255</v>
      </c>
      <c r="F94" s="280">
        <v>6</v>
      </c>
      <c r="G94" s="280">
        <v>8</v>
      </c>
      <c r="H94" s="280">
        <v>27</v>
      </c>
      <c r="I94" s="280">
        <v>67</v>
      </c>
      <c r="J94" s="280">
        <v>175</v>
      </c>
    </row>
    <row r="95" spans="1:10">
      <c r="A95" s="1030" t="s">
        <v>233</v>
      </c>
      <c r="B95" s="1031" t="s">
        <v>234</v>
      </c>
      <c r="C95" s="1032" t="s">
        <v>274</v>
      </c>
      <c r="D95" s="280">
        <v>109</v>
      </c>
      <c r="E95" s="280">
        <v>83</v>
      </c>
      <c r="F95" s="280">
        <v>8</v>
      </c>
      <c r="G95" s="280">
        <v>18</v>
      </c>
      <c r="H95" s="280">
        <v>17</v>
      </c>
      <c r="I95" s="280">
        <v>23</v>
      </c>
      <c r="J95" s="280">
        <v>69</v>
      </c>
    </row>
    <row r="96" spans="1:10">
      <c r="A96" s="1030" t="s">
        <v>235</v>
      </c>
      <c r="B96" s="1031" t="s">
        <v>236</v>
      </c>
      <c r="C96" s="1032" t="s">
        <v>275</v>
      </c>
      <c r="D96" s="280">
        <v>63</v>
      </c>
      <c r="E96" s="280">
        <v>60</v>
      </c>
      <c r="F96" s="280">
        <v>2</v>
      </c>
      <c r="G96" s="280">
        <v>1</v>
      </c>
      <c r="H96" s="280">
        <v>1</v>
      </c>
      <c r="I96" s="280">
        <v>12</v>
      </c>
      <c r="J96" s="280">
        <v>50</v>
      </c>
    </row>
    <row r="97" spans="1:10">
      <c r="A97" s="1030" t="s">
        <v>237</v>
      </c>
      <c r="B97" s="1031" t="s">
        <v>238</v>
      </c>
      <c r="C97" s="1032" t="s">
        <v>273</v>
      </c>
      <c r="D97" s="280">
        <v>90</v>
      </c>
      <c r="E97" s="280">
        <v>29</v>
      </c>
      <c r="F97" s="280">
        <v>11</v>
      </c>
      <c r="G97" s="280">
        <v>50</v>
      </c>
      <c r="H97" s="280">
        <v>4</v>
      </c>
      <c r="I97" s="280">
        <v>18</v>
      </c>
      <c r="J97" s="280">
        <v>68</v>
      </c>
    </row>
    <row r="98" spans="1:10">
      <c r="A98" s="1030" t="s">
        <v>243</v>
      </c>
      <c r="B98" s="1031" t="s">
        <v>244</v>
      </c>
      <c r="C98" s="1032" t="s">
        <v>275</v>
      </c>
      <c r="D98" s="280">
        <v>251</v>
      </c>
      <c r="E98" s="280">
        <v>243</v>
      </c>
      <c r="F98" s="280">
        <v>6</v>
      </c>
      <c r="G98" s="280">
        <v>2</v>
      </c>
      <c r="H98" s="280">
        <v>24</v>
      </c>
      <c r="I98" s="280">
        <v>56</v>
      </c>
      <c r="J98" s="280">
        <v>171</v>
      </c>
    </row>
    <row r="99" spans="1:10">
      <c r="A99" s="1030" t="s">
        <v>245</v>
      </c>
      <c r="B99" s="1031" t="s">
        <v>246</v>
      </c>
      <c r="C99" s="1032" t="s">
        <v>275</v>
      </c>
      <c r="D99" s="280">
        <v>72</v>
      </c>
      <c r="E99" s="280">
        <v>67</v>
      </c>
      <c r="F99" s="280">
        <v>1</v>
      </c>
      <c r="G99" s="280">
        <v>4</v>
      </c>
      <c r="H99" s="280">
        <v>6</v>
      </c>
      <c r="I99" s="280">
        <v>17</v>
      </c>
      <c r="J99" s="280">
        <v>49</v>
      </c>
    </row>
    <row r="100" spans="1:10">
      <c r="A100" s="1030" t="s">
        <v>247</v>
      </c>
      <c r="B100" s="1031" t="s">
        <v>248</v>
      </c>
      <c r="C100" s="1032" t="s">
        <v>271</v>
      </c>
      <c r="D100" s="280">
        <v>175</v>
      </c>
      <c r="E100" s="280">
        <v>121</v>
      </c>
      <c r="F100" s="280">
        <v>46</v>
      </c>
      <c r="G100" s="280">
        <v>8</v>
      </c>
      <c r="H100" s="280">
        <v>10</v>
      </c>
      <c r="I100" s="280">
        <v>19</v>
      </c>
      <c r="J100" s="280">
        <v>146</v>
      </c>
    </row>
    <row r="101" spans="1:10">
      <c r="A101" s="1030" t="s">
        <v>14</v>
      </c>
      <c r="B101" s="1031" t="s">
        <v>15</v>
      </c>
      <c r="C101" s="1032" t="s">
        <v>274</v>
      </c>
      <c r="D101" s="280">
        <v>241</v>
      </c>
      <c r="E101" s="280">
        <v>152</v>
      </c>
      <c r="F101" s="280">
        <v>66</v>
      </c>
      <c r="G101" s="280">
        <v>23</v>
      </c>
      <c r="H101" s="280">
        <v>17</v>
      </c>
      <c r="I101" s="280">
        <v>40</v>
      </c>
      <c r="J101" s="280">
        <v>184</v>
      </c>
    </row>
    <row r="102" spans="1:10">
      <c r="A102" s="1030" t="s">
        <v>35</v>
      </c>
      <c r="B102" s="1031" t="s">
        <v>36</v>
      </c>
      <c r="C102" s="1032" t="s">
        <v>275</v>
      </c>
      <c r="D102" s="280">
        <v>109</v>
      </c>
      <c r="E102" s="280">
        <v>101</v>
      </c>
      <c r="F102" s="280">
        <v>8</v>
      </c>
      <c r="G102" s="280">
        <v>0</v>
      </c>
      <c r="H102" s="280">
        <v>12</v>
      </c>
      <c r="I102" s="280">
        <v>48</v>
      </c>
      <c r="J102" s="280">
        <v>49</v>
      </c>
    </row>
    <row r="103" spans="1:10">
      <c r="A103" s="1030" t="s">
        <v>53</v>
      </c>
      <c r="B103" s="1031" t="s">
        <v>54</v>
      </c>
      <c r="C103" s="1032" t="s">
        <v>272</v>
      </c>
      <c r="D103" s="280">
        <v>339</v>
      </c>
      <c r="E103" s="280">
        <v>208</v>
      </c>
      <c r="F103" s="280">
        <v>113</v>
      </c>
      <c r="G103" s="280">
        <v>18</v>
      </c>
      <c r="H103" s="280">
        <v>49</v>
      </c>
      <c r="I103" s="280">
        <v>102</v>
      </c>
      <c r="J103" s="280">
        <v>188</v>
      </c>
    </row>
    <row r="104" spans="1:10">
      <c r="A104" s="1030" t="s">
        <v>55</v>
      </c>
      <c r="B104" s="1031" t="s">
        <v>56</v>
      </c>
      <c r="C104" s="1032" t="s">
        <v>271</v>
      </c>
      <c r="D104" s="280">
        <v>483</v>
      </c>
      <c r="E104" s="280">
        <v>255</v>
      </c>
      <c r="F104" s="280">
        <v>162</v>
      </c>
      <c r="G104" s="280">
        <v>66</v>
      </c>
      <c r="H104" s="280">
        <v>75</v>
      </c>
      <c r="I104" s="280">
        <v>100</v>
      </c>
      <c r="J104" s="280">
        <v>308</v>
      </c>
    </row>
    <row r="105" spans="1:10">
      <c r="A105" s="1030" t="s">
        <v>67</v>
      </c>
      <c r="B105" s="1031" t="s">
        <v>68</v>
      </c>
      <c r="C105" s="1032" t="s">
        <v>272</v>
      </c>
      <c r="D105" s="280">
        <v>180</v>
      </c>
      <c r="E105" s="280">
        <v>103</v>
      </c>
      <c r="F105" s="280">
        <v>75</v>
      </c>
      <c r="G105" s="280">
        <v>2</v>
      </c>
      <c r="H105" s="280">
        <v>13</v>
      </c>
      <c r="I105" s="280">
        <v>30</v>
      </c>
      <c r="J105" s="280">
        <v>137</v>
      </c>
    </row>
    <row r="106" spans="1:10">
      <c r="A106" s="1030" t="s">
        <v>83</v>
      </c>
      <c r="B106" s="1031" t="s">
        <v>84</v>
      </c>
      <c r="C106" s="1032" t="s">
        <v>271</v>
      </c>
      <c r="D106" s="280">
        <v>15</v>
      </c>
      <c r="E106" s="280">
        <v>6</v>
      </c>
      <c r="F106" s="280">
        <v>9</v>
      </c>
      <c r="G106" s="280">
        <v>0</v>
      </c>
      <c r="H106" s="280">
        <v>1</v>
      </c>
      <c r="I106" s="280">
        <v>1</v>
      </c>
      <c r="J106" s="280">
        <v>13</v>
      </c>
    </row>
    <row r="107" spans="1:10">
      <c r="A107" s="1030" t="s">
        <v>89</v>
      </c>
      <c r="B107" s="1031" t="s">
        <v>90</v>
      </c>
      <c r="C107" s="1032" t="s">
        <v>274</v>
      </c>
      <c r="D107" s="280">
        <v>59</v>
      </c>
      <c r="E107" s="280">
        <v>36</v>
      </c>
      <c r="F107" s="280">
        <v>16</v>
      </c>
      <c r="G107" s="280">
        <v>7</v>
      </c>
      <c r="H107" s="280">
        <v>1</v>
      </c>
      <c r="I107" s="280">
        <v>17</v>
      </c>
      <c r="J107" s="280">
        <v>41</v>
      </c>
    </row>
    <row r="108" spans="1:10">
      <c r="A108" s="1030" t="s">
        <v>91</v>
      </c>
      <c r="B108" s="1031" t="s">
        <v>92</v>
      </c>
      <c r="C108" s="1032" t="s">
        <v>275</v>
      </c>
      <c r="D108" s="280">
        <v>48</v>
      </c>
      <c r="E108" s="280">
        <v>44</v>
      </c>
      <c r="F108" s="280">
        <v>4</v>
      </c>
      <c r="G108" s="280">
        <v>0</v>
      </c>
      <c r="H108" s="280">
        <v>8</v>
      </c>
      <c r="I108" s="280">
        <v>13</v>
      </c>
      <c r="J108" s="280">
        <v>27</v>
      </c>
    </row>
    <row r="109" spans="1:10">
      <c r="A109" s="1030" t="s">
        <v>107</v>
      </c>
      <c r="B109" s="1031" t="s">
        <v>108</v>
      </c>
      <c r="C109" s="1032" t="s">
        <v>271</v>
      </c>
      <c r="D109" s="280">
        <v>208</v>
      </c>
      <c r="E109" s="280">
        <v>98</v>
      </c>
      <c r="F109" s="280">
        <v>105</v>
      </c>
      <c r="G109" s="280">
        <v>5</v>
      </c>
      <c r="H109" s="280">
        <v>28</v>
      </c>
      <c r="I109" s="280">
        <v>35</v>
      </c>
      <c r="J109" s="280">
        <v>145</v>
      </c>
    </row>
    <row r="110" spans="1:10">
      <c r="A110" s="1030" t="s">
        <v>117</v>
      </c>
      <c r="B110" s="1031" t="s">
        <v>118</v>
      </c>
      <c r="C110" s="1032" t="s">
        <v>273</v>
      </c>
      <c r="D110" s="280">
        <v>57</v>
      </c>
      <c r="E110" s="280">
        <v>40</v>
      </c>
      <c r="F110" s="280">
        <v>16</v>
      </c>
      <c r="G110" s="280">
        <v>1</v>
      </c>
      <c r="H110" s="280">
        <v>3</v>
      </c>
      <c r="I110" s="280">
        <v>14</v>
      </c>
      <c r="J110" s="280">
        <v>40</v>
      </c>
    </row>
    <row r="111" spans="1:10">
      <c r="A111" s="1030" t="s">
        <v>139</v>
      </c>
      <c r="B111" s="1031" t="s">
        <v>140</v>
      </c>
      <c r="C111" s="1032" t="s">
        <v>272</v>
      </c>
      <c r="D111" s="280">
        <v>667</v>
      </c>
      <c r="E111" s="280">
        <v>397</v>
      </c>
      <c r="F111" s="280">
        <v>197</v>
      </c>
      <c r="G111" s="280">
        <v>73</v>
      </c>
      <c r="H111" s="280">
        <v>73</v>
      </c>
      <c r="I111" s="280">
        <v>126</v>
      </c>
      <c r="J111" s="280">
        <v>468</v>
      </c>
    </row>
    <row r="112" spans="1:10">
      <c r="A112" s="1030" t="s">
        <v>143</v>
      </c>
      <c r="B112" s="1031" t="s">
        <v>144</v>
      </c>
      <c r="C112" s="1032" t="s">
        <v>274</v>
      </c>
      <c r="D112" s="280">
        <v>18</v>
      </c>
      <c r="E112" s="280">
        <v>11</v>
      </c>
      <c r="F112" s="280">
        <v>5</v>
      </c>
      <c r="G112" s="280">
        <v>2</v>
      </c>
      <c r="H112" s="280">
        <v>2</v>
      </c>
      <c r="I112" s="280">
        <v>4</v>
      </c>
      <c r="J112" s="280">
        <v>12</v>
      </c>
    </row>
    <row r="113" spans="1:10">
      <c r="A113" s="1030" t="s">
        <v>145</v>
      </c>
      <c r="B113" s="1031" t="s">
        <v>146</v>
      </c>
      <c r="C113" s="1032" t="s">
        <v>274</v>
      </c>
      <c r="D113" s="280">
        <v>23</v>
      </c>
      <c r="E113" s="280">
        <v>14</v>
      </c>
      <c r="F113" s="280">
        <v>2</v>
      </c>
      <c r="G113" s="280">
        <v>7</v>
      </c>
      <c r="H113" s="280">
        <v>0</v>
      </c>
      <c r="I113" s="280">
        <v>5</v>
      </c>
      <c r="J113" s="280">
        <v>18</v>
      </c>
    </row>
    <row r="114" spans="1:10">
      <c r="A114" s="1030" t="s">
        <v>159</v>
      </c>
      <c r="B114" s="1031" t="s">
        <v>160</v>
      </c>
      <c r="C114" s="1032" t="s">
        <v>271</v>
      </c>
      <c r="D114" s="280">
        <v>416</v>
      </c>
      <c r="E114" s="280">
        <v>201</v>
      </c>
      <c r="F114" s="280">
        <v>189</v>
      </c>
      <c r="G114" s="280">
        <v>26</v>
      </c>
      <c r="H114" s="280">
        <v>33</v>
      </c>
      <c r="I114" s="280">
        <v>56</v>
      </c>
      <c r="J114" s="280">
        <v>327</v>
      </c>
    </row>
    <row r="115" spans="1:10">
      <c r="A115" s="1030" t="s">
        <v>161</v>
      </c>
      <c r="B115" s="1031" t="s">
        <v>162</v>
      </c>
      <c r="C115" s="1032" t="s">
        <v>271</v>
      </c>
      <c r="D115" s="280">
        <v>871</v>
      </c>
      <c r="E115" s="280">
        <v>364</v>
      </c>
      <c r="F115" s="280">
        <v>425</v>
      </c>
      <c r="G115" s="280">
        <v>82</v>
      </c>
      <c r="H115" s="280">
        <v>78</v>
      </c>
      <c r="I115" s="280">
        <v>222</v>
      </c>
      <c r="J115" s="280">
        <v>571</v>
      </c>
    </row>
    <row r="116" spans="1:10">
      <c r="A116" s="1030" t="s">
        <v>167</v>
      </c>
      <c r="B116" s="1031" t="s">
        <v>168</v>
      </c>
      <c r="C116" s="1032" t="s">
        <v>275</v>
      </c>
      <c r="D116" s="1374" t="s">
        <v>1063</v>
      </c>
      <c r="E116" s="1374" t="s">
        <v>1063</v>
      </c>
      <c r="F116" s="1374" t="s">
        <v>1063</v>
      </c>
      <c r="G116" s="1374" t="s">
        <v>1063</v>
      </c>
      <c r="H116" s="1374" t="s">
        <v>1063</v>
      </c>
      <c r="I116" s="1374" t="s">
        <v>1063</v>
      </c>
      <c r="J116" s="1374" t="s">
        <v>1063</v>
      </c>
    </row>
    <row r="117" spans="1:10">
      <c r="A117" s="1030" t="s">
        <v>177</v>
      </c>
      <c r="B117" s="1031" t="s">
        <v>178</v>
      </c>
      <c r="C117" s="1032" t="s">
        <v>273</v>
      </c>
      <c r="D117" s="280">
        <v>78</v>
      </c>
      <c r="E117" s="280">
        <v>17</v>
      </c>
      <c r="F117" s="280">
        <v>55</v>
      </c>
      <c r="G117" s="280">
        <v>6</v>
      </c>
      <c r="H117" s="280">
        <v>10</v>
      </c>
      <c r="I117" s="280">
        <v>19</v>
      </c>
      <c r="J117" s="280">
        <v>49</v>
      </c>
    </row>
    <row r="118" spans="1:10">
      <c r="A118" s="1030" t="s">
        <v>181</v>
      </c>
      <c r="B118" s="1031" t="s">
        <v>182</v>
      </c>
      <c r="C118" s="1032" t="s">
        <v>271</v>
      </c>
      <c r="D118" s="280">
        <v>179</v>
      </c>
      <c r="E118" s="280">
        <v>73</v>
      </c>
      <c r="F118" s="280">
        <v>104</v>
      </c>
      <c r="G118" s="280">
        <v>2</v>
      </c>
      <c r="H118" s="280">
        <v>16</v>
      </c>
      <c r="I118" s="280">
        <v>25</v>
      </c>
      <c r="J118" s="280">
        <v>138</v>
      </c>
    </row>
    <row r="119" spans="1:10">
      <c r="A119" s="1030" t="s">
        <v>193</v>
      </c>
      <c r="B119" s="1031" t="s">
        <v>194</v>
      </c>
      <c r="C119" s="1032" t="s">
        <v>275</v>
      </c>
      <c r="D119" s="280">
        <v>34</v>
      </c>
      <c r="E119" s="280">
        <v>26</v>
      </c>
      <c r="F119" s="280">
        <v>6</v>
      </c>
      <c r="G119" s="280">
        <v>2</v>
      </c>
      <c r="H119" s="280">
        <v>7</v>
      </c>
      <c r="I119" s="280">
        <v>12</v>
      </c>
      <c r="J119" s="280">
        <v>15</v>
      </c>
    </row>
    <row r="120" spans="1:10">
      <c r="A120" s="1030" t="s">
        <v>197</v>
      </c>
      <c r="B120" s="1031" t="s">
        <v>198</v>
      </c>
      <c r="C120" s="1032" t="s">
        <v>273</v>
      </c>
      <c r="D120" s="280">
        <v>688</v>
      </c>
      <c r="E120" s="280">
        <v>227</v>
      </c>
      <c r="F120" s="280">
        <v>447</v>
      </c>
      <c r="G120" s="280">
        <v>14</v>
      </c>
      <c r="H120" s="280">
        <v>70</v>
      </c>
      <c r="I120" s="280">
        <v>150</v>
      </c>
      <c r="J120" s="280">
        <v>468</v>
      </c>
    </row>
    <row r="121" spans="1:10">
      <c r="A121" s="1030" t="s">
        <v>201</v>
      </c>
      <c r="B121" s="1031" t="s">
        <v>202</v>
      </c>
      <c r="C121" s="1032" t="s">
        <v>272</v>
      </c>
      <c r="D121" s="280">
        <v>575</v>
      </c>
      <c r="E121" s="280">
        <v>408</v>
      </c>
      <c r="F121" s="280">
        <v>156</v>
      </c>
      <c r="G121" s="280">
        <v>11</v>
      </c>
      <c r="H121" s="280">
        <v>54</v>
      </c>
      <c r="I121" s="280">
        <v>157</v>
      </c>
      <c r="J121" s="280">
        <v>364</v>
      </c>
    </row>
    <row r="122" spans="1:10">
      <c r="A122" s="1030" t="s">
        <v>223</v>
      </c>
      <c r="B122" s="1031" t="s">
        <v>224</v>
      </c>
      <c r="C122" s="1032" t="s">
        <v>271</v>
      </c>
      <c r="D122" s="280">
        <v>221</v>
      </c>
      <c r="E122" s="280">
        <v>79</v>
      </c>
      <c r="F122" s="280">
        <v>137</v>
      </c>
      <c r="G122" s="280">
        <v>5</v>
      </c>
      <c r="H122" s="280">
        <v>23</v>
      </c>
      <c r="I122" s="280">
        <v>39</v>
      </c>
      <c r="J122" s="280">
        <v>159</v>
      </c>
    </row>
    <row r="123" spans="1:10">
      <c r="A123" s="1030" t="s">
        <v>231</v>
      </c>
      <c r="B123" s="1031" t="s">
        <v>232</v>
      </c>
      <c r="C123" s="1032" t="s">
        <v>271</v>
      </c>
      <c r="D123" s="280">
        <v>1122</v>
      </c>
      <c r="E123" s="280">
        <v>794</v>
      </c>
      <c r="F123" s="280">
        <v>254</v>
      </c>
      <c r="G123" s="280">
        <v>74</v>
      </c>
      <c r="H123" s="280">
        <v>103</v>
      </c>
      <c r="I123" s="280">
        <v>220</v>
      </c>
      <c r="J123" s="280">
        <v>799</v>
      </c>
    </row>
    <row r="124" spans="1:10">
      <c r="A124" s="1030" t="s">
        <v>239</v>
      </c>
      <c r="B124" s="1031" t="s">
        <v>240</v>
      </c>
      <c r="C124" s="1032" t="s">
        <v>271</v>
      </c>
      <c r="D124" s="280">
        <v>151</v>
      </c>
      <c r="E124" s="280">
        <v>79</v>
      </c>
      <c r="F124" s="280">
        <v>71</v>
      </c>
      <c r="G124" s="280">
        <v>1</v>
      </c>
      <c r="H124" s="280">
        <v>19</v>
      </c>
      <c r="I124" s="280">
        <v>46</v>
      </c>
      <c r="J124" s="280">
        <v>86</v>
      </c>
    </row>
    <row r="125" spans="1:10">
      <c r="A125" s="1033" t="s">
        <v>241</v>
      </c>
      <c r="B125" s="1034" t="s">
        <v>242</v>
      </c>
      <c r="C125" s="1035" t="s">
        <v>274</v>
      </c>
      <c r="D125" s="1375">
        <v>131</v>
      </c>
      <c r="E125" s="1375">
        <v>90</v>
      </c>
      <c r="F125" s="1375">
        <v>14</v>
      </c>
      <c r="G125" s="1375">
        <v>27</v>
      </c>
      <c r="H125" s="1375">
        <v>22</v>
      </c>
      <c r="I125" s="1375">
        <v>23</v>
      </c>
      <c r="J125" s="1375">
        <v>86</v>
      </c>
    </row>
    <row r="126" spans="1:10">
      <c r="A126" s="1030"/>
      <c r="B126" s="1031"/>
      <c r="C126" s="1032"/>
    </row>
    <row r="127" spans="1:10" ht="30" customHeight="1">
      <c r="A127" s="1716" t="s">
        <v>1139</v>
      </c>
      <c r="B127" s="1716"/>
      <c r="C127" s="1716"/>
      <c r="D127" s="1716"/>
      <c r="E127" s="1716"/>
      <c r="F127" s="1716"/>
      <c r="G127" s="1360"/>
      <c r="H127" s="1360"/>
      <c r="I127" s="1360"/>
      <c r="J127" s="1360"/>
    </row>
    <row r="128" spans="1:10">
      <c r="A128" s="1365"/>
      <c r="B128" s="1365"/>
      <c r="C128" s="1365"/>
      <c r="D128" s="1365"/>
      <c r="E128" s="1365"/>
      <c r="F128" s="1365"/>
      <c r="G128" s="1360"/>
      <c r="H128" s="1360"/>
      <c r="I128" s="1360"/>
      <c r="J128" s="1360"/>
    </row>
    <row r="129" spans="1:10" s="542" customFormat="1">
      <c r="A129" s="1717" t="s">
        <v>249</v>
      </c>
      <c r="B129" s="1717"/>
      <c r="C129" s="1717"/>
      <c r="D129" s="1717"/>
      <c r="E129" s="1717"/>
      <c r="F129" s="1717"/>
      <c r="G129" s="1717"/>
      <c r="H129" s="1717"/>
      <c r="I129" s="1717"/>
      <c r="J129" s="1717"/>
    </row>
    <row r="130" spans="1:10" s="280" customFormat="1">
      <c r="A130" s="543" t="s">
        <v>250</v>
      </c>
      <c r="B130" s="544" t="s">
        <v>251</v>
      </c>
      <c r="C130" s="1369"/>
    </row>
    <row r="141" spans="1:10" ht="15.75" customHeight="1">
      <c r="A141" s="1716" t="s">
        <v>1078</v>
      </c>
      <c r="B141" s="1716"/>
      <c r="C141" s="1716"/>
      <c r="D141" s="1716"/>
      <c r="E141" s="1716"/>
      <c r="F141" s="1716"/>
    </row>
  </sheetData>
  <autoFilter ref="A4:C4"/>
  <mergeCells count="5">
    <mergeCell ref="A141:F141"/>
    <mergeCell ref="A127:F127"/>
    <mergeCell ref="A129:J129"/>
    <mergeCell ref="E3:G3"/>
    <mergeCell ref="H3:J3"/>
  </mergeCells>
  <hyperlinks>
    <hyperlink ref="B130" r:id="rId1"/>
  </hyperlinks>
  <pageMargins left="0.7" right="0.7" top="0.75" bottom="0.75" header="0.3" footer="0.3"/>
</worksheet>
</file>

<file path=xl/worksheets/sheet45.xml><?xml version="1.0" encoding="utf-8"?>
<worksheet xmlns="http://schemas.openxmlformats.org/spreadsheetml/2006/main" xmlns:r="http://schemas.openxmlformats.org/officeDocument/2006/relationships">
  <dimension ref="A1:J130"/>
  <sheetViews>
    <sheetView workbookViewId="0">
      <pane ySplit="5" topLeftCell="A6" activePane="bottomLeft" state="frozen"/>
      <selection pane="bottomLeft" activeCell="B10" sqref="B10"/>
    </sheetView>
  </sheetViews>
  <sheetFormatPr defaultRowHeight="15.75"/>
  <cols>
    <col min="1" max="1" width="9.125" style="1040" customWidth="1"/>
    <col min="2" max="2" width="35" style="1040" customWidth="1"/>
    <col min="3" max="3" width="11.25" style="1040" customWidth="1"/>
    <col min="4" max="9" width="9" style="1360"/>
    <col min="10" max="10" width="12.75" style="1360" customWidth="1"/>
    <col min="11" max="16384" width="9" style="1138"/>
  </cols>
  <sheetData>
    <row r="1" spans="1:10">
      <c r="A1" s="64" t="s">
        <v>1067</v>
      </c>
      <c r="B1" s="1138"/>
      <c r="C1" s="1138"/>
    </row>
    <row r="2" spans="1:10">
      <c r="A2" s="1138"/>
      <c r="B2" s="1138"/>
      <c r="C2" s="1138"/>
    </row>
    <row r="3" spans="1:10">
      <c r="A3" s="1138"/>
      <c r="B3" s="1138"/>
      <c r="C3" s="1138"/>
      <c r="E3" s="1718" t="s">
        <v>1065</v>
      </c>
      <c r="F3" s="1718"/>
      <c r="G3" s="1718"/>
      <c r="H3" s="1719" t="s">
        <v>1066</v>
      </c>
      <c r="I3" s="1719"/>
      <c r="J3" s="1719"/>
    </row>
    <row r="4" spans="1:10">
      <c r="A4" s="1041" t="s">
        <v>4</v>
      </c>
      <c r="B4" s="1060" t="s">
        <v>5</v>
      </c>
      <c r="C4" s="1041" t="s">
        <v>252</v>
      </c>
      <c r="D4" s="1361" t="s">
        <v>289</v>
      </c>
      <c r="E4" s="1361" t="s">
        <v>2</v>
      </c>
      <c r="F4" s="1361" t="s">
        <v>608</v>
      </c>
      <c r="G4" s="1361" t="s">
        <v>609</v>
      </c>
      <c r="H4" s="1361" t="s">
        <v>1064</v>
      </c>
      <c r="I4" s="1362" t="s">
        <v>1082</v>
      </c>
      <c r="J4" s="1361" t="s">
        <v>1085</v>
      </c>
    </row>
    <row r="5" spans="1:10">
      <c r="A5" s="1372">
        <v>999</v>
      </c>
      <c r="B5" s="1373" t="s">
        <v>9</v>
      </c>
      <c r="C5" s="1372"/>
      <c r="D5" s="1477">
        <f t="shared" ref="D5:J5" si="0">SUM(D6:D125)</f>
        <v>6028</v>
      </c>
      <c r="E5" s="1477">
        <f t="shared" si="0"/>
        <v>3741</v>
      </c>
      <c r="F5" s="1477">
        <f t="shared" si="0"/>
        <v>2059</v>
      </c>
      <c r="G5" s="1477">
        <f t="shared" si="0"/>
        <v>228</v>
      </c>
      <c r="H5" s="1477">
        <f t="shared" si="0"/>
        <v>664</v>
      </c>
      <c r="I5" s="1477">
        <f t="shared" si="0"/>
        <v>2489</v>
      </c>
      <c r="J5" s="1477">
        <f t="shared" si="0"/>
        <v>2924</v>
      </c>
    </row>
    <row r="6" spans="1:10">
      <c r="A6" s="1030" t="s">
        <v>10</v>
      </c>
      <c r="B6" s="1031" t="s">
        <v>11</v>
      </c>
      <c r="C6" s="1032" t="s">
        <v>271</v>
      </c>
      <c r="D6" s="1363">
        <v>46</v>
      </c>
      <c r="E6" s="1363">
        <v>30</v>
      </c>
      <c r="F6" s="1363">
        <v>16</v>
      </c>
      <c r="G6" s="1363">
        <v>0</v>
      </c>
      <c r="H6" s="1363">
        <v>4</v>
      </c>
      <c r="I6" s="1363">
        <v>20</v>
      </c>
      <c r="J6" s="1363">
        <v>22</v>
      </c>
    </row>
    <row r="7" spans="1:10">
      <c r="A7" s="1030" t="s">
        <v>12</v>
      </c>
      <c r="B7" s="1031" t="s">
        <v>13</v>
      </c>
      <c r="C7" s="1032" t="s">
        <v>272</v>
      </c>
      <c r="D7" s="1363">
        <v>52</v>
      </c>
      <c r="E7" s="1363">
        <v>38</v>
      </c>
      <c r="F7" s="1363">
        <v>12</v>
      </c>
      <c r="G7" s="1363">
        <v>2</v>
      </c>
      <c r="H7" s="1363">
        <v>2</v>
      </c>
      <c r="I7" s="1363">
        <v>8</v>
      </c>
      <c r="J7" s="1363">
        <v>42</v>
      </c>
    </row>
    <row r="8" spans="1:10">
      <c r="A8" s="1030" t="s">
        <v>16</v>
      </c>
      <c r="B8" s="1031" t="s">
        <v>307</v>
      </c>
      <c r="C8" s="1032" t="s">
        <v>272</v>
      </c>
      <c r="D8" s="1363">
        <v>13</v>
      </c>
      <c r="E8" s="1363">
        <v>12</v>
      </c>
      <c r="F8" s="1363">
        <v>1</v>
      </c>
      <c r="G8" s="1363">
        <v>0</v>
      </c>
      <c r="H8" s="1363">
        <v>2</v>
      </c>
      <c r="I8" s="1363">
        <v>5</v>
      </c>
      <c r="J8" s="1363">
        <v>7</v>
      </c>
    </row>
    <row r="9" spans="1:10">
      <c r="A9" s="1030" t="s">
        <v>18</v>
      </c>
      <c r="B9" s="1031" t="s">
        <v>19</v>
      </c>
      <c r="C9" s="1032" t="s">
        <v>273</v>
      </c>
      <c r="D9" s="1363">
        <v>17</v>
      </c>
      <c r="E9" s="1363">
        <v>10</v>
      </c>
      <c r="F9" s="1363">
        <v>6</v>
      </c>
      <c r="G9" s="1363">
        <v>1</v>
      </c>
      <c r="H9" s="1363">
        <v>2</v>
      </c>
      <c r="I9" s="1363">
        <v>3</v>
      </c>
      <c r="J9" s="1363">
        <v>12</v>
      </c>
    </row>
    <row r="10" spans="1:10">
      <c r="A10" s="1030" t="s">
        <v>20</v>
      </c>
      <c r="B10" s="1031" t="s">
        <v>21</v>
      </c>
      <c r="C10" s="1032" t="s">
        <v>272</v>
      </c>
      <c r="D10" s="1363">
        <v>31</v>
      </c>
      <c r="E10" s="1363">
        <v>21</v>
      </c>
      <c r="F10" s="1363">
        <v>10</v>
      </c>
      <c r="G10" s="1363">
        <v>0</v>
      </c>
      <c r="H10" s="1363">
        <v>2</v>
      </c>
      <c r="I10" s="1363">
        <v>9</v>
      </c>
      <c r="J10" s="1363">
        <v>20</v>
      </c>
    </row>
    <row r="11" spans="1:10">
      <c r="A11" s="1030" t="s">
        <v>22</v>
      </c>
      <c r="B11" s="1031" t="s">
        <v>23</v>
      </c>
      <c r="C11" s="1032" t="s">
        <v>272</v>
      </c>
      <c r="D11" s="1363">
        <v>22</v>
      </c>
      <c r="E11" s="1363">
        <v>10</v>
      </c>
      <c r="F11" s="1363">
        <v>10</v>
      </c>
      <c r="G11" s="1363">
        <v>2</v>
      </c>
      <c r="H11" s="1363">
        <v>1</v>
      </c>
      <c r="I11" s="1363">
        <v>9</v>
      </c>
      <c r="J11" s="1363">
        <v>12</v>
      </c>
    </row>
    <row r="12" spans="1:10">
      <c r="A12" s="1030" t="s">
        <v>24</v>
      </c>
      <c r="B12" s="1031" t="s">
        <v>25</v>
      </c>
      <c r="C12" s="1032" t="s">
        <v>274</v>
      </c>
      <c r="D12" s="1363">
        <v>84</v>
      </c>
      <c r="E12" s="1363">
        <v>64</v>
      </c>
      <c r="F12" s="1363">
        <v>12</v>
      </c>
      <c r="G12" s="1363">
        <v>8</v>
      </c>
      <c r="H12" s="1363">
        <v>3</v>
      </c>
      <c r="I12" s="1363">
        <v>33</v>
      </c>
      <c r="J12" s="1363">
        <v>48</v>
      </c>
    </row>
    <row r="13" spans="1:10">
      <c r="A13" s="1030" t="s">
        <v>26</v>
      </c>
      <c r="B13" s="1031" t="s">
        <v>308</v>
      </c>
      <c r="C13" s="1032" t="s">
        <v>272</v>
      </c>
      <c r="D13" s="1363">
        <v>97</v>
      </c>
      <c r="E13" s="1363">
        <v>84</v>
      </c>
      <c r="F13" s="1363">
        <v>10</v>
      </c>
      <c r="G13" s="1363">
        <v>3</v>
      </c>
      <c r="H13" s="1363">
        <v>6</v>
      </c>
      <c r="I13" s="1363">
        <v>30</v>
      </c>
      <c r="J13" s="1363">
        <v>62</v>
      </c>
    </row>
    <row r="14" spans="1:10">
      <c r="A14" s="1030" t="s">
        <v>27</v>
      </c>
      <c r="B14" s="1031" t="s">
        <v>28</v>
      </c>
      <c r="C14" s="1032" t="s">
        <v>272</v>
      </c>
      <c r="D14" s="1363">
        <v>1</v>
      </c>
      <c r="E14" s="1363">
        <v>0</v>
      </c>
      <c r="F14" s="1363">
        <v>1</v>
      </c>
      <c r="G14" s="1363">
        <v>0</v>
      </c>
      <c r="H14" s="1363">
        <v>0</v>
      </c>
      <c r="I14" s="1363">
        <v>1</v>
      </c>
      <c r="J14" s="1363">
        <v>0</v>
      </c>
    </row>
    <row r="15" spans="1:10">
      <c r="A15" s="1030" t="s">
        <v>29</v>
      </c>
      <c r="B15" s="1031" t="s">
        <v>910</v>
      </c>
      <c r="C15" s="1032" t="s">
        <v>272</v>
      </c>
      <c r="D15" s="1363">
        <v>70</v>
      </c>
      <c r="E15" s="1363">
        <v>55</v>
      </c>
      <c r="F15" s="1363">
        <v>14</v>
      </c>
      <c r="G15" s="1363">
        <v>1</v>
      </c>
      <c r="H15" s="1363">
        <v>2</v>
      </c>
      <c r="I15" s="1363">
        <v>23</v>
      </c>
      <c r="J15" s="1363">
        <v>45</v>
      </c>
    </row>
    <row r="16" spans="1:10">
      <c r="A16" s="1030" t="s">
        <v>31</v>
      </c>
      <c r="B16" s="1031" t="s">
        <v>32</v>
      </c>
      <c r="C16" s="1032" t="s">
        <v>275</v>
      </c>
      <c r="D16" s="1363">
        <v>3</v>
      </c>
      <c r="E16" s="1363">
        <v>3</v>
      </c>
      <c r="F16" s="1363">
        <v>0</v>
      </c>
      <c r="G16" s="1363">
        <v>0</v>
      </c>
      <c r="H16" s="1363">
        <v>0</v>
      </c>
      <c r="I16" s="1363">
        <v>0</v>
      </c>
      <c r="J16" s="1363">
        <v>3</v>
      </c>
    </row>
    <row r="17" spans="1:10">
      <c r="A17" s="1030" t="s">
        <v>33</v>
      </c>
      <c r="B17" s="1031" t="s">
        <v>34</v>
      </c>
      <c r="C17" s="1032" t="s">
        <v>272</v>
      </c>
      <c r="D17" s="1363">
        <v>19</v>
      </c>
      <c r="E17" s="1363">
        <v>19</v>
      </c>
      <c r="F17" s="1363">
        <v>0</v>
      </c>
      <c r="G17" s="1363">
        <v>0</v>
      </c>
      <c r="H17" s="1363">
        <v>1</v>
      </c>
      <c r="I17" s="1363">
        <v>6</v>
      </c>
      <c r="J17" s="1363">
        <v>12</v>
      </c>
    </row>
    <row r="18" spans="1:10">
      <c r="A18" s="1030" t="s">
        <v>37</v>
      </c>
      <c r="B18" s="1031" t="s">
        <v>38</v>
      </c>
      <c r="C18" s="1032" t="s">
        <v>271</v>
      </c>
      <c r="D18" s="1363">
        <v>31</v>
      </c>
      <c r="E18" s="1363">
        <v>6</v>
      </c>
      <c r="F18" s="1363">
        <v>25</v>
      </c>
      <c r="G18" s="1363">
        <v>0</v>
      </c>
      <c r="H18" s="1363">
        <v>2</v>
      </c>
      <c r="I18" s="1363">
        <v>17</v>
      </c>
      <c r="J18" s="1363">
        <v>12</v>
      </c>
    </row>
    <row r="19" spans="1:10">
      <c r="A19" s="1030" t="s">
        <v>39</v>
      </c>
      <c r="B19" s="1031" t="s">
        <v>40</v>
      </c>
      <c r="C19" s="1032" t="s">
        <v>275</v>
      </c>
      <c r="D19" s="1363">
        <v>28</v>
      </c>
      <c r="E19" s="1363">
        <v>28</v>
      </c>
      <c r="F19" s="1363">
        <v>0</v>
      </c>
      <c r="G19" s="1363">
        <v>0</v>
      </c>
      <c r="H19" s="1363">
        <v>5</v>
      </c>
      <c r="I19" s="1363">
        <v>13</v>
      </c>
      <c r="J19" s="1363">
        <v>10</v>
      </c>
    </row>
    <row r="20" spans="1:10">
      <c r="A20" s="1030" t="s">
        <v>41</v>
      </c>
      <c r="B20" s="1031" t="s">
        <v>42</v>
      </c>
      <c r="C20" s="1032" t="s">
        <v>273</v>
      </c>
      <c r="D20" s="1363">
        <v>15</v>
      </c>
      <c r="E20" s="1363">
        <v>8</v>
      </c>
      <c r="F20" s="1363">
        <v>7</v>
      </c>
      <c r="G20" s="1363">
        <v>0</v>
      </c>
      <c r="H20" s="1363">
        <v>3</v>
      </c>
      <c r="I20" s="1363">
        <v>6</v>
      </c>
      <c r="J20" s="1363">
        <v>6</v>
      </c>
    </row>
    <row r="21" spans="1:10">
      <c r="A21" s="1030" t="s">
        <v>43</v>
      </c>
      <c r="B21" s="1031" t="s">
        <v>44</v>
      </c>
      <c r="C21" s="1032" t="s">
        <v>272</v>
      </c>
      <c r="D21" s="1363">
        <v>45</v>
      </c>
      <c r="E21" s="1363">
        <v>36</v>
      </c>
      <c r="F21" s="1363">
        <v>7</v>
      </c>
      <c r="G21" s="1363">
        <v>2</v>
      </c>
      <c r="H21" s="1363">
        <v>3</v>
      </c>
      <c r="I21" s="1363">
        <v>5</v>
      </c>
      <c r="J21" s="1363">
        <v>37</v>
      </c>
    </row>
    <row r="22" spans="1:10">
      <c r="A22" s="1030" t="s">
        <v>45</v>
      </c>
      <c r="B22" s="1031" t="s">
        <v>46</v>
      </c>
      <c r="C22" s="1032" t="s">
        <v>273</v>
      </c>
      <c r="D22" s="1363">
        <v>7</v>
      </c>
      <c r="E22" s="1363">
        <v>6</v>
      </c>
      <c r="F22" s="1363">
        <v>1</v>
      </c>
      <c r="G22" s="1363">
        <v>0</v>
      </c>
      <c r="H22" s="1363">
        <v>0</v>
      </c>
      <c r="I22" s="1363">
        <v>2</v>
      </c>
      <c r="J22" s="1363">
        <v>5</v>
      </c>
    </row>
    <row r="23" spans="1:10">
      <c r="A23" s="1030" t="s">
        <v>47</v>
      </c>
      <c r="B23" s="1031" t="s">
        <v>48</v>
      </c>
      <c r="C23" s="1032" t="s">
        <v>275</v>
      </c>
      <c r="D23" s="1363">
        <v>40</v>
      </c>
      <c r="E23" s="1363">
        <v>39</v>
      </c>
      <c r="F23" s="1363">
        <v>0</v>
      </c>
      <c r="G23" s="1363">
        <v>1</v>
      </c>
      <c r="H23" s="1363">
        <v>5</v>
      </c>
      <c r="I23" s="1363">
        <v>19</v>
      </c>
      <c r="J23" s="1363">
        <v>16</v>
      </c>
    </row>
    <row r="24" spans="1:10">
      <c r="A24" s="1030" t="s">
        <v>49</v>
      </c>
      <c r="B24" s="1031" t="s">
        <v>276</v>
      </c>
      <c r="C24" s="1032" t="s">
        <v>273</v>
      </c>
      <c r="D24" s="1363">
        <v>8</v>
      </c>
      <c r="E24" s="1363">
        <v>4</v>
      </c>
      <c r="F24" s="1363">
        <v>4</v>
      </c>
      <c r="G24" s="1363">
        <v>0</v>
      </c>
      <c r="H24" s="1363">
        <v>1</v>
      </c>
      <c r="I24" s="1363">
        <v>6</v>
      </c>
      <c r="J24" s="1363">
        <v>1</v>
      </c>
    </row>
    <row r="25" spans="1:10">
      <c r="A25" s="1030" t="s">
        <v>51</v>
      </c>
      <c r="B25" s="1031" t="s">
        <v>52</v>
      </c>
      <c r="C25" s="1032" t="s">
        <v>272</v>
      </c>
      <c r="D25" s="1363">
        <v>21</v>
      </c>
      <c r="E25" s="1363">
        <v>14</v>
      </c>
      <c r="F25" s="1363">
        <v>7</v>
      </c>
      <c r="G25" s="1363">
        <v>0</v>
      </c>
      <c r="H25" s="1363">
        <v>1</v>
      </c>
      <c r="I25" s="1363">
        <v>7</v>
      </c>
      <c r="J25" s="1363">
        <v>13</v>
      </c>
    </row>
    <row r="26" spans="1:10">
      <c r="A26" s="1030" t="s">
        <v>57</v>
      </c>
      <c r="B26" s="1031" t="s">
        <v>305</v>
      </c>
      <c r="C26" s="1032" t="s">
        <v>273</v>
      </c>
      <c r="D26" s="1363">
        <v>146</v>
      </c>
      <c r="E26" s="1363">
        <v>101</v>
      </c>
      <c r="F26" s="1363">
        <v>41</v>
      </c>
      <c r="G26" s="1363">
        <v>4</v>
      </c>
      <c r="H26" s="1363">
        <v>32</v>
      </c>
      <c r="I26" s="1363">
        <v>66</v>
      </c>
      <c r="J26" s="1363">
        <v>49</v>
      </c>
    </row>
    <row r="27" spans="1:10">
      <c r="A27" s="1030" t="s">
        <v>59</v>
      </c>
      <c r="B27" s="1031" t="s">
        <v>60</v>
      </c>
      <c r="C27" s="1032" t="s">
        <v>274</v>
      </c>
      <c r="D27" s="1363">
        <v>4</v>
      </c>
      <c r="E27" s="1363">
        <v>4</v>
      </c>
      <c r="F27" s="1363">
        <v>0</v>
      </c>
      <c r="G27" s="1363">
        <v>0</v>
      </c>
      <c r="H27" s="1363">
        <v>0</v>
      </c>
      <c r="I27" s="1363">
        <v>1</v>
      </c>
      <c r="J27" s="1363">
        <v>3</v>
      </c>
    </row>
    <row r="28" spans="1:10">
      <c r="A28" s="1030" t="s">
        <v>61</v>
      </c>
      <c r="B28" s="1031" t="s">
        <v>62</v>
      </c>
      <c r="C28" s="1032" t="s">
        <v>272</v>
      </c>
      <c r="D28" s="1363">
        <v>5</v>
      </c>
      <c r="E28" s="1363">
        <v>5</v>
      </c>
      <c r="F28" s="1363">
        <v>0</v>
      </c>
      <c r="G28" s="1363">
        <v>0</v>
      </c>
      <c r="H28" s="1363">
        <v>0</v>
      </c>
      <c r="I28" s="1363">
        <v>1</v>
      </c>
      <c r="J28" s="1363">
        <v>4</v>
      </c>
    </row>
    <row r="29" spans="1:10">
      <c r="A29" s="1030" t="s">
        <v>63</v>
      </c>
      <c r="B29" s="1031" t="s">
        <v>64</v>
      </c>
      <c r="C29" s="1032" t="s">
        <v>274</v>
      </c>
      <c r="D29" s="1363">
        <v>12</v>
      </c>
      <c r="E29" s="1363">
        <v>10</v>
      </c>
      <c r="F29" s="1363">
        <v>2</v>
      </c>
      <c r="G29" s="1363">
        <v>0</v>
      </c>
      <c r="H29" s="1363">
        <v>0</v>
      </c>
      <c r="I29" s="1363">
        <v>6</v>
      </c>
      <c r="J29" s="1363">
        <v>6</v>
      </c>
    </row>
    <row r="30" spans="1:10">
      <c r="A30" s="1030" t="s">
        <v>65</v>
      </c>
      <c r="B30" s="1031" t="s">
        <v>66</v>
      </c>
      <c r="C30" s="1032" t="s">
        <v>273</v>
      </c>
      <c r="D30" s="1363">
        <v>14</v>
      </c>
      <c r="E30" s="1363">
        <v>3</v>
      </c>
      <c r="F30" s="1363">
        <v>11</v>
      </c>
      <c r="G30" s="1363">
        <v>0</v>
      </c>
      <c r="H30" s="1363">
        <v>1</v>
      </c>
      <c r="I30" s="1363">
        <v>4</v>
      </c>
      <c r="J30" s="1363">
        <v>9</v>
      </c>
    </row>
    <row r="31" spans="1:10">
      <c r="A31" s="1030" t="s">
        <v>69</v>
      </c>
      <c r="B31" s="1031" t="s">
        <v>70</v>
      </c>
      <c r="C31" s="1032" t="s">
        <v>275</v>
      </c>
      <c r="D31" s="1363">
        <v>10</v>
      </c>
      <c r="E31" s="1363">
        <v>10</v>
      </c>
      <c r="F31" s="1363">
        <v>0</v>
      </c>
      <c r="G31" s="1363">
        <v>0</v>
      </c>
      <c r="H31" s="1363">
        <v>2</v>
      </c>
      <c r="I31" s="1363">
        <v>3</v>
      </c>
      <c r="J31" s="1363">
        <v>5</v>
      </c>
    </row>
    <row r="32" spans="1:10">
      <c r="A32" s="1030" t="s">
        <v>71</v>
      </c>
      <c r="B32" s="1031" t="s">
        <v>72</v>
      </c>
      <c r="C32" s="1032" t="s">
        <v>271</v>
      </c>
      <c r="D32" s="1363">
        <v>52</v>
      </c>
      <c r="E32" s="1363">
        <v>22</v>
      </c>
      <c r="F32" s="1363">
        <v>28</v>
      </c>
      <c r="G32" s="1363">
        <v>2</v>
      </c>
      <c r="H32" s="1363">
        <v>12</v>
      </c>
      <c r="I32" s="1363">
        <v>28</v>
      </c>
      <c r="J32" s="1363">
        <v>13</v>
      </c>
    </row>
    <row r="33" spans="1:10">
      <c r="A33" s="1030" t="s">
        <v>73</v>
      </c>
      <c r="B33" s="1031" t="s">
        <v>74</v>
      </c>
      <c r="C33" s="1032" t="s">
        <v>273</v>
      </c>
      <c r="D33" s="1363">
        <v>5</v>
      </c>
      <c r="E33" s="1363">
        <v>0</v>
      </c>
      <c r="F33" s="1363">
        <v>5</v>
      </c>
      <c r="G33" s="1363">
        <v>0</v>
      </c>
      <c r="H33" s="1363">
        <v>1</v>
      </c>
      <c r="I33" s="1363">
        <v>3</v>
      </c>
      <c r="J33" s="1363">
        <v>1</v>
      </c>
    </row>
    <row r="34" spans="1:10">
      <c r="A34" s="1030" t="s">
        <v>75</v>
      </c>
      <c r="B34" s="1031" t="s">
        <v>840</v>
      </c>
      <c r="C34" s="1032" t="s">
        <v>274</v>
      </c>
      <c r="D34" s="1363">
        <v>248</v>
      </c>
      <c r="E34" s="1363">
        <v>162</v>
      </c>
      <c r="F34" s="1363">
        <v>41</v>
      </c>
      <c r="G34" s="1363">
        <v>45</v>
      </c>
      <c r="H34" s="1363">
        <v>20</v>
      </c>
      <c r="I34" s="1363">
        <v>98</v>
      </c>
      <c r="J34" s="1363">
        <v>132</v>
      </c>
    </row>
    <row r="35" spans="1:10">
      <c r="A35" s="1030" t="s">
        <v>77</v>
      </c>
      <c r="B35" s="1031" t="s">
        <v>78</v>
      </c>
      <c r="C35" s="1032" t="s">
        <v>274</v>
      </c>
      <c r="D35" s="1363">
        <v>19</v>
      </c>
      <c r="E35" s="1363">
        <v>16</v>
      </c>
      <c r="F35" s="1363">
        <v>3</v>
      </c>
      <c r="G35" s="1363">
        <v>0</v>
      </c>
      <c r="H35" s="1363">
        <v>4</v>
      </c>
      <c r="I35" s="1363">
        <v>2</v>
      </c>
      <c r="J35" s="1363">
        <v>13</v>
      </c>
    </row>
    <row r="36" spans="1:10">
      <c r="A36" s="1030" t="s">
        <v>79</v>
      </c>
      <c r="B36" s="1031" t="s">
        <v>80</v>
      </c>
      <c r="C36" s="1032" t="s">
        <v>275</v>
      </c>
      <c r="D36" s="1363">
        <v>14</v>
      </c>
      <c r="E36" s="1363">
        <v>14</v>
      </c>
      <c r="F36" s="1363">
        <v>0</v>
      </c>
      <c r="G36" s="1363">
        <v>0</v>
      </c>
      <c r="H36" s="1363">
        <v>2</v>
      </c>
      <c r="I36" s="1363">
        <v>5</v>
      </c>
      <c r="J36" s="1363">
        <v>8</v>
      </c>
    </row>
    <row r="37" spans="1:10">
      <c r="A37" s="1030" t="s">
        <v>81</v>
      </c>
      <c r="B37" s="1031" t="s">
        <v>82</v>
      </c>
      <c r="C37" s="1032" t="s">
        <v>273</v>
      </c>
      <c r="D37" s="1363">
        <v>5</v>
      </c>
      <c r="E37" s="1363">
        <v>1</v>
      </c>
      <c r="F37" s="1363">
        <v>4</v>
      </c>
      <c r="G37" s="1363">
        <v>0</v>
      </c>
      <c r="H37" s="1363">
        <v>1</v>
      </c>
      <c r="I37" s="1363">
        <v>1</v>
      </c>
      <c r="J37" s="1363">
        <v>3</v>
      </c>
    </row>
    <row r="38" spans="1:10">
      <c r="A38" s="1030" t="s">
        <v>85</v>
      </c>
      <c r="B38" s="1031" t="s">
        <v>86</v>
      </c>
      <c r="C38" s="1032" t="s">
        <v>272</v>
      </c>
      <c r="D38" s="1363">
        <v>46</v>
      </c>
      <c r="E38" s="1363">
        <v>36</v>
      </c>
      <c r="F38" s="1363">
        <v>4</v>
      </c>
      <c r="G38" s="1363">
        <v>6</v>
      </c>
      <c r="H38" s="1363">
        <v>3</v>
      </c>
      <c r="I38" s="1363">
        <v>14</v>
      </c>
      <c r="J38" s="1363">
        <v>29</v>
      </c>
    </row>
    <row r="39" spans="1:10">
      <c r="A39" s="1030" t="s">
        <v>87</v>
      </c>
      <c r="B39" s="1031" t="s">
        <v>88</v>
      </c>
      <c r="C39" s="1032" t="s">
        <v>274</v>
      </c>
      <c r="D39" s="1363">
        <v>25</v>
      </c>
      <c r="E39" s="1363">
        <v>21</v>
      </c>
      <c r="F39" s="1363">
        <v>2</v>
      </c>
      <c r="G39" s="1363">
        <v>2</v>
      </c>
      <c r="H39" s="1363">
        <v>1</v>
      </c>
      <c r="I39" s="1363">
        <v>9</v>
      </c>
      <c r="J39" s="1363">
        <v>15</v>
      </c>
    </row>
    <row r="40" spans="1:10">
      <c r="A40" s="1030" t="s">
        <v>93</v>
      </c>
      <c r="B40" s="1031" t="s">
        <v>94</v>
      </c>
      <c r="C40" s="1032" t="s">
        <v>275</v>
      </c>
      <c r="D40" s="1363">
        <v>8</v>
      </c>
      <c r="E40" s="1363">
        <v>8</v>
      </c>
      <c r="F40" s="1363">
        <v>0</v>
      </c>
      <c r="G40" s="1363">
        <v>0</v>
      </c>
      <c r="H40" s="1363">
        <v>1</v>
      </c>
      <c r="I40" s="1363">
        <v>5</v>
      </c>
      <c r="J40" s="1363">
        <v>2</v>
      </c>
    </row>
    <row r="41" spans="1:10">
      <c r="A41" s="1030" t="s">
        <v>95</v>
      </c>
      <c r="B41" s="1031" t="s">
        <v>96</v>
      </c>
      <c r="C41" s="1032" t="s">
        <v>271</v>
      </c>
      <c r="D41" s="1363">
        <v>40</v>
      </c>
      <c r="E41" s="1363">
        <v>28</v>
      </c>
      <c r="F41" s="1363">
        <v>10</v>
      </c>
      <c r="G41" s="1363">
        <v>2</v>
      </c>
      <c r="H41" s="1363">
        <v>13</v>
      </c>
      <c r="I41" s="1363">
        <v>17</v>
      </c>
      <c r="J41" s="1363">
        <v>12</v>
      </c>
    </row>
    <row r="42" spans="1:10">
      <c r="A42" s="1030" t="s">
        <v>97</v>
      </c>
      <c r="B42" s="1031" t="s">
        <v>98</v>
      </c>
      <c r="C42" s="1032" t="s">
        <v>273</v>
      </c>
      <c r="D42" s="1363">
        <v>10</v>
      </c>
      <c r="E42" s="1363">
        <v>6</v>
      </c>
      <c r="F42" s="1363">
        <v>4</v>
      </c>
      <c r="G42" s="1363">
        <v>0</v>
      </c>
      <c r="H42" s="1363">
        <v>1</v>
      </c>
      <c r="I42" s="1363">
        <v>1</v>
      </c>
      <c r="J42" s="1363">
        <v>8</v>
      </c>
    </row>
    <row r="43" spans="1:10">
      <c r="A43" s="1030" t="s">
        <v>99</v>
      </c>
      <c r="B43" s="1031" t="s">
        <v>100</v>
      </c>
      <c r="C43" s="1032" t="s">
        <v>275</v>
      </c>
      <c r="D43" s="1363">
        <v>30</v>
      </c>
      <c r="E43" s="1363">
        <v>27</v>
      </c>
      <c r="F43" s="1363">
        <v>2</v>
      </c>
      <c r="G43" s="1363">
        <v>1</v>
      </c>
      <c r="H43" s="1363">
        <v>5</v>
      </c>
      <c r="I43" s="1363">
        <v>12</v>
      </c>
      <c r="J43" s="1363">
        <v>13</v>
      </c>
    </row>
    <row r="44" spans="1:10">
      <c r="A44" s="1030" t="s">
        <v>101</v>
      </c>
      <c r="B44" s="1031" t="s">
        <v>102</v>
      </c>
      <c r="C44" s="1032" t="s">
        <v>274</v>
      </c>
      <c r="D44" s="1363">
        <v>10</v>
      </c>
      <c r="E44" s="1363">
        <v>6</v>
      </c>
      <c r="F44" s="1363">
        <v>1</v>
      </c>
      <c r="G44" s="1363">
        <v>3</v>
      </c>
      <c r="H44" s="1363">
        <v>0</v>
      </c>
      <c r="I44" s="1363">
        <v>0</v>
      </c>
      <c r="J44" s="1363">
        <v>10</v>
      </c>
    </row>
    <row r="45" spans="1:10">
      <c r="A45" s="1030" t="s">
        <v>103</v>
      </c>
      <c r="B45" s="1031" t="s">
        <v>290</v>
      </c>
      <c r="C45" s="1032" t="s">
        <v>271</v>
      </c>
      <c r="D45" s="1363">
        <v>25</v>
      </c>
      <c r="E45" s="1363">
        <v>13</v>
      </c>
      <c r="F45" s="1363">
        <v>12</v>
      </c>
      <c r="G45" s="1363">
        <v>0</v>
      </c>
      <c r="H45" s="1363">
        <v>1</v>
      </c>
      <c r="I45" s="1363">
        <v>4</v>
      </c>
      <c r="J45" s="1363">
        <v>20</v>
      </c>
    </row>
    <row r="46" spans="1:10">
      <c r="A46" s="1030" t="s">
        <v>105</v>
      </c>
      <c r="B46" s="1031" t="s">
        <v>106</v>
      </c>
      <c r="C46" s="1032" t="s">
        <v>272</v>
      </c>
      <c r="D46" s="1363">
        <v>52</v>
      </c>
      <c r="E46" s="1363">
        <v>22</v>
      </c>
      <c r="F46" s="1363">
        <v>29</v>
      </c>
      <c r="G46" s="1363">
        <v>1</v>
      </c>
      <c r="H46" s="1363">
        <v>4</v>
      </c>
      <c r="I46" s="1363">
        <v>23</v>
      </c>
      <c r="J46" s="1363">
        <v>25</v>
      </c>
    </row>
    <row r="47" spans="1:10">
      <c r="A47" s="1030" t="s">
        <v>109</v>
      </c>
      <c r="B47" s="1031" t="s">
        <v>110</v>
      </c>
      <c r="C47" s="1032" t="s">
        <v>273</v>
      </c>
      <c r="D47" s="1363">
        <v>31</v>
      </c>
      <c r="E47" s="1363">
        <v>20</v>
      </c>
      <c r="F47" s="1363">
        <v>11</v>
      </c>
      <c r="G47" s="1363">
        <v>0</v>
      </c>
      <c r="H47" s="1363">
        <v>4</v>
      </c>
      <c r="I47" s="1363">
        <v>12</v>
      </c>
      <c r="J47" s="1363">
        <v>15</v>
      </c>
    </row>
    <row r="48" spans="1:10">
      <c r="A48" s="1030" t="s">
        <v>111</v>
      </c>
      <c r="B48" s="1031" t="s">
        <v>112</v>
      </c>
      <c r="C48" s="1032" t="s">
        <v>273</v>
      </c>
      <c r="D48" s="1363">
        <v>162</v>
      </c>
      <c r="E48" s="1363">
        <v>92</v>
      </c>
      <c r="F48" s="1363">
        <v>60</v>
      </c>
      <c r="G48" s="1363">
        <v>10</v>
      </c>
      <c r="H48" s="1363">
        <v>23</v>
      </c>
      <c r="I48" s="1363">
        <v>60</v>
      </c>
      <c r="J48" s="1363">
        <v>80</v>
      </c>
    </row>
    <row r="49" spans="1:10">
      <c r="A49" s="1030" t="s">
        <v>113</v>
      </c>
      <c r="B49" s="1031" t="s">
        <v>310</v>
      </c>
      <c r="C49" s="1032" t="s">
        <v>272</v>
      </c>
      <c r="D49" s="1363">
        <v>66</v>
      </c>
      <c r="E49" s="1363">
        <v>46</v>
      </c>
      <c r="F49" s="1363">
        <v>19</v>
      </c>
      <c r="G49" s="1363">
        <v>1</v>
      </c>
      <c r="H49" s="1363">
        <v>3</v>
      </c>
      <c r="I49" s="1363">
        <v>30</v>
      </c>
      <c r="J49" s="1363">
        <v>33</v>
      </c>
    </row>
    <row r="50" spans="1:10">
      <c r="A50" s="1030" t="s">
        <v>115</v>
      </c>
      <c r="B50" s="1031" t="s">
        <v>116</v>
      </c>
      <c r="C50" s="1032" t="s">
        <v>272</v>
      </c>
      <c r="D50" s="1363">
        <v>3</v>
      </c>
      <c r="E50" s="1363">
        <v>3</v>
      </c>
      <c r="F50" s="1363">
        <v>0</v>
      </c>
      <c r="G50" s="1363">
        <v>0</v>
      </c>
      <c r="H50" s="1363">
        <v>0</v>
      </c>
      <c r="I50" s="1363">
        <v>1</v>
      </c>
      <c r="J50" s="1363">
        <v>2</v>
      </c>
    </row>
    <row r="51" spans="1:10">
      <c r="A51" s="1030" t="s">
        <v>119</v>
      </c>
      <c r="B51" s="1031" t="s">
        <v>277</v>
      </c>
      <c r="C51" s="1032" t="s">
        <v>271</v>
      </c>
      <c r="D51" s="1363">
        <v>14</v>
      </c>
      <c r="E51" s="1363">
        <v>5</v>
      </c>
      <c r="F51" s="1363">
        <v>9</v>
      </c>
      <c r="G51" s="1363">
        <v>0</v>
      </c>
      <c r="H51" s="1363">
        <v>2</v>
      </c>
      <c r="I51" s="1363">
        <v>7</v>
      </c>
      <c r="J51" s="1363">
        <v>5</v>
      </c>
    </row>
    <row r="52" spans="1:10">
      <c r="A52" s="1030" t="s">
        <v>121</v>
      </c>
      <c r="B52" s="1031" t="s">
        <v>122</v>
      </c>
      <c r="C52" s="1032" t="s">
        <v>271</v>
      </c>
      <c r="D52" s="1363">
        <v>31</v>
      </c>
      <c r="E52" s="1363">
        <v>15</v>
      </c>
      <c r="F52" s="1363">
        <v>15</v>
      </c>
      <c r="G52" s="1363">
        <v>1</v>
      </c>
      <c r="H52" s="1363">
        <v>6</v>
      </c>
      <c r="I52" s="1363">
        <v>15</v>
      </c>
      <c r="J52" s="1363">
        <v>10</v>
      </c>
    </row>
    <row r="53" spans="1:10">
      <c r="A53" s="1030" t="s">
        <v>123</v>
      </c>
      <c r="B53" s="1031" t="s">
        <v>296</v>
      </c>
      <c r="C53" s="1032" t="s">
        <v>273</v>
      </c>
      <c r="D53" s="1363">
        <v>5</v>
      </c>
      <c r="E53" s="1363">
        <v>1</v>
      </c>
      <c r="F53" s="1363">
        <v>4</v>
      </c>
      <c r="G53" s="1363">
        <v>0</v>
      </c>
      <c r="H53" s="1363">
        <v>1</v>
      </c>
      <c r="I53" s="1363">
        <v>3</v>
      </c>
      <c r="J53" s="1363">
        <v>1</v>
      </c>
    </row>
    <row r="54" spans="1:10">
      <c r="A54" s="1030" t="s">
        <v>125</v>
      </c>
      <c r="B54" s="1031" t="s">
        <v>126</v>
      </c>
      <c r="C54" s="1032" t="s">
        <v>274</v>
      </c>
      <c r="D54" s="1363">
        <v>2</v>
      </c>
      <c r="E54" s="1363">
        <v>1</v>
      </c>
      <c r="F54" s="1363">
        <v>1</v>
      </c>
      <c r="G54" s="1363">
        <v>0</v>
      </c>
      <c r="H54" s="1363">
        <v>0</v>
      </c>
      <c r="I54" s="1363">
        <v>0</v>
      </c>
      <c r="J54" s="1363">
        <v>2</v>
      </c>
    </row>
    <row r="55" spans="1:10">
      <c r="A55" s="1030" t="s">
        <v>127</v>
      </c>
      <c r="B55" s="1031" t="s">
        <v>128</v>
      </c>
      <c r="C55" s="1032" t="s">
        <v>273</v>
      </c>
      <c r="D55" s="1363">
        <v>14</v>
      </c>
      <c r="E55" s="1363">
        <v>6</v>
      </c>
      <c r="F55" s="1363">
        <v>8</v>
      </c>
      <c r="G55" s="1363">
        <v>0</v>
      </c>
      <c r="H55" s="1363">
        <v>3</v>
      </c>
      <c r="I55" s="1363">
        <v>7</v>
      </c>
      <c r="J55" s="1363">
        <v>4</v>
      </c>
    </row>
    <row r="56" spans="1:10">
      <c r="A56" s="1030" t="s">
        <v>129</v>
      </c>
      <c r="B56" s="1031" t="s">
        <v>130</v>
      </c>
      <c r="C56" s="1032" t="s">
        <v>273</v>
      </c>
      <c r="D56" s="1363">
        <v>8</v>
      </c>
      <c r="E56" s="1363">
        <v>5</v>
      </c>
      <c r="F56" s="1363">
        <v>3</v>
      </c>
      <c r="G56" s="1363">
        <v>0</v>
      </c>
      <c r="H56" s="1363">
        <v>0</v>
      </c>
      <c r="I56" s="1363">
        <v>5</v>
      </c>
      <c r="J56" s="1363">
        <v>3</v>
      </c>
    </row>
    <row r="57" spans="1:10">
      <c r="A57" s="1030" t="s">
        <v>131</v>
      </c>
      <c r="B57" s="1031" t="s">
        <v>132</v>
      </c>
      <c r="C57" s="1032" t="s">
        <v>275</v>
      </c>
      <c r="D57" s="1363">
        <v>112</v>
      </c>
      <c r="E57" s="1363">
        <v>110</v>
      </c>
      <c r="F57" s="1363">
        <v>0</v>
      </c>
      <c r="G57" s="1363">
        <v>2</v>
      </c>
      <c r="H57" s="1363">
        <v>17</v>
      </c>
      <c r="I57" s="1363">
        <v>65</v>
      </c>
      <c r="J57" s="1363">
        <v>31</v>
      </c>
    </row>
    <row r="58" spans="1:10">
      <c r="A58" s="1030" t="s">
        <v>133</v>
      </c>
      <c r="B58" s="1031" t="s">
        <v>134</v>
      </c>
      <c r="C58" s="1032" t="s">
        <v>274</v>
      </c>
      <c r="D58" s="1363">
        <v>23</v>
      </c>
      <c r="E58" s="1363">
        <v>18</v>
      </c>
      <c r="F58" s="1363">
        <v>4</v>
      </c>
      <c r="G58" s="1363">
        <v>1</v>
      </c>
      <c r="H58" s="1363">
        <v>2</v>
      </c>
      <c r="I58" s="1363">
        <v>6</v>
      </c>
      <c r="J58" s="1363">
        <v>16</v>
      </c>
    </row>
    <row r="59" spans="1:10">
      <c r="A59" s="1030" t="s">
        <v>135</v>
      </c>
      <c r="B59" s="1031" t="s">
        <v>136</v>
      </c>
      <c r="C59" s="1032" t="s">
        <v>274</v>
      </c>
      <c r="D59" s="1363">
        <v>13</v>
      </c>
      <c r="E59" s="1363">
        <v>7</v>
      </c>
      <c r="F59" s="1363">
        <v>6</v>
      </c>
      <c r="G59" s="1363">
        <v>0</v>
      </c>
      <c r="H59" s="1363">
        <v>2</v>
      </c>
      <c r="I59" s="1363">
        <v>5</v>
      </c>
      <c r="J59" s="1363">
        <v>6</v>
      </c>
    </row>
    <row r="60" spans="1:10">
      <c r="A60" s="1030" t="s">
        <v>137</v>
      </c>
      <c r="B60" s="1031" t="s">
        <v>138</v>
      </c>
      <c r="C60" s="1032" t="s">
        <v>273</v>
      </c>
      <c r="D60" s="1363">
        <v>15</v>
      </c>
      <c r="E60" s="1363">
        <v>7</v>
      </c>
      <c r="F60" s="1363">
        <v>8</v>
      </c>
      <c r="G60" s="1363">
        <v>0</v>
      </c>
      <c r="H60" s="1363">
        <v>3</v>
      </c>
      <c r="I60" s="1363">
        <v>5</v>
      </c>
      <c r="J60" s="1363">
        <v>7</v>
      </c>
    </row>
    <row r="61" spans="1:10">
      <c r="A61" s="1030" t="s">
        <v>141</v>
      </c>
      <c r="B61" s="1031" t="s">
        <v>142</v>
      </c>
      <c r="C61" s="1032" t="s">
        <v>274</v>
      </c>
      <c r="D61" s="1363">
        <v>11</v>
      </c>
      <c r="E61" s="1363">
        <v>9</v>
      </c>
      <c r="F61" s="1363">
        <v>1</v>
      </c>
      <c r="G61" s="1363">
        <v>1</v>
      </c>
      <c r="H61" s="1363">
        <v>0</v>
      </c>
      <c r="I61" s="1363">
        <v>2</v>
      </c>
      <c r="J61" s="1363">
        <v>9</v>
      </c>
    </row>
    <row r="62" spans="1:10">
      <c r="A62" s="1030" t="s">
        <v>147</v>
      </c>
      <c r="B62" s="1031" t="s">
        <v>148</v>
      </c>
      <c r="C62" s="1032" t="s">
        <v>271</v>
      </c>
      <c r="D62" s="1363">
        <v>4</v>
      </c>
      <c r="E62" s="1363">
        <v>4</v>
      </c>
      <c r="F62" s="1363">
        <v>0</v>
      </c>
      <c r="G62" s="1363">
        <v>0</v>
      </c>
      <c r="H62" s="1363">
        <v>0</v>
      </c>
      <c r="I62" s="1363">
        <v>3</v>
      </c>
      <c r="J62" s="1363">
        <v>1</v>
      </c>
    </row>
    <row r="63" spans="1:10">
      <c r="A63" s="1030" t="s">
        <v>149</v>
      </c>
      <c r="B63" s="1031" t="s">
        <v>150</v>
      </c>
      <c r="C63" s="1032" t="s">
        <v>272</v>
      </c>
      <c r="D63" s="1363">
        <v>60</v>
      </c>
      <c r="E63" s="1363">
        <v>26</v>
      </c>
      <c r="F63" s="1363">
        <v>32</v>
      </c>
      <c r="G63" s="1363">
        <v>2</v>
      </c>
      <c r="H63" s="1363">
        <v>2</v>
      </c>
      <c r="I63" s="1363">
        <v>25</v>
      </c>
      <c r="J63" s="1363">
        <v>34</v>
      </c>
    </row>
    <row r="64" spans="1:10">
      <c r="A64" s="1030" t="s">
        <v>151</v>
      </c>
      <c r="B64" s="1031" t="s">
        <v>152</v>
      </c>
      <c r="C64" s="1032" t="s">
        <v>273</v>
      </c>
      <c r="D64" s="1363">
        <v>9</v>
      </c>
      <c r="E64" s="1363">
        <v>3</v>
      </c>
      <c r="F64" s="1363">
        <v>5</v>
      </c>
      <c r="G64" s="1363">
        <v>1</v>
      </c>
      <c r="H64" s="1363">
        <v>0</v>
      </c>
      <c r="I64" s="1363">
        <v>7</v>
      </c>
      <c r="J64" s="1363">
        <v>2</v>
      </c>
    </row>
    <row r="65" spans="1:10">
      <c r="A65" s="1030" t="s">
        <v>153</v>
      </c>
      <c r="B65" s="1031" t="s">
        <v>154</v>
      </c>
      <c r="C65" s="1032" t="s">
        <v>275</v>
      </c>
      <c r="D65" s="1363">
        <v>55</v>
      </c>
      <c r="E65" s="1363">
        <v>51</v>
      </c>
      <c r="F65" s="1363">
        <v>2</v>
      </c>
      <c r="G65" s="1363">
        <v>2</v>
      </c>
      <c r="H65" s="1363">
        <v>5</v>
      </c>
      <c r="I65" s="1363">
        <v>18</v>
      </c>
      <c r="J65" s="1363">
        <v>33</v>
      </c>
    </row>
    <row r="66" spans="1:10">
      <c r="A66" s="1030" t="s">
        <v>155</v>
      </c>
      <c r="B66" s="1031" t="s">
        <v>156</v>
      </c>
      <c r="C66" s="1032" t="s">
        <v>272</v>
      </c>
      <c r="D66" s="1363">
        <v>24</v>
      </c>
      <c r="E66" s="1363">
        <v>12</v>
      </c>
      <c r="F66" s="1363">
        <v>11</v>
      </c>
      <c r="G66" s="1363">
        <v>1</v>
      </c>
      <c r="H66" s="1363">
        <v>3</v>
      </c>
      <c r="I66" s="1363">
        <v>7</v>
      </c>
      <c r="J66" s="1363">
        <v>14</v>
      </c>
    </row>
    <row r="67" spans="1:10">
      <c r="A67" s="1030" t="s">
        <v>157</v>
      </c>
      <c r="B67" s="1031" t="s">
        <v>158</v>
      </c>
      <c r="C67" s="1032" t="s">
        <v>273</v>
      </c>
      <c r="D67" s="1363">
        <v>9</v>
      </c>
      <c r="E67" s="1363">
        <v>7</v>
      </c>
      <c r="F67" s="1363">
        <v>2</v>
      </c>
      <c r="G67" s="1363">
        <v>0</v>
      </c>
      <c r="H67" s="1363">
        <v>2</v>
      </c>
      <c r="I67" s="1363">
        <v>7</v>
      </c>
      <c r="J67" s="1363">
        <v>0</v>
      </c>
    </row>
    <row r="68" spans="1:10">
      <c r="A68" s="1030" t="s">
        <v>163</v>
      </c>
      <c r="B68" s="1031" t="s">
        <v>164</v>
      </c>
      <c r="C68" s="1032" t="s">
        <v>271</v>
      </c>
      <c r="D68" s="1363">
        <v>21</v>
      </c>
      <c r="E68" s="1363">
        <v>9</v>
      </c>
      <c r="F68" s="1363">
        <v>12</v>
      </c>
      <c r="G68" s="1363">
        <v>0</v>
      </c>
      <c r="H68" s="1363">
        <v>1</v>
      </c>
      <c r="I68" s="1363">
        <v>11</v>
      </c>
      <c r="J68" s="1363">
        <v>9</v>
      </c>
    </row>
    <row r="69" spans="1:10">
      <c r="A69" s="1030" t="s">
        <v>165</v>
      </c>
      <c r="B69" s="1031" t="s">
        <v>166</v>
      </c>
      <c r="C69" s="1032" t="s">
        <v>273</v>
      </c>
      <c r="D69" s="1363">
        <v>12</v>
      </c>
      <c r="E69" s="1363">
        <v>10</v>
      </c>
      <c r="F69" s="1363">
        <v>2</v>
      </c>
      <c r="G69" s="1363">
        <v>0</v>
      </c>
      <c r="H69" s="1363">
        <v>3</v>
      </c>
      <c r="I69" s="1363">
        <v>6</v>
      </c>
      <c r="J69" s="1363">
        <v>3</v>
      </c>
    </row>
    <row r="70" spans="1:10">
      <c r="A70" s="1030" t="s">
        <v>169</v>
      </c>
      <c r="B70" s="1031" t="s">
        <v>170</v>
      </c>
      <c r="C70" s="1032" t="s">
        <v>273</v>
      </c>
      <c r="D70" s="1363">
        <v>15</v>
      </c>
      <c r="E70" s="1363">
        <v>4</v>
      </c>
      <c r="F70" s="1363">
        <v>11</v>
      </c>
      <c r="G70" s="1363">
        <v>0</v>
      </c>
      <c r="H70" s="1363">
        <v>0</v>
      </c>
      <c r="I70" s="1363">
        <v>7</v>
      </c>
      <c r="J70" s="1363">
        <v>8</v>
      </c>
    </row>
    <row r="71" spans="1:10">
      <c r="A71" s="1030" t="s">
        <v>171</v>
      </c>
      <c r="B71" s="1031" t="s">
        <v>172</v>
      </c>
      <c r="C71" s="1032" t="s">
        <v>274</v>
      </c>
      <c r="D71" s="1363">
        <v>16</v>
      </c>
      <c r="E71" s="1363">
        <v>7</v>
      </c>
      <c r="F71" s="1363">
        <v>8</v>
      </c>
      <c r="G71" s="1363">
        <v>1</v>
      </c>
      <c r="H71" s="1363">
        <v>1</v>
      </c>
      <c r="I71" s="1363">
        <v>8</v>
      </c>
      <c r="J71" s="1363">
        <v>8</v>
      </c>
    </row>
    <row r="72" spans="1:10">
      <c r="A72" s="1030" t="s">
        <v>173</v>
      </c>
      <c r="B72" s="1031" t="s">
        <v>174</v>
      </c>
      <c r="C72" s="1032" t="s">
        <v>274</v>
      </c>
      <c r="D72" s="1363">
        <v>23</v>
      </c>
      <c r="E72" s="1363">
        <v>23</v>
      </c>
      <c r="F72" s="1363">
        <v>0</v>
      </c>
      <c r="G72" s="1363">
        <v>0</v>
      </c>
      <c r="H72" s="1363">
        <v>0</v>
      </c>
      <c r="I72" s="1363">
        <v>7</v>
      </c>
      <c r="J72" s="1363">
        <v>16</v>
      </c>
    </row>
    <row r="73" spans="1:10">
      <c r="A73" s="1030" t="s">
        <v>175</v>
      </c>
      <c r="B73" s="1031" t="s">
        <v>176</v>
      </c>
      <c r="C73" s="1032" t="s">
        <v>275</v>
      </c>
      <c r="D73" s="1363">
        <v>25</v>
      </c>
      <c r="E73" s="1363">
        <v>21</v>
      </c>
      <c r="F73" s="1363">
        <v>0</v>
      </c>
      <c r="G73" s="1363">
        <v>4</v>
      </c>
      <c r="H73" s="1363">
        <v>1</v>
      </c>
      <c r="I73" s="1363">
        <v>7</v>
      </c>
      <c r="J73" s="1363">
        <v>17</v>
      </c>
    </row>
    <row r="74" spans="1:10">
      <c r="A74" s="1030" t="s">
        <v>179</v>
      </c>
      <c r="B74" s="1031" t="s">
        <v>180</v>
      </c>
      <c r="C74" s="1032" t="s">
        <v>272</v>
      </c>
      <c r="D74" s="1363">
        <v>43</v>
      </c>
      <c r="E74" s="1363">
        <v>27</v>
      </c>
      <c r="F74" s="1363">
        <v>14</v>
      </c>
      <c r="G74" s="1363">
        <v>2</v>
      </c>
      <c r="H74" s="1363">
        <v>1</v>
      </c>
      <c r="I74" s="1363">
        <v>12</v>
      </c>
      <c r="J74" s="1363">
        <v>30</v>
      </c>
    </row>
    <row r="75" spans="1:10">
      <c r="A75" s="1030" t="s">
        <v>183</v>
      </c>
      <c r="B75" s="1031" t="s">
        <v>184</v>
      </c>
      <c r="C75" s="1032" t="s">
        <v>273</v>
      </c>
      <c r="D75" s="1363">
        <v>11</v>
      </c>
      <c r="E75" s="1363">
        <v>6</v>
      </c>
      <c r="F75" s="1363">
        <v>5</v>
      </c>
      <c r="G75" s="1363">
        <v>0</v>
      </c>
      <c r="H75" s="1363">
        <v>1</v>
      </c>
      <c r="I75" s="1363">
        <v>7</v>
      </c>
      <c r="J75" s="1363">
        <v>3</v>
      </c>
    </row>
    <row r="76" spans="1:10">
      <c r="A76" s="1030" t="s">
        <v>185</v>
      </c>
      <c r="B76" s="1031" t="s">
        <v>186</v>
      </c>
      <c r="C76" s="1032" t="s">
        <v>273</v>
      </c>
      <c r="D76" s="1363">
        <v>28</v>
      </c>
      <c r="E76" s="1363">
        <v>12</v>
      </c>
      <c r="F76" s="1363">
        <v>16</v>
      </c>
      <c r="G76" s="1363">
        <v>0</v>
      </c>
      <c r="H76" s="1363">
        <v>4</v>
      </c>
      <c r="I76" s="1363">
        <v>12</v>
      </c>
      <c r="J76" s="1363">
        <v>12</v>
      </c>
    </row>
    <row r="77" spans="1:10">
      <c r="A77" s="1030" t="s">
        <v>187</v>
      </c>
      <c r="B77" s="1031" t="s">
        <v>188</v>
      </c>
      <c r="C77" s="1032" t="s">
        <v>271</v>
      </c>
      <c r="D77" s="1363">
        <v>6</v>
      </c>
      <c r="E77" s="1363">
        <v>4</v>
      </c>
      <c r="F77" s="1363">
        <v>2</v>
      </c>
      <c r="G77" s="1363">
        <v>0</v>
      </c>
      <c r="H77" s="1363">
        <v>4</v>
      </c>
      <c r="I77" s="1363">
        <v>2</v>
      </c>
      <c r="J77" s="1363">
        <v>0</v>
      </c>
    </row>
    <row r="78" spans="1:10">
      <c r="A78" s="1030" t="s">
        <v>189</v>
      </c>
      <c r="B78" s="1031" t="s">
        <v>190</v>
      </c>
      <c r="C78" s="1032" t="s">
        <v>274</v>
      </c>
      <c r="D78" s="1363">
        <v>80</v>
      </c>
      <c r="E78" s="1363">
        <v>48</v>
      </c>
      <c r="F78" s="1363">
        <v>22</v>
      </c>
      <c r="G78" s="1363">
        <v>10</v>
      </c>
      <c r="H78" s="1363">
        <v>9</v>
      </c>
      <c r="I78" s="1363">
        <v>23</v>
      </c>
      <c r="J78" s="1363">
        <v>48</v>
      </c>
    </row>
    <row r="79" spans="1:10">
      <c r="A79" s="1030" t="s">
        <v>191</v>
      </c>
      <c r="B79" s="1031" t="s">
        <v>192</v>
      </c>
      <c r="C79" s="1032" t="s">
        <v>275</v>
      </c>
      <c r="D79" s="1363">
        <v>49</v>
      </c>
      <c r="E79" s="1363">
        <v>44</v>
      </c>
      <c r="F79" s="1363">
        <v>4</v>
      </c>
      <c r="G79" s="1363">
        <v>1</v>
      </c>
      <c r="H79" s="1363">
        <v>6</v>
      </c>
      <c r="I79" s="1363">
        <v>19</v>
      </c>
      <c r="J79" s="1363">
        <v>25</v>
      </c>
    </row>
    <row r="80" spans="1:10">
      <c r="A80" s="1030" t="s">
        <v>195</v>
      </c>
      <c r="B80" s="1031" t="s">
        <v>196</v>
      </c>
      <c r="C80" s="1032" t="s">
        <v>274</v>
      </c>
      <c r="D80" s="1363">
        <v>2</v>
      </c>
      <c r="E80" s="1363">
        <v>2</v>
      </c>
      <c r="F80" s="1363">
        <v>0</v>
      </c>
      <c r="G80" s="1363">
        <v>0</v>
      </c>
      <c r="H80" s="1363">
        <v>0</v>
      </c>
      <c r="I80" s="1363">
        <v>0</v>
      </c>
      <c r="J80" s="1363">
        <v>2</v>
      </c>
    </row>
    <row r="81" spans="1:10">
      <c r="A81" s="1030" t="s">
        <v>199</v>
      </c>
      <c r="B81" s="1031" t="s">
        <v>279</v>
      </c>
      <c r="C81" s="1032" t="s">
        <v>273</v>
      </c>
      <c r="D81" s="1363">
        <v>5</v>
      </c>
      <c r="E81" s="1363">
        <v>4</v>
      </c>
      <c r="F81" s="1363">
        <v>1</v>
      </c>
      <c r="G81" s="1363">
        <v>0</v>
      </c>
      <c r="H81" s="1363">
        <v>2</v>
      </c>
      <c r="I81" s="1363">
        <v>1</v>
      </c>
      <c r="J81" s="1363">
        <v>2</v>
      </c>
    </row>
    <row r="82" spans="1:10">
      <c r="A82" s="1030" t="s">
        <v>203</v>
      </c>
      <c r="B82" s="1031" t="s">
        <v>311</v>
      </c>
      <c r="C82" s="1032" t="s">
        <v>272</v>
      </c>
      <c r="D82" s="1363">
        <v>103</v>
      </c>
      <c r="E82" s="1363">
        <v>95</v>
      </c>
      <c r="F82" s="1363">
        <v>4</v>
      </c>
      <c r="G82" s="1363">
        <v>4</v>
      </c>
      <c r="H82" s="1363">
        <v>5</v>
      </c>
      <c r="I82" s="1363">
        <v>36</v>
      </c>
      <c r="J82" s="1363">
        <v>63</v>
      </c>
    </row>
    <row r="83" spans="1:10">
      <c r="A83" s="1030" t="s">
        <v>205</v>
      </c>
      <c r="B83" s="1031" t="s">
        <v>303</v>
      </c>
      <c r="C83" s="1032" t="s">
        <v>272</v>
      </c>
      <c r="D83" s="1363">
        <v>23</v>
      </c>
      <c r="E83" s="1363">
        <v>20</v>
      </c>
      <c r="F83" s="1363">
        <v>2</v>
      </c>
      <c r="G83" s="1363">
        <v>1</v>
      </c>
      <c r="H83" s="1363">
        <v>1</v>
      </c>
      <c r="I83" s="1363">
        <v>8</v>
      </c>
      <c r="J83" s="1363">
        <v>14</v>
      </c>
    </row>
    <row r="84" spans="1:10">
      <c r="A84" s="1030" t="s">
        <v>207</v>
      </c>
      <c r="B84" s="1031" t="s">
        <v>304</v>
      </c>
      <c r="C84" s="1032" t="s">
        <v>274</v>
      </c>
      <c r="D84" s="1363">
        <v>83</v>
      </c>
      <c r="E84" s="1363">
        <v>74</v>
      </c>
      <c r="F84" s="1363">
        <v>0</v>
      </c>
      <c r="G84" s="1363">
        <v>9</v>
      </c>
      <c r="H84" s="1363">
        <v>2</v>
      </c>
      <c r="I84" s="1363">
        <v>23</v>
      </c>
      <c r="J84" s="1363">
        <v>58</v>
      </c>
    </row>
    <row r="85" spans="1:10">
      <c r="A85" s="1030" t="s">
        <v>209</v>
      </c>
      <c r="B85" s="1031" t="s">
        <v>210</v>
      </c>
      <c r="C85" s="1032" t="s">
        <v>275</v>
      </c>
      <c r="D85" s="1363">
        <v>88</v>
      </c>
      <c r="E85" s="1363">
        <v>82</v>
      </c>
      <c r="F85" s="1363">
        <v>2</v>
      </c>
      <c r="G85" s="1363">
        <v>4</v>
      </c>
      <c r="H85" s="1363">
        <v>9</v>
      </c>
      <c r="I85" s="1363">
        <v>32</v>
      </c>
      <c r="J85" s="1363">
        <v>47</v>
      </c>
    </row>
    <row r="86" spans="1:10">
      <c r="A86" s="1030" t="s">
        <v>211</v>
      </c>
      <c r="B86" s="1031" t="s">
        <v>212</v>
      </c>
      <c r="C86" s="1032" t="s">
        <v>275</v>
      </c>
      <c r="D86" s="1363">
        <v>55</v>
      </c>
      <c r="E86" s="1363">
        <v>49</v>
      </c>
      <c r="F86" s="1363">
        <v>0</v>
      </c>
      <c r="G86" s="1363">
        <v>6</v>
      </c>
      <c r="H86" s="1363">
        <v>3</v>
      </c>
      <c r="I86" s="1363">
        <v>19</v>
      </c>
      <c r="J86" s="1363">
        <v>34</v>
      </c>
    </row>
    <row r="87" spans="1:10">
      <c r="A87" s="1030" t="s">
        <v>213</v>
      </c>
      <c r="B87" s="1031" t="s">
        <v>214</v>
      </c>
      <c r="C87" s="1032" t="s">
        <v>274</v>
      </c>
      <c r="D87" s="1363">
        <v>62</v>
      </c>
      <c r="E87" s="1363">
        <v>59</v>
      </c>
      <c r="F87" s="1363">
        <v>3</v>
      </c>
      <c r="G87" s="1363">
        <v>0</v>
      </c>
      <c r="H87" s="1363">
        <v>10</v>
      </c>
      <c r="I87" s="1363">
        <v>24</v>
      </c>
      <c r="J87" s="1363">
        <v>30</v>
      </c>
    </row>
    <row r="88" spans="1:10">
      <c r="A88" s="1030" t="s">
        <v>215</v>
      </c>
      <c r="B88" s="1031" t="s">
        <v>216</v>
      </c>
      <c r="C88" s="1032" t="s">
        <v>275</v>
      </c>
      <c r="D88" s="1363">
        <v>74</v>
      </c>
      <c r="E88" s="1363">
        <v>71</v>
      </c>
      <c r="F88" s="1363">
        <v>1</v>
      </c>
      <c r="G88" s="1363">
        <v>2</v>
      </c>
      <c r="H88" s="1363">
        <v>15</v>
      </c>
      <c r="I88" s="1363">
        <v>33</v>
      </c>
      <c r="J88" s="1363">
        <v>27</v>
      </c>
    </row>
    <row r="89" spans="1:10">
      <c r="A89" s="1030" t="s">
        <v>217</v>
      </c>
      <c r="B89" s="1031" t="s">
        <v>218</v>
      </c>
      <c r="C89" s="1032" t="s">
        <v>271</v>
      </c>
      <c r="D89" s="1363">
        <v>11</v>
      </c>
      <c r="E89" s="1363">
        <v>4</v>
      </c>
      <c r="F89" s="1363">
        <v>7</v>
      </c>
      <c r="G89" s="1363">
        <v>0</v>
      </c>
      <c r="H89" s="1363">
        <v>1</v>
      </c>
      <c r="I89" s="1363">
        <v>2</v>
      </c>
      <c r="J89" s="1363">
        <v>8</v>
      </c>
    </row>
    <row r="90" spans="1:10">
      <c r="A90" s="1030" t="s">
        <v>219</v>
      </c>
      <c r="B90" s="1031" t="s">
        <v>220</v>
      </c>
      <c r="C90" s="1032" t="s">
        <v>274</v>
      </c>
      <c r="D90" s="1363">
        <v>43</v>
      </c>
      <c r="E90" s="1363">
        <v>29</v>
      </c>
      <c r="F90" s="1363">
        <v>12</v>
      </c>
      <c r="G90" s="1363">
        <v>2</v>
      </c>
      <c r="H90" s="1363">
        <v>4</v>
      </c>
      <c r="I90" s="1363">
        <v>13</v>
      </c>
      <c r="J90" s="1363">
        <v>26</v>
      </c>
    </row>
    <row r="91" spans="1:10">
      <c r="A91" s="1030" t="s">
        <v>221</v>
      </c>
      <c r="B91" s="1031" t="s">
        <v>222</v>
      </c>
      <c r="C91" s="1032" t="s">
        <v>274</v>
      </c>
      <c r="D91" s="1363">
        <v>13</v>
      </c>
      <c r="E91" s="1363">
        <v>10</v>
      </c>
      <c r="F91" s="1363">
        <v>3</v>
      </c>
      <c r="G91" s="1363">
        <v>0</v>
      </c>
      <c r="H91" s="1363">
        <v>1</v>
      </c>
      <c r="I91" s="1363">
        <v>7</v>
      </c>
      <c r="J91" s="1363">
        <v>5</v>
      </c>
    </row>
    <row r="92" spans="1:10">
      <c r="A92" s="1030" t="s">
        <v>225</v>
      </c>
      <c r="B92" s="1031" t="s">
        <v>226</v>
      </c>
      <c r="C92" s="1032" t="s">
        <v>271</v>
      </c>
      <c r="D92" s="1363">
        <v>10</v>
      </c>
      <c r="E92" s="1363">
        <v>2</v>
      </c>
      <c r="F92" s="1363">
        <v>8</v>
      </c>
      <c r="G92" s="1363">
        <v>0</v>
      </c>
      <c r="H92" s="1363">
        <v>2</v>
      </c>
      <c r="I92" s="1363">
        <v>4</v>
      </c>
      <c r="J92" s="1363">
        <v>4</v>
      </c>
    </row>
    <row r="93" spans="1:10">
      <c r="A93" s="1030" t="s">
        <v>227</v>
      </c>
      <c r="B93" s="1031" t="s">
        <v>228</v>
      </c>
      <c r="C93" s="1032" t="s">
        <v>271</v>
      </c>
      <c r="D93" s="1363">
        <v>13</v>
      </c>
      <c r="E93" s="1363">
        <v>5</v>
      </c>
      <c r="F93" s="1363">
        <v>8</v>
      </c>
      <c r="G93" s="1363">
        <v>0</v>
      </c>
      <c r="H93" s="1363">
        <v>1</v>
      </c>
      <c r="I93" s="1363">
        <v>5</v>
      </c>
      <c r="J93" s="1363">
        <v>7</v>
      </c>
    </row>
    <row r="94" spans="1:10">
      <c r="A94" s="1030" t="s">
        <v>229</v>
      </c>
      <c r="B94" s="1031" t="s">
        <v>230</v>
      </c>
      <c r="C94" s="1032" t="s">
        <v>275</v>
      </c>
      <c r="D94" s="1363">
        <v>80</v>
      </c>
      <c r="E94" s="1363">
        <v>73</v>
      </c>
      <c r="F94" s="1363">
        <v>6</v>
      </c>
      <c r="G94" s="1363">
        <v>1</v>
      </c>
      <c r="H94" s="1363">
        <v>8</v>
      </c>
      <c r="I94" s="1363">
        <v>41</v>
      </c>
      <c r="J94" s="1363">
        <v>31</v>
      </c>
    </row>
    <row r="95" spans="1:10">
      <c r="A95" s="1030" t="s">
        <v>233</v>
      </c>
      <c r="B95" s="1031" t="s">
        <v>234</v>
      </c>
      <c r="C95" s="1032" t="s">
        <v>274</v>
      </c>
      <c r="D95" s="1363">
        <v>15</v>
      </c>
      <c r="E95" s="1363">
        <v>14</v>
      </c>
      <c r="F95" s="1363">
        <v>1</v>
      </c>
      <c r="G95" s="1363">
        <v>0</v>
      </c>
      <c r="H95" s="1363">
        <v>1</v>
      </c>
      <c r="I95" s="1363">
        <v>7</v>
      </c>
      <c r="J95" s="1363">
        <v>7</v>
      </c>
    </row>
    <row r="96" spans="1:10">
      <c r="A96" s="1030" t="s">
        <v>235</v>
      </c>
      <c r="B96" s="1031" t="s">
        <v>236</v>
      </c>
      <c r="C96" s="1032" t="s">
        <v>275</v>
      </c>
      <c r="D96" s="1363">
        <v>233</v>
      </c>
      <c r="E96" s="1363">
        <v>215</v>
      </c>
      <c r="F96" s="1363">
        <v>5</v>
      </c>
      <c r="G96" s="1363">
        <v>13</v>
      </c>
      <c r="H96" s="1363">
        <v>45</v>
      </c>
      <c r="I96" s="1363">
        <v>108</v>
      </c>
      <c r="J96" s="1363">
        <v>85</v>
      </c>
    </row>
    <row r="97" spans="1:10">
      <c r="A97" s="1030" t="s">
        <v>237</v>
      </c>
      <c r="B97" s="1031" t="s">
        <v>238</v>
      </c>
      <c r="C97" s="1032" t="s">
        <v>273</v>
      </c>
      <c r="D97" s="1363">
        <v>11</v>
      </c>
      <c r="E97" s="1363">
        <v>4</v>
      </c>
      <c r="F97" s="1363">
        <v>7</v>
      </c>
      <c r="G97" s="1363">
        <v>0</v>
      </c>
      <c r="H97" s="1363">
        <v>0</v>
      </c>
      <c r="I97" s="1363">
        <v>6</v>
      </c>
      <c r="J97" s="1363">
        <v>5</v>
      </c>
    </row>
    <row r="98" spans="1:10">
      <c r="A98" s="1030" t="s">
        <v>243</v>
      </c>
      <c r="B98" s="1031" t="s">
        <v>244</v>
      </c>
      <c r="C98" s="1032" t="s">
        <v>275</v>
      </c>
      <c r="D98" s="1363">
        <v>53</v>
      </c>
      <c r="E98" s="1363">
        <v>52</v>
      </c>
      <c r="F98" s="1363">
        <v>1</v>
      </c>
      <c r="G98" s="1363">
        <v>0</v>
      </c>
      <c r="H98" s="1363">
        <v>7</v>
      </c>
      <c r="I98" s="1363">
        <v>30</v>
      </c>
      <c r="J98" s="1363">
        <v>17</v>
      </c>
    </row>
    <row r="99" spans="1:10">
      <c r="A99" s="1030" t="s">
        <v>245</v>
      </c>
      <c r="B99" s="1031" t="s">
        <v>246</v>
      </c>
      <c r="C99" s="1032" t="s">
        <v>275</v>
      </c>
      <c r="D99" s="1363">
        <v>46</v>
      </c>
      <c r="E99" s="1363">
        <v>44</v>
      </c>
      <c r="F99" s="1363">
        <v>2</v>
      </c>
      <c r="G99" s="1363">
        <v>0</v>
      </c>
      <c r="H99" s="1363">
        <v>2</v>
      </c>
      <c r="I99" s="1363">
        <v>9</v>
      </c>
      <c r="J99" s="1363">
        <v>35</v>
      </c>
    </row>
    <row r="100" spans="1:10">
      <c r="A100" s="1030" t="s">
        <v>247</v>
      </c>
      <c r="B100" s="1031" t="s">
        <v>248</v>
      </c>
      <c r="C100" s="1032" t="s">
        <v>271</v>
      </c>
      <c r="D100" s="1363">
        <v>30</v>
      </c>
      <c r="E100" s="1363">
        <v>18</v>
      </c>
      <c r="F100" s="1363">
        <v>11</v>
      </c>
      <c r="G100" s="1363">
        <v>1</v>
      </c>
      <c r="H100" s="1363">
        <v>12</v>
      </c>
      <c r="I100" s="1363">
        <v>12</v>
      </c>
      <c r="J100" s="1363">
        <v>7</v>
      </c>
    </row>
    <row r="101" spans="1:10">
      <c r="A101" s="1030" t="s">
        <v>14</v>
      </c>
      <c r="B101" s="1031" t="s">
        <v>15</v>
      </c>
      <c r="C101" s="1032" t="s">
        <v>274</v>
      </c>
      <c r="D101" s="1363">
        <v>41</v>
      </c>
      <c r="E101" s="1363">
        <v>19</v>
      </c>
      <c r="F101" s="1363">
        <v>20</v>
      </c>
      <c r="G101" s="1363">
        <v>2</v>
      </c>
      <c r="H101" s="1363">
        <v>1</v>
      </c>
      <c r="I101" s="1363">
        <v>10</v>
      </c>
      <c r="J101" s="1363">
        <v>30</v>
      </c>
    </row>
    <row r="102" spans="1:10">
      <c r="A102" s="1030" t="s">
        <v>35</v>
      </c>
      <c r="B102" s="1031" t="s">
        <v>36</v>
      </c>
      <c r="C102" s="1032" t="s">
        <v>275</v>
      </c>
      <c r="D102" s="1363">
        <v>72</v>
      </c>
      <c r="E102" s="1363">
        <v>67</v>
      </c>
      <c r="F102" s="1363">
        <v>3</v>
      </c>
      <c r="G102" s="1363">
        <v>2</v>
      </c>
      <c r="H102" s="1363">
        <v>6</v>
      </c>
      <c r="I102" s="1363">
        <v>26</v>
      </c>
      <c r="J102" s="1363">
        <v>40</v>
      </c>
    </row>
    <row r="103" spans="1:10">
      <c r="A103" s="1030" t="s">
        <v>53</v>
      </c>
      <c r="B103" s="1031" t="s">
        <v>54</v>
      </c>
      <c r="C103" s="1032" t="s">
        <v>272</v>
      </c>
      <c r="D103" s="1363">
        <v>74</v>
      </c>
      <c r="E103" s="1363">
        <v>39</v>
      </c>
      <c r="F103" s="1363">
        <v>31</v>
      </c>
      <c r="G103" s="1363">
        <v>4</v>
      </c>
      <c r="H103" s="1363">
        <v>7</v>
      </c>
      <c r="I103" s="1363">
        <v>29</v>
      </c>
      <c r="J103" s="1363">
        <v>38</v>
      </c>
    </row>
    <row r="104" spans="1:10">
      <c r="A104" s="1030" t="s">
        <v>55</v>
      </c>
      <c r="B104" s="1031" t="s">
        <v>56</v>
      </c>
      <c r="C104" s="1032" t="s">
        <v>271</v>
      </c>
      <c r="D104" s="1363">
        <v>161</v>
      </c>
      <c r="E104" s="1363">
        <v>79</v>
      </c>
      <c r="F104" s="1363">
        <v>78</v>
      </c>
      <c r="G104" s="1363">
        <v>4</v>
      </c>
      <c r="H104" s="1363">
        <v>23</v>
      </c>
      <c r="I104" s="1363">
        <v>75</v>
      </c>
      <c r="J104" s="1363">
        <v>65</v>
      </c>
    </row>
    <row r="105" spans="1:10">
      <c r="A105" s="1030" t="s">
        <v>67</v>
      </c>
      <c r="B105" s="1031" t="s">
        <v>68</v>
      </c>
      <c r="C105" s="1032" t="s">
        <v>272</v>
      </c>
      <c r="D105" s="1363">
        <v>85</v>
      </c>
      <c r="E105" s="1363">
        <v>51</v>
      </c>
      <c r="F105" s="1363">
        <v>32</v>
      </c>
      <c r="G105" s="1363">
        <v>2</v>
      </c>
      <c r="H105" s="1363">
        <v>8</v>
      </c>
      <c r="I105" s="1363">
        <v>29</v>
      </c>
      <c r="J105" s="1363">
        <v>48</v>
      </c>
    </row>
    <row r="106" spans="1:10">
      <c r="A106" s="1030" t="s">
        <v>83</v>
      </c>
      <c r="B106" s="1031" t="s">
        <v>84</v>
      </c>
      <c r="C106" s="1032" t="s">
        <v>271</v>
      </c>
      <c r="D106" s="1363">
        <v>9</v>
      </c>
      <c r="E106" s="1363">
        <v>1</v>
      </c>
      <c r="F106" s="1363">
        <v>8</v>
      </c>
      <c r="G106" s="1363">
        <v>0</v>
      </c>
      <c r="H106" s="1363">
        <v>1</v>
      </c>
      <c r="I106" s="1363">
        <v>8</v>
      </c>
      <c r="J106" s="1363">
        <v>1</v>
      </c>
    </row>
    <row r="107" spans="1:10">
      <c r="A107" s="1030" t="s">
        <v>89</v>
      </c>
      <c r="B107" s="1031" t="s">
        <v>90</v>
      </c>
      <c r="C107" s="1032" t="s">
        <v>274</v>
      </c>
      <c r="D107" s="1363">
        <v>26</v>
      </c>
      <c r="E107" s="1363">
        <v>20</v>
      </c>
      <c r="F107" s="1363">
        <v>5</v>
      </c>
      <c r="G107" s="1363">
        <v>1</v>
      </c>
      <c r="H107" s="1363">
        <v>2</v>
      </c>
      <c r="I107" s="1363">
        <v>8</v>
      </c>
      <c r="J107" s="1363">
        <v>16</v>
      </c>
    </row>
    <row r="108" spans="1:10">
      <c r="A108" s="1030" t="s">
        <v>91</v>
      </c>
      <c r="B108" s="1031" t="s">
        <v>92</v>
      </c>
      <c r="C108" s="1032" t="s">
        <v>275</v>
      </c>
      <c r="D108" s="1363">
        <v>13</v>
      </c>
      <c r="E108" s="1363">
        <v>13</v>
      </c>
      <c r="F108" s="1363">
        <v>0</v>
      </c>
      <c r="G108" s="1363">
        <v>0</v>
      </c>
      <c r="H108" s="1363">
        <v>0</v>
      </c>
      <c r="I108" s="1363">
        <v>6</v>
      </c>
      <c r="J108" s="1363">
        <v>7</v>
      </c>
    </row>
    <row r="109" spans="1:10">
      <c r="A109" s="1030" t="s">
        <v>107</v>
      </c>
      <c r="B109" s="1031" t="s">
        <v>108</v>
      </c>
      <c r="C109" s="1032" t="s">
        <v>271</v>
      </c>
      <c r="D109" s="1363">
        <v>116</v>
      </c>
      <c r="E109" s="1363">
        <v>39</v>
      </c>
      <c r="F109" s="1363">
        <v>76</v>
      </c>
      <c r="G109" s="1363">
        <v>1</v>
      </c>
      <c r="H109" s="1363">
        <v>18</v>
      </c>
      <c r="I109" s="1363">
        <v>51</v>
      </c>
      <c r="J109" s="1363">
        <v>48</v>
      </c>
    </row>
    <row r="110" spans="1:10">
      <c r="A110" s="1030" t="s">
        <v>117</v>
      </c>
      <c r="B110" s="1031" t="s">
        <v>118</v>
      </c>
      <c r="C110" s="1032" t="s">
        <v>273</v>
      </c>
      <c r="D110" s="1363">
        <v>20</v>
      </c>
      <c r="E110" s="1363">
        <v>8</v>
      </c>
      <c r="F110" s="1363">
        <v>12</v>
      </c>
      <c r="G110" s="1363">
        <v>0</v>
      </c>
      <c r="H110" s="1363">
        <v>8</v>
      </c>
      <c r="I110" s="1363">
        <v>6</v>
      </c>
      <c r="J110" s="1363">
        <v>6</v>
      </c>
    </row>
    <row r="111" spans="1:10">
      <c r="A111" s="1030" t="s">
        <v>139</v>
      </c>
      <c r="B111" s="1031" t="s">
        <v>140</v>
      </c>
      <c r="C111" s="1032" t="s">
        <v>272</v>
      </c>
      <c r="D111" s="1363">
        <v>148</v>
      </c>
      <c r="E111" s="1363">
        <v>94</v>
      </c>
      <c r="F111" s="1363">
        <v>52</v>
      </c>
      <c r="G111" s="1363">
        <v>2</v>
      </c>
      <c r="H111" s="1363">
        <v>5</v>
      </c>
      <c r="I111" s="1363">
        <v>53</v>
      </c>
      <c r="J111" s="1363">
        <v>90</v>
      </c>
    </row>
    <row r="112" spans="1:10">
      <c r="A112" s="1030" t="s">
        <v>143</v>
      </c>
      <c r="B112" s="1031" t="s">
        <v>144</v>
      </c>
      <c r="C112" s="1032" t="s">
        <v>274</v>
      </c>
      <c r="D112" s="1363">
        <v>5</v>
      </c>
      <c r="E112" s="1363">
        <v>3</v>
      </c>
      <c r="F112" s="1363">
        <v>2</v>
      </c>
      <c r="G112" s="1363">
        <v>0</v>
      </c>
      <c r="H112" s="1363">
        <v>1</v>
      </c>
      <c r="I112" s="1363">
        <v>1</v>
      </c>
      <c r="J112" s="1363">
        <v>3</v>
      </c>
    </row>
    <row r="113" spans="1:10">
      <c r="A113" s="1030" t="s">
        <v>145</v>
      </c>
      <c r="B113" s="1031" t="s">
        <v>146</v>
      </c>
      <c r="C113" s="1032" t="s">
        <v>274</v>
      </c>
      <c r="D113" s="1363">
        <v>2</v>
      </c>
      <c r="E113" s="1363">
        <v>2</v>
      </c>
      <c r="F113" s="1363">
        <v>0</v>
      </c>
      <c r="G113" s="1363">
        <v>0</v>
      </c>
      <c r="H113" s="1363">
        <v>0</v>
      </c>
      <c r="I113" s="1363">
        <v>0</v>
      </c>
      <c r="J113" s="1363">
        <v>2</v>
      </c>
    </row>
    <row r="114" spans="1:10">
      <c r="A114" s="1030" t="s">
        <v>159</v>
      </c>
      <c r="B114" s="1031" t="s">
        <v>160</v>
      </c>
      <c r="C114" s="1032" t="s">
        <v>271</v>
      </c>
      <c r="D114" s="1363">
        <v>139</v>
      </c>
      <c r="E114" s="1363">
        <v>51</v>
      </c>
      <c r="F114" s="1363">
        <v>86</v>
      </c>
      <c r="G114" s="1363">
        <v>2</v>
      </c>
      <c r="H114" s="1363">
        <v>13</v>
      </c>
      <c r="I114" s="1363">
        <v>77</v>
      </c>
      <c r="J114" s="1363">
        <v>49</v>
      </c>
    </row>
    <row r="115" spans="1:10">
      <c r="A115" s="1030" t="s">
        <v>161</v>
      </c>
      <c r="B115" s="1031" t="s">
        <v>162</v>
      </c>
      <c r="C115" s="1032" t="s">
        <v>271</v>
      </c>
      <c r="D115" s="1363">
        <v>218</v>
      </c>
      <c r="E115" s="1363">
        <v>66</v>
      </c>
      <c r="F115" s="1363">
        <v>148</v>
      </c>
      <c r="G115" s="1363">
        <v>4</v>
      </c>
      <c r="H115" s="1363">
        <v>24</v>
      </c>
      <c r="I115" s="1363">
        <v>90</v>
      </c>
      <c r="J115" s="1363">
        <v>105</v>
      </c>
    </row>
    <row r="116" spans="1:10">
      <c r="A116" s="1030" t="s">
        <v>167</v>
      </c>
      <c r="B116" s="1031" t="s">
        <v>168</v>
      </c>
      <c r="C116" s="1032" t="s">
        <v>275</v>
      </c>
      <c r="D116" s="1363">
        <v>7</v>
      </c>
      <c r="E116" s="1363">
        <v>7</v>
      </c>
      <c r="F116" s="1363">
        <v>0</v>
      </c>
      <c r="G116" s="1363">
        <v>0</v>
      </c>
      <c r="H116" s="1363">
        <v>1</v>
      </c>
      <c r="I116" s="1363">
        <v>5</v>
      </c>
      <c r="J116" s="1363">
        <v>1</v>
      </c>
    </row>
    <row r="117" spans="1:10">
      <c r="A117" s="1030" t="s">
        <v>177</v>
      </c>
      <c r="B117" s="1031" t="s">
        <v>178</v>
      </c>
      <c r="C117" s="1032" t="s">
        <v>273</v>
      </c>
      <c r="D117" s="1363">
        <v>120</v>
      </c>
      <c r="E117" s="1363">
        <v>34</v>
      </c>
      <c r="F117" s="1363">
        <v>84</v>
      </c>
      <c r="G117" s="1363">
        <v>2</v>
      </c>
      <c r="H117" s="1363">
        <v>18</v>
      </c>
      <c r="I117" s="1363">
        <v>57</v>
      </c>
      <c r="J117" s="1363">
        <v>46</v>
      </c>
    </row>
    <row r="118" spans="1:10">
      <c r="A118" s="1030" t="s">
        <v>181</v>
      </c>
      <c r="B118" s="1031" t="s">
        <v>182</v>
      </c>
      <c r="C118" s="1032" t="s">
        <v>271</v>
      </c>
      <c r="D118" s="1363">
        <v>103</v>
      </c>
      <c r="E118" s="1363">
        <v>26</v>
      </c>
      <c r="F118" s="1363">
        <v>77</v>
      </c>
      <c r="G118" s="1363">
        <v>0</v>
      </c>
      <c r="H118" s="1363">
        <v>10</v>
      </c>
      <c r="I118" s="1363">
        <v>39</v>
      </c>
      <c r="J118" s="1363">
        <v>54</v>
      </c>
    </row>
    <row r="119" spans="1:10">
      <c r="A119" s="1030" t="s">
        <v>193</v>
      </c>
      <c r="B119" s="1031" t="s">
        <v>194</v>
      </c>
      <c r="C119" s="1032" t="s">
        <v>275</v>
      </c>
      <c r="D119" s="1363">
        <v>25</v>
      </c>
      <c r="E119" s="1363">
        <v>22</v>
      </c>
      <c r="F119" s="1363">
        <v>3</v>
      </c>
      <c r="G119" s="1363">
        <v>0</v>
      </c>
      <c r="H119" s="1363">
        <v>1</v>
      </c>
      <c r="I119" s="1363">
        <v>14</v>
      </c>
      <c r="J119" s="1363">
        <v>11</v>
      </c>
    </row>
    <row r="120" spans="1:10">
      <c r="A120" s="1030" t="s">
        <v>197</v>
      </c>
      <c r="B120" s="1031" t="s">
        <v>198</v>
      </c>
      <c r="C120" s="1032" t="s">
        <v>273</v>
      </c>
      <c r="D120" s="1363">
        <v>609</v>
      </c>
      <c r="E120" s="1363">
        <v>178</v>
      </c>
      <c r="F120" s="1363">
        <v>417</v>
      </c>
      <c r="G120" s="1363">
        <v>14</v>
      </c>
      <c r="H120" s="1363">
        <v>67</v>
      </c>
      <c r="I120" s="1363">
        <v>311</v>
      </c>
      <c r="J120" s="1363">
        <v>240</v>
      </c>
    </row>
    <row r="121" spans="1:10">
      <c r="A121" s="1030" t="s">
        <v>201</v>
      </c>
      <c r="B121" s="1031" t="s">
        <v>202</v>
      </c>
      <c r="C121" s="1032" t="s">
        <v>272</v>
      </c>
      <c r="D121" s="1363">
        <v>223</v>
      </c>
      <c r="E121" s="1363">
        <v>140</v>
      </c>
      <c r="F121" s="1363">
        <v>75</v>
      </c>
      <c r="G121" s="1363">
        <v>8</v>
      </c>
      <c r="H121" s="1363">
        <v>19</v>
      </c>
      <c r="I121" s="1363">
        <v>98</v>
      </c>
      <c r="J121" s="1363">
        <v>107</v>
      </c>
    </row>
    <row r="122" spans="1:10">
      <c r="A122" s="1030" t="s">
        <v>223</v>
      </c>
      <c r="B122" s="1031" t="s">
        <v>224</v>
      </c>
      <c r="C122" s="1032" t="s">
        <v>271</v>
      </c>
      <c r="D122" s="1363">
        <v>68</v>
      </c>
      <c r="E122" s="1363">
        <v>16</v>
      </c>
      <c r="F122" s="1363">
        <v>52</v>
      </c>
      <c r="G122" s="1363">
        <v>0</v>
      </c>
      <c r="H122" s="1363">
        <v>10</v>
      </c>
      <c r="I122" s="1363">
        <v>34</v>
      </c>
      <c r="J122" s="1363">
        <v>25</v>
      </c>
    </row>
    <row r="123" spans="1:10">
      <c r="A123" s="1030" t="s">
        <v>231</v>
      </c>
      <c r="B123" s="1031" t="s">
        <v>232</v>
      </c>
      <c r="C123" s="1032" t="s">
        <v>271</v>
      </c>
      <c r="D123" s="1363">
        <v>195</v>
      </c>
      <c r="E123" s="1363">
        <v>129</v>
      </c>
      <c r="F123" s="1363">
        <v>56</v>
      </c>
      <c r="G123" s="1363">
        <v>10</v>
      </c>
      <c r="H123" s="1363">
        <v>24</v>
      </c>
      <c r="I123" s="1363">
        <v>74</v>
      </c>
      <c r="J123" s="1363">
        <v>99</v>
      </c>
    </row>
    <row r="124" spans="1:10">
      <c r="A124" s="1030" t="s">
        <v>239</v>
      </c>
      <c r="B124" s="1031" t="s">
        <v>240</v>
      </c>
      <c r="C124" s="1032" t="s">
        <v>271</v>
      </c>
      <c r="D124" s="1363">
        <v>33</v>
      </c>
      <c r="E124" s="1363">
        <v>17</v>
      </c>
      <c r="F124" s="1363">
        <v>15</v>
      </c>
      <c r="G124" s="1363">
        <v>1</v>
      </c>
      <c r="H124" s="1363">
        <v>7</v>
      </c>
      <c r="I124" s="1363">
        <v>16</v>
      </c>
      <c r="J124" s="1363">
        <v>11</v>
      </c>
    </row>
    <row r="125" spans="1:10">
      <c r="A125" s="1033" t="s">
        <v>241</v>
      </c>
      <c r="B125" s="1034" t="s">
        <v>242</v>
      </c>
      <c r="C125" s="1035" t="s">
        <v>274</v>
      </c>
      <c r="D125" s="1364">
        <v>33</v>
      </c>
      <c r="E125" s="1364">
        <v>29</v>
      </c>
      <c r="F125" s="1364">
        <v>4</v>
      </c>
      <c r="G125" s="1364">
        <v>0</v>
      </c>
      <c r="H125" s="1364">
        <v>1</v>
      </c>
      <c r="I125" s="1364">
        <v>16</v>
      </c>
      <c r="J125" s="1364">
        <v>16</v>
      </c>
    </row>
    <row r="126" spans="1:10">
      <c r="A126" s="1038"/>
      <c r="B126" s="1038"/>
      <c r="C126" s="1038"/>
    </row>
    <row r="127" spans="1:10" ht="30" customHeight="1">
      <c r="A127" s="1716" t="s">
        <v>1138</v>
      </c>
      <c r="B127" s="1716"/>
      <c r="C127" s="1716"/>
      <c r="D127" s="1716"/>
      <c r="E127" s="1716"/>
      <c r="F127" s="1716"/>
    </row>
    <row r="128" spans="1:10">
      <c r="A128" s="1365"/>
      <c r="B128" s="1365"/>
      <c r="C128" s="1365"/>
      <c r="D128" s="1365"/>
      <c r="E128" s="1365"/>
      <c r="F128" s="1365"/>
    </row>
    <row r="129" spans="1:10" s="542" customFormat="1">
      <c r="A129" s="1717" t="s">
        <v>249</v>
      </c>
      <c r="B129" s="1717"/>
      <c r="C129" s="1717"/>
      <c r="D129" s="1717"/>
      <c r="E129" s="1717"/>
      <c r="F129" s="1717"/>
      <c r="G129" s="1717"/>
      <c r="H129" s="1717"/>
      <c r="I129" s="1717"/>
      <c r="J129" s="1717"/>
    </row>
    <row r="130" spans="1:10" s="280" customFormat="1">
      <c r="A130" s="543" t="s">
        <v>250</v>
      </c>
      <c r="B130" s="544" t="s">
        <v>251</v>
      </c>
      <c r="C130" s="1369"/>
      <c r="D130" s="1363"/>
      <c r="E130" s="1363"/>
      <c r="F130" s="1363"/>
      <c r="G130" s="1363"/>
      <c r="H130" s="1363"/>
      <c r="I130" s="1363"/>
      <c r="J130" s="1363"/>
    </row>
  </sheetData>
  <autoFilter ref="A4:C4"/>
  <mergeCells count="4">
    <mergeCell ref="A127:F127"/>
    <mergeCell ref="E3:G3"/>
    <mergeCell ref="H3:J3"/>
    <mergeCell ref="A129:J129"/>
  </mergeCells>
  <hyperlinks>
    <hyperlink ref="B130" r:id="rId1"/>
  </hyperlinks>
  <pageMargins left="0.7" right="0.7" top="0.75" bottom="0.75" header="0.3" footer="0.3"/>
  <pageSetup orientation="portrait" r:id="rId2"/>
</worksheet>
</file>

<file path=xl/worksheets/sheet46.xml><?xml version="1.0" encoding="utf-8"?>
<worksheet xmlns="http://schemas.openxmlformats.org/spreadsheetml/2006/main" xmlns:r="http://schemas.openxmlformats.org/officeDocument/2006/relationships">
  <dimension ref="B2:F132"/>
  <sheetViews>
    <sheetView topLeftCell="A100" zoomScaleNormal="100" workbookViewId="0">
      <selection activeCell="I14" sqref="I14"/>
    </sheetView>
  </sheetViews>
  <sheetFormatPr defaultRowHeight="15.75"/>
  <cols>
    <col min="1" max="1" width="8.125" style="1405" bestFit="1" customWidth="1"/>
    <col min="2" max="2" width="6.125" style="1405" customWidth="1"/>
    <col min="3" max="3" width="11.25" style="1405" customWidth="1"/>
    <col min="4" max="4" width="34.375" style="1406" customWidth="1"/>
    <col min="5" max="5" width="9.25" style="1406" customWidth="1"/>
    <col min="6" max="6" width="14.375" style="1405" customWidth="1"/>
    <col min="7" max="16384" width="9" style="1405"/>
  </cols>
  <sheetData>
    <row r="2" spans="2:6">
      <c r="B2" s="1405">
        <v>1</v>
      </c>
      <c r="D2" s="1406">
        <f>+B2+1</f>
        <v>2</v>
      </c>
      <c r="E2" s="1406">
        <f>+D2+1</f>
        <v>3</v>
      </c>
      <c r="F2" s="1405">
        <v>4</v>
      </c>
    </row>
    <row r="3" spans="2:6">
      <c r="B3" s="1407"/>
      <c r="C3" s="1407"/>
      <c r="D3" s="1410"/>
      <c r="E3" s="1411"/>
    </row>
    <row r="4" spans="2:6">
      <c r="B4" s="1412"/>
      <c r="C4" s="1412"/>
      <c r="D4" s="1408"/>
      <c r="E4" s="1409"/>
    </row>
    <row r="5" spans="2:6">
      <c r="B5" s="1412"/>
      <c r="C5" s="1412"/>
      <c r="D5" s="1413"/>
      <c r="E5" s="1413"/>
    </row>
    <row r="7" spans="2:6">
      <c r="B7" s="1414" t="s">
        <v>4</v>
      </c>
      <c r="C7" s="1414"/>
      <c r="D7" s="1415" t="s">
        <v>5</v>
      </c>
      <c r="E7" s="1415"/>
      <c r="F7" s="1416" t="s">
        <v>252</v>
      </c>
    </row>
    <row r="8" spans="2:6">
      <c r="B8" s="1417" t="s">
        <v>8</v>
      </c>
      <c r="C8" s="1418" t="s">
        <v>313</v>
      </c>
      <c r="D8" s="1413" t="s">
        <v>9</v>
      </c>
      <c r="E8" s="1413"/>
    </row>
    <row r="9" spans="2:6">
      <c r="B9" s="1417" t="s">
        <v>10</v>
      </c>
      <c r="C9" s="1419">
        <v>1</v>
      </c>
      <c r="D9" s="1406" t="s">
        <v>11</v>
      </c>
      <c r="E9" s="1420" t="s">
        <v>10</v>
      </c>
      <c r="F9" s="725" t="s">
        <v>271</v>
      </c>
    </row>
    <row r="10" spans="2:6">
      <c r="B10" s="1418" t="s">
        <v>12</v>
      </c>
      <c r="C10" s="1419">
        <v>3</v>
      </c>
      <c r="D10" s="1406" t="s">
        <v>13</v>
      </c>
      <c r="E10" s="1421" t="s">
        <v>12</v>
      </c>
      <c r="F10" s="725" t="s">
        <v>272</v>
      </c>
    </row>
    <row r="11" spans="2:6">
      <c r="B11" s="1418" t="s">
        <v>14</v>
      </c>
      <c r="C11" s="1419">
        <v>510</v>
      </c>
      <c r="D11" s="1406" t="s">
        <v>15</v>
      </c>
      <c r="E11" s="1421" t="s">
        <v>14</v>
      </c>
      <c r="F11" s="725" t="s">
        <v>274</v>
      </c>
    </row>
    <row r="12" spans="2:6">
      <c r="B12" s="1418" t="s">
        <v>16</v>
      </c>
      <c r="C12" s="1419">
        <v>5</v>
      </c>
      <c r="D12" s="1406" t="s">
        <v>17</v>
      </c>
      <c r="E12" s="1421" t="s">
        <v>16</v>
      </c>
      <c r="F12" s="725" t="s">
        <v>272</v>
      </c>
    </row>
    <row r="13" spans="2:6">
      <c r="B13" s="1418" t="s">
        <v>18</v>
      </c>
      <c r="C13" s="1419">
        <v>7</v>
      </c>
      <c r="D13" s="1406" t="s">
        <v>19</v>
      </c>
      <c r="E13" s="1421" t="s">
        <v>18</v>
      </c>
      <c r="F13" s="725" t="s">
        <v>273</v>
      </c>
    </row>
    <row r="14" spans="2:6">
      <c r="B14" s="1418" t="s">
        <v>20</v>
      </c>
      <c r="C14" s="1419">
        <v>9</v>
      </c>
      <c r="D14" s="1406" t="s">
        <v>21</v>
      </c>
      <c r="E14" s="1421" t="s">
        <v>20</v>
      </c>
      <c r="F14" s="725" t="s">
        <v>272</v>
      </c>
    </row>
    <row r="15" spans="2:6">
      <c r="B15" s="1418" t="s">
        <v>22</v>
      </c>
      <c r="C15" s="1419">
        <v>11</v>
      </c>
      <c r="D15" s="1406" t="s">
        <v>23</v>
      </c>
      <c r="E15" s="1421" t="s">
        <v>22</v>
      </c>
      <c r="F15" s="725" t="s">
        <v>272</v>
      </c>
    </row>
    <row r="16" spans="2:6">
      <c r="B16" s="1418" t="s">
        <v>24</v>
      </c>
      <c r="C16" s="1419">
        <v>13</v>
      </c>
      <c r="D16" s="1406" t="s">
        <v>25</v>
      </c>
      <c r="E16" s="1421" t="s">
        <v>24</v>
      </c>
      <c r="F16" s="725" t="s">
        <v>274</v>
      </c>
    </row>
    <row r="17" spans="2:6">
      <c r="B17" s="1418" t="s">
        <v>26</v>
      </c>
      <c r="C17" s="1419">
        <v>15</v>
      </c>
      <c r="D17" s="1406" t="s">
        <v>908</v>
      </c>
      <c r="E17" s="1421" t="s">
        <v>26</v>
      </c>
      <c r="F17" s="725" t="s">
        <v>272</v>
      </c>
    </row>
    <row r="18" spans="2:6">
      <c r="B18" s="1418" t="s">
        <v>27</v>
      </c>
      <c r="C18" s="1419">
        <v>17</v>
      </c>
      <c r="D18" s="1406" t="s">
        <v>28</v>
      </c>
      <c r="E18" s="1421" t="s">
        <v>27</v>
      </c>
      <c r="F18" s="725" t="s">
        <v>272</v>
      </c>
    </row>
    <row r="19" spans="2:6">
      <c r="B19" s="1418" t="s">
        <v>29</v>
      </c>
      <c r="C19" s="1419">
        <v>19</v>
      </c>
      <c r="D19" s="1406" t="s">
        <v>299</v>
      </c>
      <c r="E19" s="1421" t="s">
        <v>29</v>
      </c>
      <c r="F19" s="725" t="s">
        <v>275</v>
      </c>
    </row>
    <row r="20" spans="2:6">
      <c r="B20" s="1418" t="s">
        <v>31</v>
      </c>
      <c r="C20" s="1419">
        <v>21</v>
      </c>
      <c r="D20" s="1406" t="s">
        <v>32</v>
      </c>
      <c r="E20" s="1421" t="s">
        <v>31</v>
      </c>
      <c r="F20" s="725" t="s">
        <v>272</v>
      </c>
    </row>
    <row r="21" spans="2:6">
      <c r="B21" s="1418" t="s">
        <v>33</v>
      </c>
      <c r="C21" s="1419">
        <v>23</v>
      </c>
      <c r="D21" s="1406" t="s">
        <v>34</v>
      </c>
      <c r="E21" s="1421" t="s">
        <v>33</v>
      </c>
      <c r="F21" s="725" t="s">
        <v>275</v>
      </c>
    </row>
    <row r="22" spans="2:6">
      <c r="B22" s="1418" t="s">
        <v>35</v>
      </c>
      <c r="C22" s="1419">
        <v>520</v>
      </c>
      <c r="D22" s="1406" t="s">
        <v>36</v>
      </c>
      <c r="E22" s="1421" t="s">
        <v>35</v>
      </c>
      <c r="F22" s="725" t="s">
        <v>271</v>
      </c>
    </row>
    <row r="23" spans="2:6">
      <c r="B23" s="1418" t="s">
        <v>37</v>
      </c>
      <c r="C23" s="1419">
        <v>25</v>
      </c>
      <c r="D23" s="1406" t="s">
        <v>38</v>
      </c>
      <c r="E23" s="1421" t="s">
        <v>37</v>
      </c>
      <c r="F23" s="725" t="s">
        <v>275</v>
      </c>
    </row>
    <row r="24" spans="2:6">
      <c r="B24" s="1418" t="s">
        <v>39</v>
      </c>
      <c r="C24" s="1419">
        <v>27</v>
      </c>
      <c r="D24" s="1406" t="s">
        <v>40</v>
      </c>
      <c r="E24" s="1421" t="s">
        <v>39</v>
      </c>
      <c r="F24" s="725" t="s">
        <v>273</v>
      </c>
    </row>
    <row r="25" spans="2:6">
      <c r="B25" s="1418" t="s">
        <v>41</v>
      </c>
      <c r="C25" s="1419">
        <v>29</v>
      </c>
      <c r="D25" s="1406" t="s">
        <v>42</v>
      </c>
      <c r="E25" s="1421" t="s">
        <v>41</v>
      </c>
      <c r="F25" s="725" t="s">
        <v>272</v>
      </c>
    </row>
    <row r="26" spans="2:6">
      <c r="B26" s="1418" t="s">
        <v>43</v>
      </c>
      <c r="C26" s="1419">
        <v>31</v>
      </c>
      <c r="D26" s="1406" t="s">
        <v>44</v>
      </c>
      <c r="E26" s="1421" t="s">
        <v>43</v>
      </c>
      <c r="F26" s="725" t="s">
        <v>273</v>
      </c>
    </row>
    <row r="27" spans="2:6">
      <c r="B27" s="1418" t="s">
        <v>45</v>
      </c>
      <c r="C27" s="1419">
        <v>33</v>
      </c>
      <c r="D27" s="1406" t="s">
        <v>46</v>
      </c>
      <c r="E27" s="1421" t="s">
        <v>45</v>
      </c>
      <c r="F27" s="725" t="s">
        <v>275</v>
      </c>
    </row>
    <row r="28" spans="2:6">
      <c r="B28" s="1418" t="s">
        <v>47</v>
      </c>
      <c r="C28" s="1419">
        <v>35</v>
      </c>
      <c r="D28" s="1406" t="s">
        <v>48</v>
      </c>
      <c r="E28" s="1421" t="s">
        <v>47</v>
      </c>
      <c r="F28" s="725" t="s">
        <v>273</v>
      </c>
    </row>
    <row r="29" spans="2:6">
      <c r="B29" s="1418" t="s">
        <v>49</v>
      </c>
      <c r="C29" s="1419">
        <v>36</v>
      </c>
      <c r="D29" s="1406" t="s">
        <v>276</v>
      </c>
      <c r="E29" s="1421" t="s">
        <v>49</v>
      </c>
      <c r="F29" s="725" t="s">
        <v>272</v>
      </c>
    </row>
    <row r="30" spans="2:6">
      <c r="B30" s="1418" t="s">
        <v>51</v>
      </c>
      <c r="C30" s="1419">
        <v>37</v>
      </c>
      <c r="D30" s="1406" t="s">
        <v>52</v>
      </c>
      <c r="E30" s="1421" t="s">
        <v>51</v>
      </c>
      <c r="F30" s="725" t="s">
        <v>272</v>
      </c>
    </row>
    <row r="31" spans="2:6">
      <c r="B31" s="1418" t="s">
        <v>53</v>
      </c>
      <c r="C31" s="1419">
        <v>540</v>
      </c>
      <c r="D31" s="1406" t="s">
        <v>54</v>
      </c>
      <c r="E31" s="1421" t="s">
        <v>53</v>
      </c>
      <c r="F31" s="725" t="s">
        <v>271</v>
      </c>
    </row>
    <row r="32" spans="2:6">
      <c r="B32" s="1418" t="s">
        <v>55</v>
      </c>
      <c r="C32" s="1419">
        <v>550</v>
      </c>
      <c r="D32" s="1406" t="s">
        <v>56</v>
      </c>
      <c r="E32" s="1421" t="s">
        <v>55</v>
      </c>
      <c r="F32" s="725" t="s">
        <v>273</v>
      </c>
    </row>
    <row r="33" spans="2:6">
      <c r="B33" s="1418" t="s">
        <v>57</v>
      </c>
      <c r="C33" s="1419">
        <v>41</v>
      </c>
      <c r="D33" s="1406" t="s">
        <v>58</v>
      </c>
      <c r="E33" s="1421" t="s">
        <v>57</v>
      </c>
      <c r="F33" s="725" t="s">
        <v>274</v>
      </c>
    </row>
    <row r="34" spans="2:6">
      <c r="B34" s="1418" t="s">
        <v>59</v>
      </c>
      <c r="C34" s="1419">
        <v>43</v>
      </c>
      <c r="D34" s="1406" t="s">
        <v>60</v>
      </c>
      <c r="E34" s="1421" t="s">
        <v>59</v>
      </c>
      <c r="F34" s="725" t="s">
        <v>272</v>
      </c>
    </row>
    <row r="35" spans="2:6">
      <c r="B35" s="1418" t="s">
        <v>61</v>
      </c>
      <c r="C35" s="1419">
        <v>45</v>
      </c>
      <c r="D35" s="1406" t="s">
        <v>62</v>
      </c>
      <c r="E35" s="1421" t="s">
        <v>61</v>
      </c>
      <c r="F35" s="725" t="s">
        <v>274</v>
      </c>
    </row>
    <row r="36" spans="2:6">
      <c r="B36" s="1418" t="s">
        <v>63</v>
      </c>
      <c r="C36" s="1419">
        <v>47</v>
      </c>
      <c r="D36" s="1406" t="s">
        <v>64</v>
      </c>
      <c r="E36" s="1421" t="s">
        <v>63</v>
      </c>
      <c r="F36" s="725" t="s">
        <v>273</v>
      </c>
    </row>
    <row r="37" spans="2:6">
      <c r="B37" s="1418" t="s">
        <v>65</v>
      </c>
      <c r="C37" s="1419">
        <v>49</v>
      </c>
      <c r="D37" s="1406" t="s">
        <v>66</v>
      </c>
      <c r="E37" s="1421" t="s">
        <v>65</v>
      </c>
      <c r="F37" s="725" t="s">
        <v>272</v>
      </c>
    </row>
    <row r="38" spans="2:6">
      <c r="B38" s="1418" t="s">
        <v>67</v>
      </c>
      <c r="C38" s="1419">
        <v>590</v>
      </c>
      <c r="D38" s="1406" t="s">
        <v>68</v>
      </c>
      <c r="E38" s="1421" t="s">
        <v>67</v>
      </c>
      <c r="F38" s="725" t="s">
        <v>275</v>
      </c>
    </row>
    <row r="39" spans="2:6">
      <c r="B39" s="1418" t="s">
        <v>69</v>
      </c>
      <c r="C39" s="1419">
        <v>51</v>
      </c>
      <c r="D39" s="1406" t="s">
        <v>70</v>
      </c>
      <c r="E39" s="1421" t="s">
        <v>69</v>
      </c>
      <c r="F39" s="725" t="s">
        <v>271</v>
      </c>
    </row>
    <row r="40" spans="2:6">
      <c r="B40" s="1418" t="s">
        <v>71</v>
      </c>
      <c r="C40" s="1419">
        <v>53</v>
      </c>
      <c r="D40" s="1406" t="s">
        <v>72</v>
      </c>
      <c r="E40" s="1421" t="s">
        <v>71</v>
      </c>
      <c r="F40" s="725" t="s">
        <v>273</v>
      </c>
    </row>
    <row r="41" spans="2:6">
      <c r="B41" s="1418" t="s">
        <v>73</v>
      </c>
      <c r="C41" s="1419">
        <v>57</v>
      </c>
      <c r="D41" s="1406" t="s">
        <v>74</v>
      </c>
      <c r="E41" s="1421" t="s">
        <v>73</v>
      </c>
      <c r="F41" s="725" t="s">
        <v>274</v>
      </c>
    </row>
    <row r="42" spans="2:6">
      <c r="B42" s="1418" t="s">
        <v>75</v>
      </c>
      <c r="C42" s="1419">
        <v>59</v>
      </c>
      <c r="D42" s="1406" t="s">
        <v>850</v>
      </c>
      <c r="E42" s="1421" t="s">
        <v>75</v>
      </c>
      <c r="F42" s="725" t="s">
        <v>274</v>
      </c>
    </row>
    <row r="43" spans="2:6">
      <c r="B43" s="1418" t="s">
        <v>77</v>
      </c>
      <c r="C43" s="1419">
        <v>61</v>
      </c>
      <c r="D43" s="1406" t="s">
        <v>78</v>
      </c>
      <c r="E43" s="1421" t="s">
        <v>77</v>
      </c>
      <c r="F43" s="725" t="s">
        <v>275</v>
      </c>
    </row>
    <row r="44" spans="2:6">
      <c r="B44" s="1418" t="s">
        <v>79</v>
      </c>
      <c r="C44" s="1419">
        <v>63</v>
      </c>
      <c r="D44" s="1406" t="s">
        <v>80</v>
      </c>
      <c r="E44" s="1421" t="s">
        <v>79</v>
      </c>
      <c r="F44" s="725" t="s">
        <v>273</v>
      </c>
    </row>
    <row r="45" spans="2:6">
      <c r="B45" s="1418" t="s">
        <v>81</v>
      </c>
      <c r="C45" s="1419">
        <v>65</v>
      </c>
      <c r="D45" s="1406" t="s">
        <v>82</v>
      </c>
      <c r="E45" s="1421" t="s">
        <v>81</v>
      </c>
      <c r="F45" s="725" t="s">
        <v>271</v>
      </c>
    </row>
    <row r="46" spans="2:6">
      <c r="B46" s="1418" t="s">
        <v>83</v>
      </c>
      <c r="C46" s="1419">
        <v>620</v>
      </c>
      <c r="D46" s="1406" t="s">
        <v>84</v>
      </c>
      <c r="E46" s="1421" t="s">
        <v>83</v>
      </c>
      <c r="F46" s="725" t="s">
        <v>272</v>
      </c>
    </row>
    <row r="47" spans="2:6">
      <c r="B47" s="1418" t="s">
        <v>85</v>
      </c>
      <c r="C47" s="1419">
        <v>67</v>
      </c>
      <c r="D47" s="1406" t="s">
        <v>86</v>
      </c>
      <c r="E47" s="1421" t="s">
        <v>85</v>
      </c>
      <c r="F47" s="725" t="s">
        <v>274</v>
      </c>
    </row>
    <row r="48" spans="2:6">
      <c r="B48" s="1418" t="s">
        <v>87</v>
      </c>
      <c r="C48" s="1419">
        <v>69</v>
      </c>
      <c r="D48" s="1406" t="s">
        <v>88</v>
      </c>
      <c r="E48" s="1421" t="s">
        <v>87</v>
      </c>
      <c r="F48" s="725" t="s">
        <v>274</v>
      </c>
    </row>
    <row r="49" spans="2:6">
      <c r="B49" s="1418" t="s">
        <v>89</v>
      </c>
      <c r="C49" s="1419">
        <v>630</v>
      </c>
      <c r="D49" s="1406" t="s">
        <v>90</v>
      </c>
      <c r="E49" s="1421" t="s">
        <v>89</v>
      </c>
      <c r="F49" s="725" t="s">
        <v>275</v>
      </c>
    </row>
    <row r="50" spans="2:6">
      <c r="B50" s="1418" t="s">
        <v>91</v>
      </c>
      <c r="C50" s="1419">
        <v>640</v>
      </c>
      <c r="D50" s="1406" t="s">
        <v>92</v>
      </c>
      <c r="E50" s="1421" t="s">
        <v>91</v>
      </c>
      <c r="F50" s="725" t="s">
        <v>275</v>
      </c>
    </row>
    <row r="51" spans="2:6">
      <c r="B51" s="1418" t="s">
        <v>93</v>
      </c>
      <c r="C51" s="1419">
        <v>71</v>
      </c>
      <c r="D51" s="1406" t="s">
        <v>94</v>
      </c>
      <c r="E51" s="1421" t="s">
        <v>93</v>
      </c>
      <c r="F51" s="725" t="s">
        <v>271</v>
      </c>
    </row>
    <row r="52" spans="2:6">
      <c r="B52" s="1418" t="s">
        <v>95</v>
      </c>
      <c r="C52" s="1419">
        <v>73</v>
      </c>
      <c r="D52" s="1406" t="s">
        <v>96</v>
      </c>
      <c r="E52" s="1421" t="s">
        <v>95</v>
      </c>
      <c r="F52" s="725" t="s">
        <v>273</v>
      </c>
    </row>
    <row r="53" spans="2:6">
      <c r="B53" s="1418" t="s">
        <v>97</v>
      </c>
      <c r="C53" s="1419">
        <v>75</v>
      </c>
      <c r="D53" s="1406" t="s">
        <v>98</v>
      </c>
      <c r="E53" s="1421" t="s">
        <v>97</v>
      </c>
      <c r="F53" s="725" t="s">
        <v>275</v>
      </c>
    </row>
    <row r="54" spans="2:6">
      <c r="B54" s="1418" t="s">
        <v>99</v>
      </c>
      <c r="C54" s="1419">
        <v>77</v>
      </c>
      <c r="D54" s="1406" t="s">
        <v>100</v>
      </c>
      <c r="E54" s="1421" t="s">
        <v>99</v>
      </c>
      <c r="F54" s="725" t="s">
        <v>274</v>
      </c>
    </row>
    <row r="55" spans="2:6">
      <c r="B55" s="1418" t="s">
        <v>101</v>
      </c>
      <c r="C55" s="1419">
        <v>79</v>
      </c>
      <c r="D55" s="1406" t="s">
        <v>102</v>
      </c>
      <c r="E55" s="1421" t="s">
        <v>101</v>
      </c>
      <c r="F55" s="725" t="s">
        <v>271</v>
      </c>
    </row>
    <row r="56" spans="2:6">
      <c r="B56" s="1418" t="s">
        <v>103</v>
      </c>
      <c r="C56" s="1419">
        <v>81</v>
      </c>
      <c r="D56" s="1406" t="s">
        <v>104</v>
      </c>
      <c r="E56" s="1421" t="s">
        <v>103</v>
      </c>
      <c r="F56" s="725" t="s">
        <v>272</v>
      </c>
    </row>
    <row r="57" spans="2:6">
      <c r="B57" s="1418" t="s">
        <v>105</v>
      </c>
      <c r="C57" s="1419">
        <v>83</v>
      </c>
      <c r="D57" s="1406" t="s">
        <v>106</v>
      </c>
      <c r="E57" s="1421" t="s">
        <v>105</v>
      </c>
      <c r="F57" s="725" t="s">
        <v>271</v>
      </c>
    </row>
    <row r="58" spans="2:6">
      <c r="B58" s="1418" t="s">
        <v>107</v>
      </c>
      <c r="C58" s="1419">
        <v>650</v>
      </c>
      <c r="D58" s="1406" t="s">
        <v>108</v>
      </c>
      <c r="E58" s="1421" t="s">
        <v>107</v>
      </c>
      <c r="F58" s="725" t="s">
        <v>273</v>
      </c>
    </row>
    <row r="59" spans="2:6">
      <c r="B59" s="1418" t="s">
        <v>109</v>
      </c>
      <c r="C59" s="1419">
        <v>85</v>
      </c>
      <c r="D59" s="1406" t="s">
        <v>110</v>
      </c>
      <c r="E59" s="1421" t="s">
        <v>109</v>
      </c>
      <c r="F59" s="725" t="s">
        <v>274</v>
      </c>
    </row>
    <row r="60" spans="2:6">
      <c r="B60" s="1418" t="s">
        <v>111</v>
      </c>
      <c r="C60" s="1419">
        <v>87</v>
      </c>
      <c r="D60" s="1406" t="s">
        <v>112</v>
      </c>
      <c r="E60" s="1421" t="s">
        <v>111</v>
      </c>
      <c r="F60" s="725" t="s">
        <v>273</v>
      </c>
    </row>
    <row r="61" spans="2:6">
      <c r="B61" s="1418" t="s">
        <v>113</v>
      </c>
      <c r="C61" s="1419">
        <v>89</v>
      </c>
      <c r="D61" s="1406" t="s">
        <v>114</v>
      </c>
      <c r="E61" s="1421" t="s">
        <v>113</v>
      </c>
      <c r="F61" s="725" t="s">
        <v>272</v>
      </c>
    </row>
    <row r="62" spans="2:6">
      <c r="B62" s="1418" t="s">
        <v>115</v>
      </c>
      <c r="C62" s="1419">
        <v>91</v>
      </c>
      <c r="D62" s="1406" t="s">
        <v>116</v>
      </c>
      <c r="E62" s="1421" t="s">
        <v>115</v>
      </c>
      <c r="F62" s="725" t="s">
        <v>272</v>
      </c>
    </row>
    <row r="63" spans="2:6">
      <c r="B63" s="1418" t="s">
        <v>117</v>
      </c>
      <c r="C63" s="1419">
        <v>670</v>
      </c>
      <c r="D63" s="1406" t="s">
        <v>118</v>
      </c>
      <c r="E63" s="1421" t="s">
        <v>117</v>
      </c>
      <c r="F63" s="725" t="s">
        <v>273</v>
      </c>
    </row>
    <row r="64" spans="2:6">
      <c r="B64" s="1418" t="s">
        <v>119</v>
      </c>
      <c r="C64" s="1419">
        <v>93</v>
      </c>
      <c r="D64" s="1406" t="s">
        <v>120</v>
      </c>
      <c r="E64" s="1421" t="s">
        <v>119</v>
      </c>
      <c r="F64" s="725" t="s">
        <v>271</v>
      </c>
    </row>
    <row r="65" spans="2:6">
      <c r="B65" s="1418" t="s">
        <v>121</v>
      </c>
      <c r="C65" s="1419">
        <v>95</v>
      </c>
      <c r="D65" s="1406" t="s">
        <v>122</v>
      </c>
      <c r="E65" s="1421" t="s">
        <v>121</v>
      </c>
      <c r="F65" s="725" t="s">
        <v>271</v>
      </c>
    </row>
    <row r="66" spans="2:6">
      <c r="B66" s="1418" t="s">
        <v>123</v>
      </c>
      <c r="C66" s="1419">
        <v>97</v>
      </c>
      <c r="D66" s="1406" t="s">
        <v>124</v>
      </c>
      <c r="E66" s="1421" t="s">
        <v>123</v>
      </c>
      <c r="F66" s="725" t="s">
        <v>273</v>
      </c>
    </row>
    <row r="67" spans="2:6">
      <c r="B67" s="1418" t="s">
        <v>125</v>
      </c>
      <c r="C67" s="1419">
        <v>99</v>
      </c>
      <c r="D67" s="1406" t="s">
        <v>126</v>
      </c>
      <c r="E67" s="1421" t="s">
        <v>125</v>
      </c>
      <c r="F67" s="725" t="s">
        <v>274</v>
      </c>
    </row>
    <row r="68" spans="2:6">
      <c r="B68" s="1418" t="s">
        <v>127</v>
      </c>
      <c r="C68" s="1419">
        <v>101</v>
      </c>
      <c r="D68" s="1406" t="s">
        <v>128</v>
      </c>
      <c r="E68" s="1421" t="s">
        <v>127</v>
      </c>
      <c r="F68" s="725" t="s">
        <v>273</v>
      </c>
    </row>
    <row r="69" spans="2:6">
      <c r="B69" s="1418" t="s">
        <v>129</v>
      </c>
      <c r="C69" s="1419">
        <v>103</v>
      </c>
      <c r="D69" s="1406" t="s">
        <v>130</v>
      </c>
      <c r="E69" s="1421" t="s">
        <v>129</v>
      </c>
      <c r="F69" s="725" t="s">
        <v>273</v>
      </c>
    </row>
    <row r="70" spans="2:6">
      <c r="B70" s="1418" t="s">
        <v>131</v>
      </c>
      <c r="C70" s="1419">
        <v>105</v>
      </c>
      <c r="D70" s="1406" t="s">
        <v>132</v>
      </c>
      <c r="E70" s="1421" t="s">
        <v>131</v>
      </c>
      <c r="F70" s="725" t="s">
        <v>275</v>
      </c>
    </row>
    <row r="71" spans="2:6">
      <c r="B71" s="1418" t="s">
        <v>133</v>
      </c>
      <c r="C71" s="1419">
        <v>107</v>
      </c>
      <c r="D71" s="1406" t="s">
        <v>134</v>
      </c>
      <c r="E71" s="1421" t="s">
        <v>133</v>
      </c>
      <c r="F71" s="725" t="s">
        <v>274</v>
      </c>
    </row>
    <row r="72" spans="2:6">
      <c r="B72" s="1418" t="s">
        <v>135</v>
      </c>
      <c r="C72" s="1419">
        <v>109</v>
      </c>
      <c r="D72" s="1406" t="s">
        <v>136</v>
      </c>
      <c r="E72" s="1421" t="s">
        <v>135</v>
      </c>
      <c r="F72" s="725" t="s">
        <v>274</v>
      </c>
    </row>
    <row r="73" spans="2:6">
      <c r="B73" s="1418" t="s">
        <v>137</v>
      </c>
      <c r="C73" s="1419">
        <v>111</v>
      </c>
      <c r="D73" s="1406" t="s">
        <v>138</v>
      </c>
      <c r="E73" s="1421" t="s">
        <v>137</v>
      </c>
      <c r="F73" s="725" t="s">
        <v>273</v>
      </c>
    </row>
    <row r="74" spans="2:6">
      <c r="B74" s="1418" t="s">
        <v>139</v>
      </c>
      <c r="C74" s="1419">
        <v>680</v>
      </c>
      <c r="D74" s="1406" t="s">
        <v>140</v>
      </c>
      <c r="E74" s="1421" t="s">
        <v>139</v>
      </c>
      <c r="F74" s="725" t="s">
        <v>272</v>
      </c>
    </row>
    <row r="75" spans="2:6">
      <c r="B75" s="1418" t="s">
        <v>141</v>
      </c>
      <c r="C75" s="1419">
        <v>113</v>
      </c>
      <c r="D75" s="1406" t="s">
        <v>142</v>
      </c>
      <c r="E75" s="1421" t="s">
        <v>141</v>
      </c>
      <c r="F75" s="725" t="s">
        <v>274</v>
      </c>
    </row>
    <row r="76" spans="2:6">
      <c r="B76" s="1418" t="s">
        <v>143</v>
      </c>
      <c r="C76" s="1419">
        <v>683</v>
      </c>
      <c r="D76" s="1406" t="s">
        <v>144</v>
      </c>
      <c r="E76" s="1421" t="s">
        <v>143</v>
      </c>
      <c r="F76" s="725" t="s">
        <v>274</v>
      </c>
    </row>
    <row r="77" spans="2:6">
      <c r="B77" s="1418" t="s">
        <v>145</v>
      </c>
      <c r="C77" s="1419">
        <v>685</v>
      </c>
      <c r="D77" s="1406" t="s">
        <v>146</v>
      </c>
      <c r="E77" s="1421" t="s">
        <v>145</v>
      </c>
      <c r="F77" s="725" t="s">
        <v>274</v>
      </c>
    </row>
    <row r="78" spans="2:6">
      <c r="B78" s="1418" t="s">
        <v>147</v>
      </c>
      <c r="C78" s="1419">
        <v>115</v>
      </c>
      <c r="D78" s="1406" t="s">
        <v>148</v>
      </c>
      <c r="E78" s="1421" t="s">
        <v>147</v>
      </c>
      <c r="F78" s="725" t="s">
        <v>271</v>
      </c>
    </row>
    <row r="79" spans="2:6">
      <c r="B79" s="1418" t="s">
        <v>149</v>
      </c>
      <c r="C79" s="1419">
        <v>117</v>
      </c>
      <c r="D79" s="1406" t="s">
        <v>150</v>
      </c>
      <c r="E79" s="1421" t="s">
        <v>149</v>
      </c>
      <c r="F79" s="725" t="s">
        <v>272</v>
      </c>
    </row>
    <row r="80" spans="2:6">
      <c r="B80" s="1418" t="s">
        <v>151</v>
      </c>
      <c r="C80" s="1419">
        <v>119</v>
      </c>
      <c r="D80" s="1406" t="s">
        <v>152</v>
      </c>
      <c r="E80" s="1421" t="s">
        <v>151</v>
      </c>
      <c r="F80" s="725" t="s">
        <v>273</v>
      </c>
    </row>
    <row r="81" spans="2:6">
      <c r="B81" s="1418" t="s">
        <v>153</v>
      </c>
      <c r="C81" s="1419">
        <v>121</v>
      </c>
      <c r="D81" s="1406" t="s">
        <v>154</v>
      </c>
      <c r="E81" s="1421" t="s">
        <v>153</v>
      </c>
      <c r="F81" s="725" t="s">
        <v>275</v>
      </c>
    </row>
    <row r="82" spans="2:6">
      <c r="B82" s="1418" t="s">
        <v>155</v>
      </c>
      <c r="C82" s="1419">
        <v>125</v>
      </c>
      <c r="D82" s="1406" t="s">
        <v>156</v>
      </c>
      <c r="E82" s="1421" t="s">
        <v>155</v>
      </c>
      <c r="F82" s="725" t="s">
        <v>272</v>
      </c>
    </row>
    <row r="83" spans="2:6">
      <c r="B83" s="1418" t="s">
        <v>157</v>
      </c>
      <c r="C83" s="1419">
        <v>127</v>
      </c>
      <c r="D83" s="1406" t="s">
        <v>158</v>
      </c>
      <c r="E83" s="1421" t="s">
        <v>157</v>
      </c>
      <c r="F83" s="725" t="s">
        <v>273</v>
      </c>
    </row>
    <row r="84" spans="2:6">
      <c r="B84" s="1422" t="s">
        <v>159</v>
      </c>
      <c r="C84" s="1423">
        <v>700</v>
      </c>
      <c r="D84" s="1406" t="s">
        <v>160</v>
      </c>
      <c r="E84" s="1423" t="s">
        <v>159</v>
      </c>
      <c r="F84" s="725" t="s">
        <v>271</v>
      </c>
    </row>
    <row r="85" spans="2:6">
      <c r="B85" s="1418" t="s">
        <v>161</v>
      </c>
      <c r="C85" s="1419">
        <v>710</v>
      </c>
      <c r="D85" s="1406" t="s">
        <v>162</v>
      </c>
      <c r="E85" s="1421" t="s">
        <v>161</v>
      </c>
      <c r="F85" s="725" t="s">
        <v>271</v>
      </c>
    </row>
    <row r="86" spans="2:6">
      <c r="B86" s="1418" t="s">
        <v>163</v>
      </c>
      <c r="C86" s="1419">
        <v>131</v>
      </c>
      <c r="D86" s="1406" t="s">
        <v>164</v>
      </c>
      <c r="E86" s="1421" t="s">
        <v>163</v>
      </c>
      <c r="F86" s="725" t="s">
        <v>271</v>
      </c>
    </row>
    <row r="87" spans="2:6">
      <c r="B87" s="1418" t="s">
        <v>165</v>
      </c>
      <c r="C87" s="1419">
        <v>133</v>
      </c>
      <c r="D87" s="1406" t="s">
        <v>166</v>
      </c>
      <c r="E87" s="1421" t="s">
        <v>165</v>
      </c>
      <c r="F87" s="725" t="s">
        <v>273</v>
      </c>
    </row>
    <row r="88" spans="2:6">
      <c r="B88" s="1418" t="s">
        <v>167</v>
      </c>
      <c r="C88" s="1419">
        <v>720</v>
      </c>
      <c r="D88" s="1406" t="s">
        <v>168</v>
      </c>
      <c r="E88" s="1421" t="s">
        <v>167</v>
      </c>
      <c r="F88" s="725" t="s">
        <v>275</v>
      </c>
    </row>
    <row r="89" spans="2:6">
      <c r="B89" s="1418" t="s">
        <v>169</v>
      </c>
      <c r="C89" s="1419">
        <v>135</v>
      </c>
      <c r="D89" s="1406" t="s">
        <v>170</v>
      </c>
      <c r="E89" s="1421" t="s">
        <v>169</v>
      </c>
      <c r="F89" s="725" t="s">
        <v>273</v>
      </c>
    </row>
    <row r="90" spans="2:6">
      <c r="B90" s="1418" t="s">
        <v>171</v>
      </c>
      <c r="C90" s="1419">
        <v>137</v>
      </c>
      <c r="D90" s="1406" t="s">
        <v>172</v>
      </c>
      <c r="E90" s="1421" t="s">
        <v>171</v>
      </c>
      <c r="F90" s="725" t="s">
        <v>274</v>
      </c>
    </row>
    <row r="91" spans="2:6">
      <c r="B91" s="1418" t="s">
        <v>173</v>
      </c>
      <c r="C91" s="1419">
        <v>139</v>
      </c>
      <c r="D91" s="1406" t="s">
        <v>174</v>
      </c>
      <c r="E91" s="1421" t="s">
        <v>173</v>
      </c>
      <c r="F91" s="725" t="s">
        <v>274</v>
      </c>
    </row>
    <row r="92" spans="2:6">
      <c r="B92" s="1418" t="s">
        <v>175</v>
      </c>
      <c r="C92" s="1419">
        <v>141</v>
      </c>
      <c r="D92" s="1406" t="s">
        <v>176</v>
      </c>
      <c r="E92" s="1421" t="s">
        <v>175</v>
      </c>
      <c r="F92" s="725" t="s">
        <v>275</v>
      </c>
    </row>
    <row r="93" spans="2:6">
      <c r="B93" s="1418" t="s">
        <v>177</v>
      </c>
      <c r="C93" s="1419">
        <v>730</v>
      </c>
      <c r="D93" s="1406" t="s">
        <v>178</v>
      </c>
      <c r="E93" s="1421" t="s">
        <v>177</v>
      </c>
      <c r="F93" s="725" t="s">
        <v>273</v>
      </c>
    </row>
    <row r="94" spans="2:6">
      <c r="B94" s="1418" t="s">
        <v>179</v>
      </c>
      <c r="C94" s="1419">
        <v>143</v>
      </c>
      <c r="D94" s="1406" t="s">
        <v>180</v>
      </c>
      <c r="E94" s="1421" t="s">
        <v>179</v>
      </c>
      <c r="F94" s="725" t="s">
        <v>272</v>
      </c>
    </row>
    <row r="95" spans="2:6">
      <c r="B95" s="1418" t="s">
        <v>181</v>
      </c>
      <c r="C95" s="1419">
        <v>740</v>
      </c>
      <c r="D95" s="1406" t="s">
        <v>182</v>
      </c>
      <c r="E95" s="1421" t="s">
        <v>181</v>
      </c>
      <c r="F95" s="725" t="s">
        <v>271</v>
      </c>
    </row>
    <row r="96" spans="2:6">
      <c r="B96" s="1418" t="s">
        <v>183</v>
      </c>
      <c r="C96" s="1419">
        <v>145</v>
      </c>
      <c r="D96" s="1406" t="s">
        <v>184</v>
      </c>
      <c r="E96" s="1421" t="s">
        <v>183</v>
      </c>
      <c r="F96" s="725" t="s">
        <v>273</v>
      </c>
    </row>
    <row r="97" spans="2:6">
      <c r="B97" s="1418" t="s">
        <v>185</v>
      </c>
      <c r="C97" s="1419">
        <v>147</v>
      </c>
      <c r="D97" s="1406" t="s">
        <v>186</v>
      </c>
      <c r="E97" s="1421" t="s">
        <v>185</v>
      </c>
      <c r="F97" s="725" t="s">
        <v>273</v>
      </c>
    </row>
    <row r="98" spans="2:6">
      <c r="B98" s="1418" t="s">
        <v>187</v>
      </c>
      <c r="C98" s="1419">
        <v>149</v>
      </c>
      <c r="D98" s="1406" t="s">
        <v>188</v>
      </c>
      <c r="E98" s="1421" t="s">
        <v>187</v>
      </c>
      <c r="F98" s="725" t="s">
        <v>271</v>
      </c>
    </row>
    <row r="99" spans="2:6">
      <c r="B99" s="1418" t="s">
        <v>189</v>
      </c>
      <c r="C99" s="1419">
        <v>153</v>
      </c>
      <c r="D99" s="1406" t="s">
        <v>190</v>
      </c>
      <c r="E99" s="1421" t="s">
        <v>189</v>
      </c>
      <c r="F99" s="725" t="s">
        <v>274</v>
      </c>
    </row>
    <row r="100" spans="2:6">
      <c r="B100" s="1418" t="s">
        <v>191</v>
      </c>
      <c r="C100" s="1419">
        <v>155</v>
      </c>
      <c r="D100" s="1406" t="s">
        <v>192</v>
      </c>
      <c r="E100" s="1421" t="s">
        <v>191</v>
      </c>
      <c r="F100" s="725" t="s">
        <v>275</v>
      </c>
    </row>
    <row r="101" spans="2:6">
      <c r="B101" s="1418" t="s">
        <v>193</v>
      </c>
      <c r="C101" s="1419">
        <v>750</v>
      </c>
      <c r="D101" s="1406" t="s">
        <v>194</v>
      </c>
      <c r="E101" s="1421" t="s">
        <v>193</v>
      </c>
      <c r="F101" s="725" t="s">
        <v>275</v>
      </c>
    </row>
    <row r="102" spans="2:6">
      <c r="B102" s="1418" t="s">
        <v>195</v>
      </c>
      <c r="C102" s="1419">
        <v>157</v>
      </c>
      <c r="D102" s="1406" t="s">
        <v>196</v>
      </c>
      <c r="E102" s="1421" t="s">
        <v>195</v>
      </c>
      <c r="F102" s="725" t="s">
        <v>274</v>
      </c>
    </row>
    <row r="103" spans="2:6">
      <c r="B103" s="1418" t="s">
        <v>197</v>
      </c>
      <c r="C103" s="1419">
        <v>760</v>
      </c>
      <c r="D103" s="1406" t="s">
        <v>198</v>
      </c>
      <c r="E103" s="1421" t="s">
        <v>197</v>
      </c>
      <c r="F103" s="725" t="s">
        <v>273</v>
      </c>
    </row>
    <row r="104" spans="2:6">
      <c r="B104" s="1418" t="s">
        <v>199</v>
      </c>
      <c r="C104" s="1419">
        <v>159</v>
      </c>
      <c r="D104" s="1406" t="s">
        <v>279</v>
      </c>
      <c r="E104" s="1421" t="s">
        <v>199</v>
      </c>
      <c r="F104" s="725" t="s">
        <v>273</v>
      </c>
    </row>
    <row r="105" spans="2:6">
      <c r="B105" s="1418" t="s">
        <v>201</v>
      </c>
      <c r="C105" s="1419">
        <v>770</v>
      </c>
      <c r="D105" s="1406" t="s">
        <v>202</v>
      </c>
      <c r="E105" s="1421" t="s">
        <v>201</v>
      </c>
      <c r="F105" s="725" t="s">
        <v>272</v>
      </c>
    </row>
    <row r="106" spans="2:6">
      <c r="B106" s="1418" t="s">
        <v>203</v>
      </c>
      <c r="C106" s="1419">
        <v>161</v>
      </c>
      <c r="D106" s="1406" t="s">
        <v>204</v>
      </c>
      <c r="E106" s="1421" t="s">
        <v>203</v>
      </c>
      <c r="F106" s="725" t="s">
        <v>272</v>
      </c>
    </row>
    <row r="107" spans="2:6">
      <c r="B107" s="1418" t="s">
        <v>205</v>
      </c>
      <c r="C107" s="1419">
        <v>163</v>
      </c>
      <c r="D107" s="1406" t="s">
        <v>206</v>
      </c>
      <c r="E107" s="1421" t="s">
        <v>205</v>
      </c>
      <c r="F107" s="725" t="s">
        <v>272</v>
      </c>
    </row>
    <row r="108" spans="2:6">
      <c r="B108" s="1418" t="s">
        <v>207</v>
      </c>
      <c r="C108" s="1419">
        <v>165</v>
      </c>
      <c r="D108" s="1406" t="s">
        <v>208</v>
      </c>
      <c r="E108" s="1421" t="s">
        <v>207</v>
      </c>
      <c r="F108" s="725" t="s">
        <v>275</v>
      </c>
    </row>
    <row r="109" spans="2:6">
      <c r="B109" s="1418" t="s">
        <v>209</v>
      </c>
      <c r="C109" s="1419">
        <v>167</v>
      </c>
      <c r="D109" s="1406" t="s">
        <v>210</v>
      </c>
      <c r="E109" s="1421" t="s">
        <v>209</v>
      </c>
      <c r="F109" s="725" t="s">
        <v>275</v>
      </c>
    </row>
    <row r="110" spans="2:6">
      <c r="B110" s="1418" t="s">
        <v>211</v>
      </c>
      <c r="C110" s="1419">
        <v>169</v>
      </c>
      <c r="D110" s="1406" t="s">
        <v>212</v>
      </c>
      <c r="E110" s="1421" t="s">
        <v>211</v>
      </c>
      <c r="F110" s="725" t="s">
        <v>274</v>
      </c>
    </row>
    <row r="111" spans="2:6">
      <c r="B111" s="1418" t="s">
        <v>213</v>
      </c>
      <c r="C111" s="1419">
        <v>171</v>
      </c>
      <c r="D111" s="1406" t="s">
        <v>214</v>
      </c>
      <c r="E111" s="1421" t="s">
        <v>213</v>
      </c>
      <c r="F111" s="725" t="s">
        <v>272</v>
      </c>
    </row>
    <row r="112" spans="2:6">
      <c r="B112" s="1418" t="s">
        <v>215</v>
      </c>
      <c r="C112" s="1419">
        <v>173</v>
      </c>
      <c r="D112" s="1406" t="s">
        <v>216</v>
      </c>
      <c r="E112" s="1421" t="s">
        <v>215</v>
      </c>
      <c r="F112" s="725" t="s">
        <v>275</v>
      </c>
    </row>
    <row r="113" spans="2:6">
      <c r="B113" s="1418" t="s">
        <v>217</v>
      </c>
      <c r="C113" s="1419">
        <v>175</v>
      </c>
      <c r="D113" s="1406" t="s">
        <v>218</v>
      </c>
      <c r="E113" s="1421" t="s">
        <v>217</v>
      </c>
      <c r="F113" s="725" t="s">
        <v>271</v>
      </c>
    </row>
    <row r="114" spans="2:6">
      <c r="B114" s="1418" t="s">
        <v>219</v>
      </c>
      <c r="C114" s="1419">
        <v>177</v>
      </c>
      <c r="D114" s="1406" t="s">
        <v>220</v>
      </c>
      <c r="E114" s="1421" t="s">
        <v>219</v>
      </c>
      <c r="F114" s="725" t="s">
        <v>274</v>
      </c>
    </row>
    <row r="115" spans="2:6">
      <c r="B115" s="1418" t="s">
        <v>221</v>
      </c>
      <c r="C115" s="1419">
        <v>179</v>
      </c>
      <c r="D115" s="1406" t="s">
        <v>222</v>
      </c>
      <c r="E115" s="1421" t="s">
        <v>221</v>
      </c>
      <c r="F115" s="725" t="s">
        <v>274</v>
      </c>
    </row>
    <row r="116" spans="2:6">
      <c r="B116" s="1418" t="s">
        <v>223</v>
      </c>
      <c r="C116" s="1419">
        <v>800</v>
      </c>
      <c r="D116" s="1406" t="s">
        <v>224</v>
      </c>
      <c r="E116" s="1421" t="s">
        <v>223</v>
      </c>
      <c r="F116" s="725" t="s">
        <v>271</v>
      </c>
    </row>
    <row r="117" spans="2:6">
      <c r="B117" s="1418" t="s">
        <v>225</v>
      </c>
      <c r="C117" s="1419">
        <v>181</v>
      </c>
      <c r="D117" s="1406" t="s">
        <v>226</v>
      </c>
      <c r="E117" s="1421" t="s">
        <v>225</v>
      </c>
      <c r="F117" s="725" t="s">
        <v>271</v>
      </c>
    </row>
    <row r="118" spans="2:6">
      <c r="B118" s="1418" t="s">
        <v>227</v>
      </c>
      <c r="C118" s="1419">
        <v>183</v>
      </c>
      <c r="D118" s="1406" t="s">
        <v>228</v>
      </c>
      <c r="E118" s="1421" t="s">
        <v>227</v>
      </c>
      <c r="F118" s="725" t="s">
        <v>271</v>
      </c>
    </row>
    <row r="119" spans="2:6">
      <c r="B119" s="1418" t="s">
        <v>229</v>
      </c>
      <c r="C119" s="1419">
        <v>185</v>
      </c>
      <c r="D119" s="1406" t="s">
        <v>230</v>
      </c>
      <c r="E119" s="1421" t="s">
        <v>229</v>
      </c>
      <c r="F119" s="725" t="s">
        <v>275</v>
      </c>
    </row>
    <row r="120" spans="2:6">
      <c r="B120" s="1418" t="s">
        <v>231</v>
      </c>
      <c r="C120" s="1419">
        <v>810</v>
      </c>
      <c r="D120" s="1406" t="s">
        <v>232</v>
      </c>
      <c r="E120" s="1421" t="s">
        <v>231</v>
      </c>
      <c r="F120" s="725" t="s">
        <v>271</v>
      </c>
    </row>
    <row r="121" spans="2:6">
      <c r="B121" s="1418" t="s">
        <v>233</v>
      </c>
      <c r="C121" s="1419">
        <v>187</v>
      </c>
      <c r="D121" s="1406" t="s">
        <v>234</v>
      </c>
      <c r="E121" s="1421" t="s">
        <v>233</v>
      </c>
      <c r="F121" s="725" t="s">
        <v>274</v>
      </c>
    </row>
    <row r="122" spans="2:6">
      <c r="B122" s="1418" t="s">
        <v>235</v>
      </c>
      <c r="C122" s="1419">
        <v>191</v>
      </c>
      <c r="D122" s="1406" t="s">
        <v>236</v>
      </c>
      <c r="E122" s="1421" t="s">
        <v>235</v>
      </c>
      <c r="F122" s="725" t="s">
        <v>275</v>
      </c>
    </row>
    <row r="123" spans="2:6">
      <c r="B123" s="1418" t="s">
        <v>237</v>
      </c>
      <c r="C123" s="1419">
        <v>193</v>
      </c>
      <c r="D123" s="1406" t="s">
        <v>238</v>
      </c>
      <c r="E123" s="1421" t="s">
        <v>237</v>
      </c>
      <c r="F123" s="725" t="s">
        <v>273</v>
      </c>
    </row>
    <row r="124" spans="2:6">
      <c r="B124" s="1418" t="s">
        <v>239</v>
      </c>
      <c r="C124" s="1419">
        <v>830</v>
      </c>
      <c r="D124" s="1406" t="s">
        <v>240</v>
      </c>
      <c r="E124" s="1421" t="s">
        <v>239</v>
      </c>
      <c r="F124" s="725" t="s">
        <v>271</v>
      </c>
    </row>
    <row r="125" spans="2:6">
      <c r="B125" s="1418" t="s">
        <v>241</v>
      </c>
      <c r="C125" s="1419">
        <v>840</v>
      </c>
      <c r="D125" s="1406" t="s">
        <v>242</v>
      </c>
      <c r="E125" s="1421" t="s">
        <v>241</v>
      </c>
      <c r="F125" s="725" t="s">
        <v>274</v>
      </c>
    </row>
    <row r="126" spans="2:6">
      <c r="B126" s="1418" t="s">
        <v>243</v>
      </c>
      <c r="C126" s="1419">
        <v>195</v>
      </c>
      <c r="D126" s="1406" t="s">
        <v>244</v>
      </c>
      <c r="E126" s="1421" t="s">
        <v>243</v>
      </c>
      <c r="F126" s="725" t="s">
        <v>275</v>
      </c>
    </row>
    <row r="127" spans="2:6">
      <c r="B127" s="1418" t="s">
        <v>245</v>
      </c>
      <c r="C127" s="1419">
        <v>197</v>
      </c>
      <c r="D127" s="1406" t="s">
        <v>246</v>
      </c>
      <c r="E127" s="1421" t="s">
        <v>245</v>
      </c>
      <c r="F127" s="725" t="s">
        <v>275</v>
      </c>
    </row>
    <row r="128" spans="2:6">
      <c r="B128" s="1424" t="s">
        <v>247</v>
      </c>
      <c r="C128" s="1425">
        <v>199</v>
      </c>
      <c r="D128" s="1426" t="s">
        <v>332</v>
      </c>
      <c r="E128" s="1427" t="s">
        <v>247</v>
      </c>
      <c r="F128" s="725" t="s">
        <v>271</v>
      </c>
    </row>
    <row r="129" spans="2:5">
      <c r="B129" s="1720" t="s">
        <v>1143</v>
      </c>
      <c r="C129" s="1720"/>
      <c r="D129" s="1720"/>
      <c r="E129" s="1720"/>
    </row>
    <row r="130" spans="2:5">
      <c r="B130" s="1417"/>
      <c r="C130" s="1417"/>
    </row>
    <row r="131" spans="2:5">
      <c r="B131" s="1721" t="s">
        <v>249</v>
      </c>
      <c r="C131" s="1721"/>
      <c r="D131" s="1721"/>
      <c r="E131" s="1721"/>
    </row>
    <row r="132" spans="2:5">
      <c r="B132" s="1428" t="s">
        <v>250</v>
      </c>
      <c r="C132" s="1428"/>
      <c r="D132" s="544" t="s">
        <v>251</v>
      </c>
      <c r="E132" s="1429"/>
    </row>
  </sheetData>
  <mergeCells count="2">
    <mergeCell ref="B129:E129"/>
    <mergeCell ref="B131:E131"/>
  </mergeCells>
  <hyperlinks>
    <hyperlink ref="D132" r:id="rId1"/>
  </hyperlinks>
  <pageMargins left="1" right="1" top="1" bottom="1" header="0.3" footer="0.3"/>
  <pageSetup orientation="portrait" r:id="rId2"/>
  <headerFooter>
    <oddHeader>&amp;C&amp;"Courier New,Bold"&amp;12Percent of Population Receiving SNAP, Dec. 2010, by Race and Adults or Children</oddHeader>
    <oddFooter>&amp;C&amp;"Courier New,Regular"&amp;10&amp;P of &amp;N</oddFooter>
  </headerFooter>
</worksheet>
</file>

<file path=xl/worksheets/sheet47.xml><?xml version="1.0" encoding="utf-8"?>
<worksheet xmlns="http://schemas.openxmlformats.org/spreadsheetml/2006/main" xmlns:r="http://schemas.openxmlformats.org/officeDocument/2006/relationships">
  <dimension ref="A1:D2"/>
  <sheetViews>
    <sheetView workbookViewId="0">
      <selection activeCell="I23" sqref="I23"/>
    </sheetView>
  </sheetViews>
  <sheetFormatPr defaultRowHeight="15.75"/>
  <sheetData>
    <row r="1" spans="1:4">
      <c r="A1" t="s">
        <v>763</v>
      </c>
      <c r="D1" t="s">
        <v>764</v>
      </c>
    </row>
    <row r="2" spans="1:4">
      <c r="D2" t="s">
        <v>765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F133"/>
  <sheetViews>
    <sheetView workbookViewId="0">
      <pane ySplit="3" topLeftCell="A104" activePane="bottomLeft" state="frozen"/>
      <selection pane="bottomLeft" activeCell="B130" sqref="B130"/>
    </sheetView>
  </sheetViews>
  <sheetFormatPr defaultRowHeight="15.75"/>
  <cols>
    <col min="1" max="1" width="4.625" style="726" customWidth="1"/>
    <col min="2" max="2" width="35.125" style="725" customWidth="1"/>
    <col min="3" max="3" width="16" style="725" customWidth="1"/>
    <col min="4" max="4" width="12.25" style="280" customWidth="1"/>
    <col min="5" max="5" width="22.375" style="280" customWidth="1"/>
    <col min="6" max="6" width="18.25" style="280" customWidth="1"/>
    <col min="7" max="16384" width="9" style="280"/>
  </cols>
  <sheetData>
    <row r="1" spans="1:6">
      <c r="A1" s="64" t="s">
        <v>875</v>
      </c>
      <c r="B1" s="280"/>
      <c r="C1" s="280"/>
    </row>
    <row r="2" spans="1:6">
      <c r="A2" s="509"/>
      <c r="B2" s="509"/>
      <c r="C2" s="509"/>
    </row>
    <row r="3" spans="1:6">
      <c r="A3" s="509" t="s">
        <v>4</v>
      </c>
      <c r="B3" s="723" t="s">
        <v>797</v>
      </c>
      <c r="C3" s="723" t="s">
        <v>252</v>
      </c>
      <c r="D3" s="64" t="s">
        <v>838</v>
      </c>
      <c r="E3" s="64" t="s">
        <v>876</v>
      </c>
    </row>
    <row r="4" spans="1:6">
      <c r="A4" s="724" t="s">
        <v>10</v>
      </c>
      <c r="B4" s="725" t="s">
        <v>11</v>
      </c>
      <c r="C4" s="725" t="s">
        <v>271</v>
      </c>
      <c r="D4" s="280" t="s">
        <v>849</v>
      </c>
      <c r="F4" s="272"/>
    </row>
    <row r="5" spans="1:6">
      <c r="A5" s="724" t="s">
        <v>12</v>
      </c>
      <c r="B5" s="725" t="s">
        <v>13</v>
      </c>
      <c r="C5" s="725" t="s">
        <v>272</v>
      </c>
      <c r="D5" s="280" t="s">
        <v>839</v>
      </c>
      <c r="E5" s="280" t="s">
        <v>864</v>
      </c>
      <c r="F5" s="272"/>
    </row>
    <row r="6" spans="1:6">
      <c r="A6" s="724" t="s">
        <v>16</v>
      </c>
      <c r="B6" s="725" t="s">
        <v>307</v>
      </c>
      <c r="C6" s="725" t="s">
        <v>272</v>
      </c>
      <c r="D6" s="280" t="s">
        <v>849</v>
      </c>
      <c r="F6" s="272"/>
    </row>
    <row r="7" spans="1:6">
      <c r="A7" s="724" t="s">
        <v>18</v>
      </c>
      <c r="B7" s="725" t="s">
        <v>19</v>
      </c>
      <c r="C7" s="725" t="s">
        <v>273</v>
      </c>
      <c r="D7" s="280" t="s">
        <v>849</v>
      </c>
      <c r="F7" s="272"/>
    </row>
    <row r="8" spans="1:6">
      <c r="A8" s="724" t="s">
        <v>20</v>
      </c>
      <c r="B8" s="725" t="s">
        <v>21</v>
      </c>
      <c r="C8" s="725" t="s">
        <v>272</v>
      </c>
      <c r="D8" s="280" t="s">
        <v>849</v>
      </c>
      <c r="F8" s="272"/>
    </row>
    <row r="9" spans="1:6">
      <c r="A9" s="724" t="s">
        <v>22</v>
      </c>
      <c r="B9" s="725" t="s">
        <v>23</v>
      </c>
      <c r="C9" s="725" t="s">
        <v>272</v>
      </c>
      <c r="D9" s="280" t="s">
        <v>849</v>
      </c>
      <c r="F9" s="272"/>
    </row>
    <row r="10" spans="1:6">
      <c r="A10" s="724" t="s">
        <v>24</v>
      </c>
      <c r="B10" s="725" t="s">
        <v>25</v>
      </c>
      <c r="C10" s="725" t="s">
        <v>274</v>
      </c>
      <c r="D10" s="280" t="s">
        <v>839</v>
      </c>
      <c r="E10" s="280" t="s">
        <v>864</v>
      </c>
      <c r="F10" s="272"/>
    </row>
    <row r="11" spans="1:6">
      <c r="A11" s="724" t="s">
        <v>26</v>
      </c>
      <c r="B11" s="280" t="s">
        <v>908</v>
      </c>
      <c r="C11" s="725" t="s">
        <v>272</v>
      </c>
      <c r="D11" s="280" t="s">
        <v>849</v>
      </c>
      <c r="F11" s="272"/>
    </row>
    <row r="12" spans="1:6">
      <c r="A12" s="724" t="s">
        <v>27</v>
      </c>
      <c r="B12" s="725" t="s">
        <v>28</v>
      </c>
      <c r="C12" s="725" t="s">
        <v>272</v>
      </c>
      <c r="D12" s="280" t="s">
        <v>849</v>
      </c>
      <c r="F12" s="272"/>
    </row>
    <row r="13" spans="1:6">
      <c r="A13" s="724" t="s">
        <v>29</v>
      </c>
      <c r="B13" s="725" t="s">
        <v>804</v>
      </c>
      <c r="C13" s="725" t="s">
        <v>272</v>
      </c>
      <c r="D13" s="280" t="s">
        <v>849</v>
      </c>
      <c r="F13" s="272"/>
    </row>
    <row r="14" spans="1:6">
      <c r="A14" s="724" t="s">
        <v>31</v>
      </c>
      <c r="B14" s="725" t="s">
        <v>32</v>
      </c>
      <c r="C14" s="725" t="s">
        <v>275</v>
      </c>
      <c r="D14" s="280" t="s">
        <v>849</v>
      </c>
      <c r="F14" s="272"/>
    </row>
    <row r="15" spans="1:6">
      <c r="A15" s="724" t="s">
        <v>33</v>
      </c>
      <c r="B15" s="725" t="s">
        <v>34</v>
      </c>
      <c r="C15" s="725" t="s">
        <v>272</v>
      </c>
      <c r="D15" s="280" t="s">
        <v>849</v>
      </c>
      <c r="F15" s="272"/>
    </row>
    <row r="16" spans="1:6">
      <c r="A16" s="724" t="s">
        <v>37</v>
      </c>
      <c r="B16" s="725" t="s">
        <v>38</v>
      </c>
      <c r="C16" s="725" t="s">
        <v>271</v>
      </c>
      <c r="D16" s="280" t="s">
        <v>849</v>
      </c>
      <c r="F16" s="272"/>
    </row>
    <row r="17" spans="1:6">
      <c r="A17" s="724" t="s">
        <v>39</v>
      </c>
      <c r="B17" s="725" t="s">
        <v>40</v>
      </c>
      <c r="C17" s="725" t="s">
        <v>275</v>
      </c>
      <c r="D17" s="280" t="s">
        <v>849</v>
      </c>
      <c r="F17" s="272"/>
    </row>
    <row r="18" spans="1:6">
      <c r="A18" s="724" t="s">
        <v>41</v>
      </c>
      <c r="B18" s="725" t="s">
        <v>42</v>
      </c>
      <c r="C18" s="725" t="s">
        <v>273</v>
      </c>
      <c r="D18" s="280" t="s">
        <v>849</v>
      </c>
      <c r="F18" s="272"/>
    </row>
    <row r="19" spans="1:6">
      <c r="A19" s="724" t="s">
        <v>43</v>
      </c>
      <c r="B19" s="725" t="s">
        <v>44</v>
      </c>
      <c r="C19" s="725" t="s">
        <v>272</v>
      </c>
      <c r="D19" s="280" t="s">
        <v>849</v>
      </c>
      <c r="F19" s="272"/>
    </row>
    <row r="20" spans="1:6">
      <c r="A20" s="724" t="s">
        <v>45</v>
      </c>
      <c r="B20" s="725" t="s">
        <v>46</v>
      </c>
      <c r="C20" s="725" t="s">
        <v>273</v>
      </c>
      <c r="D20" s="280" t="s">
        <v>849</v>
      </c>
      <c r="F20" s="272"/>
    </row>
    <row r="21" spans="1:6">
      <c r="A21" s="724" t="s">
        <v>47</v>
      </c>
      <c r="B21" s="725" t="s">
        <v>48</v>
      </c>
      <c r="C21" s="725" t="s">
        <v>275</v>
      </c>
      <c r="D21" s="280" t="s">
        <v>849</v>
      </c>
      <c r="F21" s="272"/>
    </row>
    <row r="22" spans="1:6">
      <c r="A22" s="724" t="s">
        <v>49</v>
      </c>
      <c r="B22" s="725" t="s">
        <v>276</v>
      </c>
      <c r="C22" s="725" t="s">
        <v>273</v>
      </c>
      <c r="D22" s="280" t="s">
        <v>849</v>
      </c>
      <c r="F22" s="272"/>
    </row>
    <row r="23" spans="1:6">
      <c r="A23" s="724" t="s">
        <v>51</v>
      </c>
      <c r="B23" s="725" t="s">
        <v>52</v>
      </c>
      <c r="C23" s="725" t="s">
        <v>272</v>
      </c>
      <c r="D23" s="280" t="s">
        <v>849</v>
      </c>
      <c r="F23" s="272"/>
    </row>
    <row r="24" spans="1:6">
      <c r="A24" s="724" t="s">
        <v>57</v>
      </c>
      <c r="B24" s="725" t="s">
        <v>305</v>
      </c>
      <c r="C24" s="725" t="s">
        <v>273</v>
      </c>
      <c r="D24" s="280" t="s">
        <v>849</v>
      </c>
      <c r="F24" s="272"/>
    </row>
    <row r="25" spans="1:6">
      <c r="A25" s="724" t="s">
        <v>59</v>
      </c>
      <c r="B25" s="725" t="s">
        <v>60</v>
      </c>
      <c r="C25" s="725" t="s">
        <v>274</v>
      </c>
      <c r="D25" s="280" t="s">
        <v>849</v>
      </c>
      <c r="F25" s="272"/>
    </row>
    <row r="26" spans="1:6">
      <c r="A26" s="724" t="s">
        <v>61</v>
      </c>
      <c r="B26" s="725" t="s">
        <v>62</v>
      </c>
      <c r="C26" s="725" t="s">
        <v>272</v>
      </c>
      <c r="D26" s="280" t="s">
        <v>849</v>
      </c>
      <c r="F26" s="272"/>
    </row>
    <row r="27" spans="1:6">
      <c r="A27" s="724" t="s">
        <v>63</v>
      </c>
      <c r="B27" s="725" t="s">
        <v>64</v>
      </c>
      <c r="C27" s="725" t="s">
        <v>274</v>
      </c>
      <c r="D27" s="280" t="s">
        <v>849</v>
      </c>
      <c r="F27" s="272"/>
    </row>
    <row r="28" spans="1:6">
      <c r="A28" s="724" t="s">
        <v>65</v>
      </c>
      <c r="B28" s="725" t="s">
        <v>66</v>
      </c>
      <c r="C28" s="725" t="s">
        <v>273</v>
      </c>
      <c r="D28" s="280" t="s">
        <v>849</v>
      </c>
      <c r="F28" s="272"/>
    </row>
    <row r="29" spans="1:6">
      <c r="A29" s="724" t="s">
        <v>69</v>
      </c>
      <c r="B29" s="725" t="s">
        <v>70</v>
      </c>
      <c r="C29" s="725" t="s">
        <v>275</v>
      </c>
      <c r="D29" s="280" t="s">
        <v>849</v>
      </c>
      <c r="F29" s="272"/>
    </row>
    <row r="30" spans="1:6">
      <c r="A30" s="724" t="s">
        <v>71</v>
      </c>
      <c r="B30" s="725" t="s">
        <v>72</v>
      </c>
      <c r="C30" s="725" t="s">
        <v>271</v>
      </c>
      <c r="D30" s="280" t="s">
        <v>849</v>
      </c>
      <c r="F30" s="272"/>
    </row>
    <row r="31" spans="1:6">
      <c r="A31" s="724" t="s">
        <v>73</v>
      </c>
      <c r="B31" s="725" t="s">
        <v>74</v>
      </c>
      <c r="C31" s="725" t="s">
        <v>273</v>
      </c>
      <c r="D31" s="280" t="s">
        <v>849</v>
      </c>
      <c r="F31" s="272"/>
    </row>
    <row r="32" spans="1:6">
      <c r="A32" s="724" t="s">
        <v>75</v>
      </c>
      <c r="B32" s="725" t="s">
        <v>840</v>
      </c>
      <c r="C32" s="725" t="s">
        <v>274</v>
      </c>
      <c r="D32" s="280" t="s">
        <v>839</v>
      </c>
      <c r="E32" s="280" t="s">
        <v>865</v>
      </c>
      <c r="F32" s="272"/>
    </row>
    <row r="33" spans="1:6">
      <c r="A33" s="724" t="s">
        <v>77</v>
      </c>
      <c r="B33" s="725" t="s">
        <v>78</v>
      </c>
      <c r="C33" s="725" t="s">
        <v>274</v>
      </c>
      <c r="D33" s="280" t="s">
        <v>849</v>
      </c>
      <c r="F33" s="272"/>
    </row>
    <row r="34" spans="1:6">
      <c r="A34" s="724" t="s">
        <v>79</v>
      </c>
      <c r="B34" s="725" t="s">
        <v>80</v>
      </c>
      <c r="C34" s="725" t="s">
        <v>275</v>
      </c>
      <c r="D34" s="280" t="s">
        <v>849</v>
      </c>
      <c r="F34" s="272"/>
    </row>
    <row r="35" spans="1:6">
      <c r="A35" s="724" t="s">
        <v>81</v>
      </c>
      <c r="B35" s="725" t="s">
        <v>82</v>
      </c>
      <c r="C35" s="725" t="s">
        <v>273</v>
      </c>
      <c r="D35" s="280" t="s">
        <v>849</v>
      </c>
      <c r="F35" s="272"/>
    </row>
    <row r="36" spans="1:6">
      <c r="A36" s="724" t="s">
        <v>85</v>
      </c>
      <c r="B36" s="725" t="s">
        <v>86</v>
      </c>
      <c r="C36" s="725" t="s">
        <v>272</v>
      </c>
      <c r="D36" s="280" t="s">
        <v>849</v>
      </c>
      <c r="F36" s="272"/>
    </row>
    <row r="37" spans="1:6">
      <c r="A37" s="724" t="s">
        <v>87</v>
      </c>
      <c r="B37" s="725" t="s">
        <v>88</v>
      </c>
      <c r="C37" s="725" t="s">
        <v>274</v>
      </c>
      <c r="D37" s="280" t="s">
        <v>849</v>
      </c>
      <c r="F37" s="272"/>
    </row>
    <row r="38" spans="1:6">
      <c r="A38" s="724" t="s">
        <v>93</v>
      </c>
      <c r="B38" s="725" t="s">
        <v>94</v>
      </c>
      <c r="C38" s="725" t="s">
        <v>275</v>
      </c>
      <c r="D38" s="280" t="s">
        <v>849</v>
      </c>
      <c r="F38" s="272"/>
    </row>
    <row r="39" spans="1:6">
      <c r="A39" s="724" t="s">
        <v>95</v>
      </c>
      <c r="B39" s="725" t="s">
        <v>96</v>
      </c>
      <c r="C39" s="725" t="s">
        <v>271</v>
      </c>
      <c r="D39" s="280" t="s">
        <v>849</v>
      </c>
      <c r="F39" s="272"/>
    </row>
    <row r="40" spans="1:6">
      <c r="A40" s="724" t="s">
        <v>97</v>
      </c>
      <c r="B40" s="725" t="s">
        <v>98</v>
      </c>
      <c r="C40" s="725" t="s">
        <v>273</v>
      </c>
      <c r="D40" s="280" t="s">
        <v>849</v>
      </c>
      <c r="F40" s="272"/>
    </row>
    <row r="41" spans="1:6">
      <c r="A41" s="724" t="s">
        <v>99</v>
      </c>
      <c r="B41" s="725" t="s">
        <v>100</v>
      </c>
      <c r="C41" s="725" t="s">
        <v>275</v>
      </c>
      <c r="D41" s="280" t="s">
        <v>849</v>
      </c>
      <c r="F41" s="272"/>
    </row>
    <row r="42" spans="1:6">
      <c r="A42" s="724" t="s">
        <v>101</v>
      </c>
      <c r="B42" s="725" t="s">
        <v>102</v>
      </c>
      <c r="C42" s="725" t="s">
        <v>274</v>
      </c>
      <c r="D42" s="280" t="s">
        <v>849</v>
      </c>
      <c r="F42" s="272"/>
    </row>
    <row r="43" spans="1:6">
      <c r="A43" s="724" t="s">
        <v>103</v>
      </c>
      <c r="B43" s="725" t="s">
        <v>290</v>
      </c>
      <c r="C43" s="725" t="s">
        <v>271</v>
      </c>
      <c r="D43" s="280" t="s">
        <v>849</v>
      </c>
      <c r="F43" s="272"/>
    </row>
    <row r="44" spans="1:6">
      <c r="A44" s="724" t="s">
        <v>105</v>
      </c>
      <c r="B44" s="725" t="s">
        <v>106</v>
      </c>
      <c r="C44" s="725" t="s">
        <v>272</v>
      </c>
      <c r="D44" s="280" t="s">
        <v>849</v>
      </c>
      <c r="F44" s="272"/>
    </row>
    <row r="45" spans="1:6">
      <c r="A45" s="724" t="s">
        <v>109</v>
      </c>
      <c r="B45" s="725" t="s">
        <v>110</v>
      </c>
      <c r="C45" s="725" t="s">
        <v>273</v>
      </c>
      <c r="D45" s="280" t="s">
        <v>839</v>
      </c>
      <c r="E45" s="280" t="s">
        <v>865</v>
      </c>
      <c r="F45" s="272"/>
    </row>
    <row r="46" spans="1:6">
      <c r="A46" s="724" t="s">
        <v>111</v>
      </c>
      <c r="B46" s="725" t="s">
        <v>112</v>
      </c>
      <c r="C46" s="725" t="s">
        <v>273</v>
      </c>
      <c r="D46" s="280" t="s">
        <v>839</v>
      </c>
      <c r="E46" s="280" t="s">
        <v>865</v>
      </c>
      <c r="F46" s="272"/>
    </row>
    <row r="47" spans="1:6">
      <c r="A47" s="724" t="s">
        <v>113</v>
      </c>
      <c r="B47" s="725" t="s">
        <v>310</v>
      </c>
      <c r="C47" s="725" t="s">
        <v>272</v>
      </c>
      <c r="D47" s="280" t="s">
        <v>849</v>
      </c>
      <c r="F47" s="272"/>
    </row>
    <row r="48" spans="1:6">
      <c r="A48" s="724" t="s">
        <v>115</v>
      </c>
      <c r="B48" s="725" t="s">
        <v>116</v>
      </c>
      <c r="C48" s="725" t="s">
        <v>272</v>
      </c>
      <c r="D48" s="280" t="s">
        <v>849</v>
      </c>
      <c r="F48" s="272"/>
    </row>
    <row r="49" spans="1:6">
      <c r="A49" s="724" t="s">
        <v>119</v>
      </c>
      <c r="B49" s="725" t="s">
        <v>277</v>
      </c>
      <c r="C49" s="725" t="s">
        <v>271</v>
      </c>
      <c r="D49" s="280" t="s">
        <v>849</v>
      </c>
      <c r="F49" s="272"/>
    </row>
    <row r="50" spans="1:6">
      <c r="A50" s="724" t="s">
        <v>121</v>
      </c>
      <c r="B50" s="725" t="s">
        <v>122</v>
      </c>
      <c r="C50" s="725" t="s">
        <v>271</v>
      </c>
      <c r="D50" s="280" t="s">
        <v>839</v>
      </c>
      <c r="E50" s="280" t="s">
        <v>864</v>
      </c>
      <c r="F50" s="272"/>
    </row>
    <row r="51" spans="1:6">
      <c r="A51" s="724" t="s">
        <v>123</v>
      </c>
      <c r="B51" s="725" t="s">
        <v>296</v>
      </c>
      <c r="C51" s="725" t="s">
        <v>273</v>
      </c>
      <c r="D51" s="280" t="s">
        <v>849</v>
      </c>
      <c r="F51" s="272"/>
    </row>
    <row r="52" spans="1:6">
      <c r="A52" s="724" t="s">
        <v>125</v>
      </c>
      <c r="B52" s="725" t="s">
        <v>126</v>
      </c>
      <c r="C52" s="725" t="s">
        <v>274</v>
      </c>
      <c r="D52" s="280" t="s">
        <v>849</v>
      </c>
      <c r="F52" s="272"/>
    </row>
    <row r="53" spans="1:6">
      <c r="A53" s="724" t="s">
        <v>127</v>
      </c>
      <c r="B53" s="725" t="s">
        <v>128</v>
      </c>
      <c r="C53" s="725" t="s">
        <v>273</v>
      </c>
      <c r="D53" s="280" t="s">
        <v>849</v>
      </c>
      <c r="F53" s="272"/>
    </row>
    <row r="54" spans="1:6">
      <c r="A54" s="724" t="s">
        <v>129</v>
      </c>
      <c r="B54" s="725" t="s">
        <v>130</v>
      </c>
      <c r="C54" s="725" t="s">
        <v>273</v>
      </c>
      <c r="D54" s="280" t="s">
        <v>849</v>
      </c>
      <c r="F54" s="272"/>
    </row>
    <row r="55" spans="1:6">
      <c r="A55" s="724" t="s">
        <v>131</v>
      </c>
      <c r="B55" s="725" t="s">
        <v>132</v>
      </c>
      <c r="C55" s="725" t="s">
        <v>275</v>
      </c>
      <c r="D55" s="280" t="s">
        <v>849</v>
      </c>
      <c r="F55" s="272"/>
    </row>
    <row r="56" spans="1:6">
      <c r="A56" s="724" t="s">
        <v>133</v>
      </c>
      <c r="B56" s="725" t="s">
        <v>134</v>
      </c>
      <c r="C56" s="725" t="s">
        <v>274</v>
      </c>
      <c r="D56" s="280" t="s">
        <v>839</v>
      </c>
      <c r="E56" s="280" t="s">
        <v>865</v>
      </c>
      <c r="F56" s="272"/>
    </row>
    <row r="57" spans="1:6">
      <c r="A57" s="724" t="s">
        <v>135</v>
      </c>
      <c r="B57" s="725" t="s">
        <v>136</v>
      </c>
      <c r="C57" s="725" t="s">
        <v>274</v>
      </c>
      <c r="D57" s="280" t="s">
        <v>839</v>
      </c>
      <c r="E57" s="280" t="s">
        <v>865</v>
      </c>
      <c r="F57" s="272"/>
    </row>
    <row r="58" spans="1:6">
      <c r="A58" s="724" t="s">
        <v>137</v>
      </c>
      <c r="B58" s="725" t="s">
        <v>138</v>
      </c>
      <c r="C58" s="725" t="s">
        <v>273</v>
      </c>
      <c r="D58" s="280" t="s">
        <v>839</v>
      </c>
      <c r="E58" s="280" t="s">
        <v>865</v>
      </c>
      <c r="F58" s="272"/>
    </row>
    <row r="59" spans="1:6">
      <c r="A59" s="724" t="s">
        <v>141</v>
      </c>
      <c r="B59" s="725" t="s">
        <v>142</v>
      </c>
      <c r="C59" s="725" t="s">
        <v>274</v>
      </c>
      <c r="D59" s="280" t="s">
        <v>849</v>
      </c>
      <c r="F59" s="272"/>
    </row>
    <row r="60" spans="1:6">
      <c r="A60" s="724" t="s">
        <v>147</v>
      </c>
      <c r="B60" s="725" t="s">
        <v>148</v>
      </c>
      <c r="C60" s="725" t="s">
        <v>271</v>
      </c>
      <c r="D60" s="280" t="s">
        <v>849</v>
      </c>
      <c r="F60" s="272"/>
    </row>
    <row r="61" spans="1:6">
      <c r="A61" s="724" t="s">
        <v>149</v>
      </c>
      <c r="B61" s="725" t="s">
        <v>150</v>
      </c>
      <c r="C61" s="725" t="s">
        <v>272</v>
      </c>
      <c r="D61" s="280" t="s">
        <v>849</v>
      </c>
      <c r="F61" s="272"/>
    </row>
    <row r="62" spans="1:6">
      <c r="A62" s="724" t="s">
        <v>151</v>
      </c>
      <c r="B62" s="725" t="s">
        <v>152</v>
      </c>
      <c r="C62" s="725" t="s">
        <v>273</v>
      </c>
      <c r="D62" s="280" t="s">
        <v>839</v>
      </c>
      <c r="E62" s="280" t="s">
        <v>865</v>
      </c>
      <c r="F62" s="272"/>
    </row>
    <row r="63" spans="1:6">
      <c r="A63" s="724" t="s">
        <v>153</v>
      </c>
      <c r="B63" s="725" t="s">
        <v>154</v>
      </c>
      <c r="C63" s="725" t="s">
        <v>275</v>
      </c>
      <c r="D63" s="280" t="s">
        <v>849</v>
      </c>
      <c r="F63" s="272"/>
    </row>
    <row r="64" spans="1:6">
      <c r="A64" s="724" t="s">
        <v>155</v>
      </c>
      <c r="B64" s="725" t="s">
        <v>156</v>
      </c>
      <c r="C64" s="725" t="s">
        <v>272</v>
      </c>
      <c r="D64" s="280" t="s">
        <v>849</v>
      </c>
      <c r="F64" s="272"/>
    </row>
    <row r="65" spans="1:6">
      <c r="A65" s="724" t="s">
        <v>157</v>
      </c>
      <c r="B65" s="725" t="s">
        <v>158</v>
      </c>
      <c r="C65" s="725" t="s">
        <v>273</v>
      </c>
      <c r="D65" s="280" t="s">
        <v>839</v>
      </c>
      <c r="E65" s="280" t="s">
        <v>865</v>
      </c>
      <c r="F65" s="272"/>
    </row>
    <row r="66" spans="1:6">
      <c r="A66" s="724" t="s">
        <v>163</v>
      </c>
      <c r="B66" s="725" t="s">
        <v>164</v>
      </c>
      <c r="C66" s="725" t="s">
        <v>271</v>
      </c>
      <c r="D66" s="280" t="s">
        <v>849</v>
      </c>
      <c r="F66" s="272"/>
    </row>
    <row r="67" spans="1:6">
      <c r="A67" s="724" t="s">
        <v>165</v>
      </c>
      <c r="B67" s="725" t="s">
        <v>166</v>
      </c>
      <c r="C67" s="725" t="s">
        <v>273</v>
      </c>
      <c r="D67" s="280" t="s">
        <v>849</v>
      </c>
      <c r="F67" s="272"/>
    </row>
    <row r="68" spans="1:6">
      <c r="A68" s="724" t="s">
        <v>169</v>
      </c>
      <c r="B68" s="725" t="s">
        <v>170</v>
      </c>
      <c r="C68" s="725" t="s">
        <v>273</v>
      </c>
      <c r="D68" s="280" t="s">
        <v>849</v>
      </c>
      <c r="F68" s="272"/>
    </row>
    <row r="69" spans="1:6">
      <c r="A69" s="724" t="s">
        <v>171</v>
      </c>
      <c r="B69" s="725" t="s">
        <v>172</v>
      </c>
      <c r="C69" s="725" t="s">
        <v>274</v>
      </c>
      <c r="D69" s="280" t="s">
        <v>849</v>
      </c>
      <c r="F69" s="272"/>
    </row>
    <row r="70" spans="1:6">
      <c r="A70" s="724" t="s">
        <v>173</v>
      </c>
      <c r="B70" s="725" t="s">
        <v>174</v>
      </c>
      <c r="C70" s="725" t="s">
        <v>274</v>
      </c>
      <c r="D70" s="280" t="s">
        <v>849</v>
      </c>
      <c r="F70" s="272"/>
    </row>
    <row r="71" spans="1:6">
      <c r="A71" s="724" t="s">
        <v>175</v>
      </c>
      <c r="B71" s="725" t="s">
        <v>176</v>
      </c>
      <c r="C71" s="725" t="s">
        <v>275</v>
      </c>
      <c r="D71" s="280" t="s">
        <v>849</v>
      </c>
      <c r="F71" s="272"/>
    </row>
    <row r="72" spans="1:6">
      <c r="A72" s="724" t="s">
        <v>179</v>
      </c>
      <c r="B72" s="725" t="s">
        <v>180</v>
      </c>
      <c r="C72" s="725" t="s">
        <v>272</v>
      </c>
      <c r="D72" s="280" t="s">
        <v>849</v>
      </c>
      <c r="F72" s="272"/>
    </row>
    <row r="73" spans="1:6">
      <c r="A73" s="724" t="s">
        <v>183</v>
      </c>
      <c r="B73" s="725" t="s">
        <v>184</v>
      </c>
      <c r="C73" s="725" t="s">
        <v>273</v>
      </c>
      <c r="D73" s="280" t="s">
        <v>849</v>
      </c>
      <c r="F73" s="272"/>
    </row>
    <row r="74" spans="1:6">
      <c r="A74" s="724" t="s">
        <v>185</v>
      </c>
      <c r="B74" s="725" t="s">
        <v>186</v>
      </c>
      <c r="C74" s="725" t="s">
        <v>273</v>
      </c>
      <c r="D74" s="280" t="s">
        <v>849</v>
      </c>
      <c r="F74" s="272"/>
    </row>
    <row r="75" spans="1:6">
      <c r="A75" s="724" t="s">
        <v>187</v>
      </c>
      <c r="B75" s="725" t="s">
        <v>188</v>
      </c>
      <c r="C75" s="725" t="s">
        <v>271</v>
      </c>
      <c r="D75" s="280" t="s">
        <v>839</v>
      </c>
      <c r="E75" s="280" t="s">
        <v>865</v>
      </c>
      <c r="F75" s="272"/>
    </row>
    <row r="76" spans="1:6">
      <c r="A76" s="724" t="s">
        <v>189</v>
      </c>
      <c r="B76" s="725" t="s">
        <v>190</v>
      </c>
      <c r="C76" s="725" t="s">
        <v>274</v>
      </c>
      <c r="D76" s="280" t="s">
        <v>849</v>
      </c>
      <c r="F76" s="272"/>
    </row>
    <row r="77" spans="1:6">
      <c r="A77" s="724" t="s">
        <v>191</v>
      </c>
      <c r="B77" s="725" t="s">
        <v>192</v>
      </c>
      <c r="C77" s="725" t="s">
        <v>275</v>
      </c>
      <c r="D77" s="280" t="s">
        <v>849</v>
      </c>
      <c r="F77" s="272"/>
    </row>
    <row r="78" spans="1:6">
      <c r="A78" s="724" t="s">
        <v>195</v>
      </c>
      <c r="B78" s="725" t="s">
        <v>196</v>
      </c>
      <c r="C78" s="725" t="s">
        <v>274</v>
      </c>
      <c r="D78" s="280" t="s">
        <v>849</v>
      </c>
      <c r="F78" s="272"/>
    </row>
    <row r="79" spans="1:6">
      <c r="A79" s="724" t="s">
        <v>199</v>
      </c>
      <c r="B79" s="725" t="s">
        <v>279</v>
      </c>
      <c r="C79" s="725" t="s">
        <v>273</v>
      </c>
      <c r="D79" s="280" t="s">
        <v>849</v>
      </c>
      <c r="F79" s="272"/>
    </row>
    <row r="80" spans="1:6">
      <c r="A80" s="724" t="s">
        <v>203</v>
      </c>
      <c r="B80" s="725" t="s">
        <v>805</v>
      </c>
      <c r="C80" s="725" t="s">
        <v>272</v>
      </c>
      <c r="D80" s="280" t="s">
        <v>839</v>
      </c>
      <c r="E80" s="280" t="s">
        <v>864</v>
      </c>
      <c r="F80" s="272"/>
    </row>
    <row r="81" spans="1:6">
      <c r="A81" s="724" t="s">
        <v>205</v>
      </c>
      <c r="B81" s="725" t="s">
        <v>303</v>
      </c>
      <c r="C81" s="725" t="s">
        <v>272</v>
      </c>
      <c r="D81" s="280" t="s">
        <v>849</v>
      </c>
      <c r="F81" s="272"/>
    </row>
    <row r="82" spans="1:6">
      <c r="A82" s="724" t="s">
        <v>207</v>
      </c>
      <c r="B82" s="725" t="s">
        <v>304</v>
      </c>
      <c r="C82" s="725" t="s">
        <v>274</v>
      </c>
      <c r="D82" s="280" t="s">
        <v>839</v>
      </c>
      <c r="E82" s="280" t="s">
        <v>916</v>
      </c>
      <c r="F82" s="272"/>
    </row>
    <row r="83" spans="1:6">
      <c r="A83" s="724" t="s">
        <v>209</v>
      </c>
      <c r="B83" s="725" t="s">
        <v>210</v>
      </c>
      <c r="C83" s="725" t="s">
        <v>275</v>
      </c>
      <c r="D83" s="280" t="s">
        <v>849</v>
      </c>
      <c r="F83" s="272"/>
    </row>
    <row r="84" spans="1:6">
      <c r="A84" s="724" t="s">
        <v>211</v>
      </c>
      <c r="B84" s="725" t="s">
        <v>212</v>
      </c>
      <c r="C84" s="725" t="s">
        <v>275</v>
      </c>
      <c r="D84" s="280" t="s">
        <v>849</v>
      </c>
      <c r="F84" s="272"/>
    </row>
    <row r="85" spans="1:6">
      <c r="A85" s="724" t="s">
        <v>213</v>
      </c>
      <c r="B85" s="725" t="s">
        <v>681</v>
      </c>
      <c r="C85" s="725" t="s">
        <v>274</v>
      </c>
      <c r="D85" s="280" t="s">
        <v>849</v>
      </c>
      <c r="F85" s="272"/>
    </row>
    <row r="86" spans="1:6">
      <c r="A86" s="724" t="s">
        <v>215</v>
      </c>
      <c r="B86" s="725" t="s">
        <v>216</v>
      </c>
      <c r="C86" s="725" t="s">
        <v>275</v>
      </c>
      <c r="D86" s="280" t="s">
        <v>849</v>
      </c>
      <c r="F86" s="272"/>
    </row>
    <row r="87" spans="1:6">
      <c r="A87" s="724" t="s">
        <v>217</v>
      </c>
      <c r="B87" s="725" t="s">
        <v>218</v>
      </c>
      <c r="C87" s="725" t="s">
        <v>271</v>
      </c>
      <c r="D87" s="280" t="s">
        <v>849</v>
      </c>
      <c r="F87" s="272"/>
    </row>
    <row r="88" spans="1:6">
      <c r="A88" s="724" t="s">
        <v>219</v>
      </c>
      <c r="B88" s="725" t="s">
        <v>220</v>
      </c>
      <c r="C88" s="725" t="s">
        <v>274</v>
      </c>
      <c r="D88" s="280" t="s">
        <v>839</v>
      </c>
      <c r="E88" s="280" t="s">
        <v>865</v>
      </c>
      <c r="F88" s="272"/>
    </row>
    <row r="89" spans="1:6">
      <c r="A89" s="724" t="s">
        <v>221</v>
      </c>
      <c r="B89" s="725" t="s">
        <v>222</v>
      </c>
      <c r="C89" s="725" t="s">
        <v>274</v>
      </c>
      <c r="D89" s="280" t="s">
        <v>849</v>
      </c>
      <c r="F89" s="272"/>
    </row>
    <row r="90" spans="1:6">
      <c r="A90" s="724" t="s">
        <v>225</v>
      </c>
      <c r="B90" s="725" t="s">
        <v>226</v>
      </c>
      <c r="C90" s="725" t="s">
        <v>271</v>
      </c>
      <c r="D90" s="280" t="s">
        <v>849</v>
      </c>
      <c r="F90" s="272"/>
    </row>
    <row r="91" spans="1:6">
      <c r="A91" s="724" t="s">
        <v>227</v>
      </c>
      <c r="B91" s="725" t="s">
        <v>228</v>
      </c>
      <c r="C91" s="725" t="s">
        <v>271</v>
      </c>
      <c r="D91" s="280" t="s">
        <v>849</v>
      </c>
      <c r="F91" s="272"/>
    </row>
    <row r="92" spans="1:6">
      <c r="A92" s="724" t="s">
        <v>229</v>
      </c>
      <c r="B92" s="725" t="s">
        <v>230</v>
      </c>
      <c r="C92" s="725" t="s">
        <v>275</v>
      </c>
      <c r="D92" s="280" t="s">
        <v>849</v>
      </c>
      <c r="F92" s="272"/>
    </row>
    <row r="93" spans="1:6">
      <c r="A93" s="724" t="s">
        <v>233</v>
      </c>
      <c r="B93" s="725" t="s">
        <v>234</v>
      </c>
      <c r="C93" s="725" t="s">
        <v>274</v>
      </c>
      <c r="D93" s="280" t="s">
        <v>839</v>
      </c>
      <c r="E93" s="280" t="s">
        <v>865</v>
      </c>
      <c r="F93" s="272"/>
    </row>
    <row r="94" spans="1:6">
      <c r="A94" s="724" t="s">
        <v>235</v>
      </c>
      <c r="B94" s="725" t="s">
        <v>236</v>
      </c>
      <c r="C94" s="725" t="s">
        <v>275</v>
      </c>
      <c r="D94" s="280" t="s">
        <v>849</v>
      </c>
      <c r="F94" s="272"/>
    </row>
    <row r="95" spans="1:6">
      <c r="A95" s="724" t="s">
        <v>237</v>
      </c>
      <c r="B95" s="725" t="s">
        <v>238</v>
      </c>
      <c r="C95" s="725" t="s">
        <v>273</v>
      </c>
      <c r="D95" s="280" t="s">
        <v>849</v>
      </c>
      <c r="F95" s="272"/>
    </row>
    <row r="96" spans="1:6">
      <c r="A96" s="724" t="s">
        <v>243</v>
      </c>
      <c r="B96" s="725" t="s">
        <v>244</v>
      </c>
      <c r="C96" s="725" t="s">
        <v>275</v>
      </c>
      <c r="D96" s="280" t="s">
        <v>849</v>
      </c>
      <c r="F96" s="272"/>
    </row>
    <row r="97" spans="1:6">
      <c r="A97" s="724" t="s">
        <v>245</v>
      </c>
      <c r="B97" s="725" t="s">
        <v>246</v>
      </c>
      <c r="C97" s="725" t="s">
        <v>275</v>
      </c>
      <c r="D97" s="280" t="s">
        <v>849</v>
      </c>
      <c r="F97" s="272"/>
    </row>
    <row r="98" spans="1:6">
      <c r="A98" s="724" t="s">
        <v>247</v>
      </c>
      <c r="B98" s="725" t="s">
        <v>248</v>
      </c>
      <c r="C98" s="725" t="s">
        <v>271</v>
      </c>
      <c r="D98" s="280" t="s">
        <v>849</v>
      </c>
      <c r="F98" s="272"/>
    </row>
    <row r="99" spans="1:6">
      <c r="A99" s="724" t="s">
        <v>14</v>
      </c>
      <c r="B99" s="725" t="s">
        <v>15</v>
      </c>
      <c r="C99" s="725" t="s">
        <v>274</v>
      </c>
      <c r="D99" s="280" t="s">
        <v>839</v>
      </c>
      <c r="E99" s="280" t="s">
        <v>866</v>
      </c>
      <c r="F99" s="272"/>
    </row>
    <row r="100" spans="1:6">
      <c r="A100" s="724" t="s">
        <v>35</v>
      </c>
      <c r="B100" s="725" t="s">
        <v>36</v>
      </c>
      <c r="C100" s="725" t="s">
        <v>275</v>
      </c>
      <c r="D100" s="280" t="s">
        <v>849</v>
      </c>
      <c r="F100" s="272"/>
    </row>
    <row r="101" spans="1:6">
      <c r="A101" s="724" t="s">
        <v>53</v>
      </c>
      <c r="B101" s="725" t="s">
        <v>54</v>
      </c>
      <c r="C101" s="725" t="s">
        <v>272</v>
      </c>
      <c r="D101" s="280" t="s">
        <v>839</v>
      </c>
      <c r="E101" s="280" t="s">
        <v>864</v>
      </c>
      <c r="F101" s="272"/>
    </row>
    <row r="102" spans="1:6">
      <c r="A102" s="724" t="s">
        <v>55</v>
      </c>
      <c r="B102" s="725" t="s">
        <v>56</v>
      </c>
      <c r="C102" s="725" t="s">
        <v>271</v>
      </c>
      <c r="D102" s="280" t="s">
        <v>839</v>
      </c>
      <c r="E102" s="280" t="s">
        <v>866</v>
      </c>
      <c r="F102" s="272"/>
    </row>
    <row r="103" spans="1:6">
      <c r="A103" s="724" t="s">
        <v>67</v>
      </c>
      <c r="B103" s="725" t="s">
        <v>68</v>
      </c>
      <c r="C103" s="725" t="s">
        <v>272</v>
      </c>
      <c r="D103" s="280" t="s">
        <v>839</v>
      </c>
      <c r="E103" s="280" t="s">
        <v>864</v>
      </c>
      <c r="F103" s="272"/>
    </row>
    <row r="104" spans="1:6">
      <c r="A104" s="724" t="s">
        <v>83</v>
      </c>
      <c r="B104" s="725" t="s">
        <v>84</v>
      </c>
      <c r="C104" s="725" t="s">
        <v>271</v>
      </c>
      <c r="D104" s="280" t="s">
        <v>839</v>
      </c>
      <c r="E104" s="280" t="s">
        <v>866</v>
      </c>
      <c r="F104" s="272"/>
    </row>
    <row r="105" spans="1:6">
      <c r="A105" s="724" t="s">
        <v>89</v>
      </c>
      <c r="B105" s="725" t="s">
        <v>90</v>
      </c>
      <c r="C105" s="725" t="s">
        <v>274</v>
      </c>
      <c r="D105" s="280" t="s">
        <v>849</v>
      </c>
      <c r="F105" s="272"/>
    </row>
    <row r="106" spans="1:6">
      <c r="A106" s="724" t="s">
        <v>91</v>
      </c>
      <c r="B106" s="725" t="s">
        <v>92</v>
      </c>
      <c r="C106" s="725" t="s">
        <v>275</v>
      </c>
      <c r="D106" s="280" t="s">
        <v>839</v>
      </c>
      <c r="E106" s="280" t="s">
        <v>866</v>
      </c>
      <c r="F106" s="272"/>
    </row>
    <row r="107" spans="1:6">
      <c r="A107" s="724" t="s">
        <v>107</v>
      </c>
      <c r="B107" s="725" t="s">
        <v>108</v>
      </c>
      <c r="C107" s="725" t="s">
        <v>271</v>
      </c>
      <c r="D107" s="280" t="s">
        <v>839</v>
      </c>
      <c r="E107" s="280" t="s">
        <v>864</v>
      </c>
      <c r="F107" s="272"/>
    </row>
    <row r="108" spans="1:6">
      <c r="A108" s="724" t="s">
        <v>117</v>
      </c>
      <c r="B108" s="725" t="s">
        <v>118</v>
      </c>
      <c r="C108" s="725" t="s">
        <v>273</v>
      </c>
      <c r="D108" s="280" t="s">
        <v>839</v>
      </c>
      <c r="E108" s="280" t="s">
        <v>866</v>
      </c>
      <c r="F108" s="272"/>
    </row>
    <row r="109" spans="1:6">
      <c r="A109" s="724" t="s">
        <v>139</v>
      </c>
      <c r="B109" s="725" t="s">
        <v>140</v>
      </c>
      <c r="C109" s="725" t="s">
        <v>272</v>
      </c>
      <c r="D109" s="280" t="s">
        <v>839</v>
      </c>
      <c r="E109" s="280" t="s">
        <v>864</v>
      </c>
      <c r="F109" s="272"/>
    </row>
    <row r="110" spans="1:6">
      <c r="A110" s="724" t="s">
        <v>143</v>
      </c>
      <c r="B110" s="725" t="s">
        <v>144</v>
      </c>
      <c r="C110" s="725" t="s">
        <v>274</v>
      </c>
      <c r="D110" s="280" t="s">
        <v>839</v>
      </c>
      <c r="E110" s="280" t="s">
        <v>866</v>
      </c>
      <c r="F110" s="272"/>
    </row>
    <row r="111" spans="1:6">
      <c r="A111" s="724" t="s">
        <v>145</v>
      </c>
      <c r="B111" s="725" t="s">
        <v>146</v>
      </c>
      <c r="C111" s="725" t="s">
        <v>274</v>
      </c>
      <c r="D111" s="280" t="s">
        <v>839</v>
      </c>
      <c r="E111" s="280" t="s">
        <v>866</v>
      </c>
      <c r="F111" s="272"/>
    </row>
    <row r="112" spans="1:6">
      <c r="A112" s="724" t="s">
        <v>159</v>
      </c>
      <c r="B112" s="725" t="s">
        <v>160</v>
      </c>
      <c r="C112" s="725" t="s">
        <v>271</v>
      </c>
      <c r="D112" s="280" t="s">
        <v>839</v>
      </c>
      <c r="E112" s="280" t="s">
        <v>864</v>
      </c>
      <c r="F112" s="272"/>
    </row>
    <row r="113" spans="1:6">
      <c r="A113" s="724" t="s">
        <v>161</v>
      </c>
      <c r="B113" s="725" t="s">
        <v>162</v>
      </c>
      <c r="C113" s="725" t="s">
        <v>271</v>
      </c>
      <c r="D113" s="280" t="s">
        <v>839</v>
      </c>
      <c r="E113" s="280" t="s">
        <v>864</v>
      </c>
      <c r="F113" s="272"/>
    </row>
    <row r="114" spans="1:6">
      <c r="A114" s="724" t="s">
        <v>167</v>
      </c>
      <c r="B114" s="725" t="s">
        <v>168</v>
      </c>
      <c r="C114" s="725" t="s">
        <v>275</v>
      </c>
      <c r="D114" s="280" t="s">
        <v>839</v>
      </c>
      <c r="E114" s="280" t="s">
        <v>866</v>
      </c>
      <c r="F114" s="272"/>
    </row>
    <row r="115" spans="1:6">
      <c r="A115" s="724" t="s">
        <v>177</v>
      </c>
      <c r="B115" s="725" t="s">
        <v>178</v>
      </c>
      <c r="C115" s="725" t="s">
        <v>273</v>
      </c>
      <c r="D115" s="280" t="s">
        <v>839</v>
      </c>
      <c r="E115" s="280" t="s">
        <v>866</v>
      </c>
      <c r="F115" s="272"/>
    </row>
    <row r="116" spans="1:6">
      <c r="A116" s="724" t="s">
        <v>181</v>
      </c>
      <c r="B116" s="725" t="s">
        <v>182</v>
      </c>
      <c r="C116" s="725" t="s">
        <v>271</v>
      </c>
      <c r="D116" s="280" t="s">
        <v>839</v>
      </c>
      <c r="E116" s="280" t="s">
        <v>864</v>
      </c>
      <c r="F116" s="272"/>
    </row>
    <row r="117" spans="1:6">
      <c r="A117" s="724" t="s">
        <v>193</v>
      </c>
      <c r="B117" s="725" t="s">
        <v>194</v>
      </c>
      <c r="C117" s="725" t="s">
        <v>275</v>
      </c>
      <c r="D117" s="280" t="s">
        <v>849</v>
      </c>
      <c r="F117" s="272"/>
    </row>
    <row r="118" spans="1:6">
      <c r="A118" s="724" t="s">
        <v>197</v>
      </c>
      <c r="B118" s="725" t="s">
        <v>198</v>
      </c>
      <c r="C118" s="725" t="s">
        <v>273</v>
      </c>
      <c r="D118" s="280" t="s">
        <v>839</v>
      </c>
      <c r="E118" s="280" t="s">
        <v>864</v>
      </c>
      <c r="F118" s="272"/>
    </row>
    <row r="119" spans="1:6">
      <c r="A119" s="724" t="s">
        <v>201</v>
      </c>
      <c r="B119" s="725" t="s">
        <v>202</v>
      </c>
      <c r="C119" s="725" t="s">
        <v>272</v>
      </c>
      <c r="D119" s="280" t="s">
        <v>839</v>
      </c>
      <c r="E119" s="280" t="s">
        <v>864</v>
      </c>
      <c r="F119" s="272"/>
    </row>
    <row r="120" spans="1:6">
      <c r="A120" s="724" t="s">
        <v>223</v>
      </c>
      <c r="B120" s="725" t="s">
        <v>224</v>
      </c>
      <c r="C120" s="725" t="s">
        <v>271</v>
      </c>
      <c r="D120" s="280" t="s">
        <v>839</v>
      </c>
      <c r="E120" s="280" t="s">
        <v>864</v>
      </c>
      <c r="F120" s="272"/>
    </row>
    <row r="121" spans="1:6">
      <c r="A121" s="724" t="s">
        <v>231</v>
      </c>
      <c r="B121" s="725" t="s">
        <v>232</v>
      </c>
      <c r="C121" s="725" t="s">
        <v>271</v>
      </c>
      <c r="D121" s="280" t="s">
        <v>839</v>
      </c>
      <c r="E121" s="280" t="s">
        <v>864</v>
      </c>
      <c r="F121" s="272"/>
    </row>
    <row r="122" spans="1:6">
      <c r="A122" s="724" t="s">
        <v>239</v>
      </c>
      <c r="B122" s="725" t="s">
        <v>240</v>
      </c>
      <c r="C122" s="725" t="s">
        <v>271</v>
      </c>
      <c r="D122" s="280" t="s">
        <v>839</v>
      </c>
      <c r="E122" s="280" t="s">
        <v>864</v>
      </c>
      <c r="F122" s="272"/>
    </row>
    <row r="123" spans="1:6">
      <c r="A123" s="724" t="s">
        <v>241</v>
      </c>
      <c r="B123" s="725" t="s">
        <v>242</v>
      </c>
      <c r="C123" s="725" t="s">
        <v>274</v>
      </c>
      <c r="D123" s="280" t="s">
        <v>839</v>
      </c>
      <c r="E123" s="280" t="s">
        <v>866</v>
      </c>
      <c r="F123" s="272"/>
    </row>
    <row r="125" spans="1:6">
      <c r="C125" s="727" t="s">
        <v>878</v>
      </c>
      <c r="D125" s="280">
        <f>COUNTIF(D4:D123,"Administrative")</f>
        <v>82</v>
      </c>
    </row>
    <row r="126" spans="1:6">
      <c r="C126" s="727" t="s">
        <v>841</v>
      </c>
      <c r="D126" s="280">
        <f>COUNTIF(D3:D123,"Advisory")</f>
        <v>38</v>
      </c>
    </row>
    <row r="127" spans="1:6">
      <c r="C127" s="727"/>
    </row>
    <row r="128" spans="1:6">
      <c r="A128" s="728" t="s">
        <v>877</v>
      </c>
      <c r="C128" s="729"/>
    </row>
    <row r="130" spans="1:2">
      <c r="A130" s="728" t="s">
        <v>1127</v>
      </c>
    </row>
    <row r="132" spans="1:2" s="542" customFormat="1">
      <c r="A132" s="542" t="s">
        <v>249</v>
      </c>
    </row>
    <row r="133" spans="1:2" s="542" customFormat="1">
      <c r="A133" s="543" t="s">
        <v>250</v>
      </c>
      <c r="B133" s="544" t="s">
        <v>251</v>
      </c>
    </row>
  </sheetData>
  <autoFilter ref="A3:D3"/>
  <dataValidations count="1">
    <dataValidation type="list" allowBlank="1" showInputMessage="1" showErrorMessage="1" sqref="E4:F123">
      <formula1>$H$201:$H$205</formula1>
    </dataValidation>
  </dataValidations>
  <hyperlinks>
    <hyperlink ref="B133" r:id="rId1"/>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dimension ref="A1:AQ138"/>
  <sheetViews>
    <sheetView workbookViewId="0">
      <pane xSplit="3" ySplit="5" topLeftCell="D111" activePane="bottomRight" state="frozen"/>
      <selection pane="topRight" activeCell="D1" sqref="D1"/>
      <selection pane="bottomLeft" activeCell="A5" sqref="A5"/>
      <selection pane="bottomRight" activeCell="F105" sqref="F105"/>
    </sheetView>
  </sheetViews>
  <sheetFormatPr defaultRowHeight="15.75"/>
  <cols>
    <col min="1" max="1" width="9" style="280"/>
    <col min="2" max="2" width="32.5" style="280" customWidth="1"/>
    <col min="3" max="3" width="14.125" style="280" customWidth="1"/>
    <col min="4" max="4" width="12.5" style="280" customWidth="1"/>
    <col min="5" max="8" width="9" style="280"/>
    <col min="9" max="9" width="2.625" style="280" customWidth="1"/>
    <col min="10" max="20" width="9" style="280"/>
    <col min="21" max="21" width="10.75" style="280" customWidth="1"/>
    <col min="22" max="22" width="3.625" style="280" customWidth="1"/>
    <col min="23" max="25" width="13.125" style="280" customWidth="1"/>
    <col min="26" max="28" width="14.875" style="280" customWidth="1"/>
    <col min="29" max="29" width="4.5" style="280" customWidth="1"/>
    <col min="30" max="38" width="9" style="280"/>
    <col min="39" max="39" width="11.125" style="280" bestFit="1" customWidth="1"/>
    <col min="40" max="40" width="10.125" style="280" bestFit="1" customWidth="1"/>
    <col min="41" max="41" width="11.125" style="280" bestFit="1" customWidth="1"/>
    <col min="42" max="16384" width="9" style="280"/>
  </cols>
  <sheetData>
    <row r="1" spans="1:43">
      <c r="A1" s="189" t="s">
        <v>1043</v>
      </c>
    </row>
    <row r="2" spans="1:43">
      <c r="A2" s="189"/>
    </row>
    <row r="3" spans="1:43">
      <c r="E3" s="1636" t="s">
        <v>974</v>
      </c>
      <c r="F3" s="1637"/>
      <c r="G3" s="1637"/>
      <c r="H3" s="1638"/>
      <c r="I3" s="64"/>
      <c r="J3" s="1636" t="s">
        <v>814</v>
      </c>
      <c r="K3" s="1637"/>
      <c r="L3" s="1637"/>
      <c r="M3" s="1638"/>
      <c r="N3" s="1636" t="s">
        <v>961</v>
      </c>
      <c r="O3" s="1637"/>
      <c r="P3" s="1637"/>
      <c r="Q3" s="1638"/>
      <c r="R3" s="1636" t="s">
        <v>966</v>
      </c>
      <c r="S3" s="1637"/>
      <c r="T3" s="1637"/>
      <c r="U3" s="1638"/>
      <c r="W3" s="1636" t="s">
        <v>975</v>
      </c>
      <c r="X3" s="1637"/>
      <c r="Y3" s="1638"/>
      <c r="Z3" s="1639" t="s">
        <v>973</v>
      </c>
      <c r="AA3" s="1640"/>
      <c r="AB3" s="1641"/>
      <c r="AD3" s="1636" t="s">
        <v>814</v>
      </c>
      <c r="AE3" s="1637"/>
      <c r="AF3" s="1638"/>
      <c r="AG3" s="1636" t="s">
        <v>961</v>
      </c>
      <c r="AH3" s="1637"/>
      <c r="AI3" s="1638"/>
      <c r="AJ3" s="1636" t="s">
        <v>966</v>
      </c>
      <c r="AK3" s="1637"/>
      <c r="AL3" s="1638"/>
      <c r="AM3" s="1636" t="s">
        <v>976</v>
      </c>
      <c r="AN3" s="1637"/>
      <c r="AO3" s="1638"/>
      <c r="AQ3" s="64" t="s">
        <v>977</v>
      </c>
    </row>
    <row r="4" spans="1:43">
      <c r="A4" s="64" t="s">
        <v>4</v>
      </c>
      <c r="B4" s="64" t="s">
        <v>5</v>
      </c>
      <c r="C4" s="64" t="s">
        <v>252</v>
      </c>
      <c r="D4" s="64" t="s">
        <v>967</v>
      </c>
      <c r="E4" s="934" t="s">
        <v>289</v>
      </c>
      <c r="F4" s="935" t="s">
        <v>2</v>
      </c>
      <c r="G4" s="935" t="s">
        <v>608</v>
      </c>
      <c r="H4" s="936" t="s">
        <v>609</v>
      </c>
      <c r="I4" s="64"/>
      <c r="J4" s="934" t="s">
        <v>2</v>
      </c>
      <c r="K4" s="935" t="s">
        <v>608</v>
      </c>
      <c r="L4" s="935" t="s">
        <v>609</v>
      </c>
      <c r="M4" s="947" t="s">
        <v>971</v>
      </c>
      <c r="N4" s="934" t="s">
        <v>2</v>
      </c>
      <c r="O4" s="935" t="s">
        <v>608</v>
      </c>
      <c r="P4" s="935" t="s">
        <v>609</v>
      </c>
      <c r="Q4" s="936" t="s">
        <v>971</v>
      </c>
      <c r="R4" s="934" t="s">
        <v>2</v>
      </c>
      <c r="S4" s="935" t="s">
        <v>608</v>
      </c>
      <c r="T4" s="935" t="s">
        <v>609</v>
      </c>
      <c r="U4" s="947" t="s">
        <v>971</v>
      </c>
      <c r="W4" s="946" t="s">
        <v>2</v>
      </c>
      <c r="X4" s="336" t="s">
        <v>608</v>
      </c>
      <c r="Y4" s="947" t="s">
        <v>609</v>
      </c>
      <c r="Z4" s="946" t="s">
        <v>7</v>
      </c>
      <c r="AA4" s="336" t="s">
        <v>6</v>
      </c>
      <c r="AB4" s="947" t="s">
        <v>972</v>
      </c>
      <c r="AD4" s="934" t="s">
        <v>968</v>
      </c>
      <c r="AE4" s="935" t="s">
        <v>969</v>
      </c>
      <c r="AF4" s="936" t="s">
        <v>717</v>
      </c>
      <c r="AG4" s="934" t="s">
        <v>968</v>
      </c>
      <c r="AH4" s="935" t="s">
        <v>969</v>
      </c>
      <c r="AI4" s="936" t="s">
        <v>717</v>
      </c>
      <c r="AJ4" s="934" t="s">
        <v>968</v>
      </c>
      <c r="AK4" s="935" t="s">
        <v>969</v>
      </c>
      <c r="AL4" s="936" t="s">
        <v>717</v>
      </c>
      <c r="AM4" s="934" t="s">
        <v>968</v>
      </c>
      <c r="AN4" s="935" t="s">
        <v>969</v>
      </c>
      <c r="AO4" s="936" t="s">
        <v>717</v>
      </c>
      <c r="AQ4" s="64" t="s">
        <v>717</v>
      </c>
    </row>
    <row r="5" spans="1:43">
      <c r="A5" s="930">
        <v>999</v>
      </c>
      <c r="B5" s="931" t="s">
        <v>9</v>
      </c>
      <c r="C5" s="931"/>
      <c r="D5" s="931"/>
      <c r="E5" s="937">
        <v>8096604</v>
      </c>
      <c r="F5" s="938">
        <f>J5+N5+R5</f>
        <v>5873838</v>
      </c>
      <c r="G5" s="938">
        <f>K5+O5+S5</f>
        <v>1664318</v>
      </c>
      <c r="H5" s="939">
        <f>L5+P5+T5</f>
        <v>558448</v>
      </c>
      <c r="I5" s="932"/>
      <c r="J5" s="937">
        <v>1268870</v>
      </c>
      <c r="K5" s="938">
        <v>443916</v>
      </c>
      <c r="L5" s="938">
        <v>140760</v>
      </c>
      <c r="M5" s="939">
        <f>SUM(J5:L5)</f>
        <v>1853546</v>
      </c>
      <c r="N5" s="937">
        <v>3788969</v>
      </c>
      <c r="O5" s="938">
        <v>1066224</v>
      </c>
      <c r="P5" s="938">
        <v>376802</v>
      </c>
      <c r="Q5" s="939">
        <f>SUM(N5:P5)</f>
        <v>5231995</v>
      </c>
      <c r="R5" s="937">
        <v>815999</v>
      </c>
      <c r="S5" s="938">
        <v>154178</v>
      </c>
      <c r="T5" s="938">
        <v>40886</v>
      </c>
      <c r="U5" s="939">
        <f>SUM(R5:T5)</f>
        <v>1011063</v>
      </c>
      <c r="V5" s="932"/>
      <c r="W5" s="948">
        <f>F5/E5</f>
        <v>0.72546934492535387</v>
      </c>
      <c r="X5" s="949">
        <f>G5/E5</f>
        <v>0.20555753992661616</v>
      </c>
      <c r="Y5" s="950">
        <f>H5/E5</f>
        <v>6.8973115148029965E-2</v>
      </c>
      <c r="Z5" s="948">
        <f>M5/E5</f>
        <v>0.22892882003368326</v>
      </c>
      <c r="AA5" s="949">
        <f>Q5/E5</f>
        <v>0.64619623239570567</v>
      </c>
      <c r="AB5" s="950">
        <f>U5/E5</f>
        <v>0.12487494757061109</v>
      </c>
      <c r="AC5" s="932"/>
      <c r="AD5" s="937">
        <v>127649</v>
      </c>
      <c r="AE5" s="938">
        <v>13111</v>
      </c>
      <c r="AF5" s="939">
        <v>214324</v>
      </c>
      <c r="AG5" s="937">
        <v>345173</v>
      </c>
      <c r="AH5" s="938">
        <v>31629</v>
      </c>
      <c r="AI5" s="939">
        <v>424404</v>
      </c>
      <c r="AJ5" s="937">
        <v>38090</v>
      </c>
      <c r="AK5" s="938">
        <v>2796</v>
      </c>
      <c r="AL5" s="939">
        <v>22002</v>
      </c>
      <c r="AM5" s="937">
        <f>AD5+AG5+AJ5</f>
        <v>510912</v>
      </c>
      <c r="AN5" s="938">
        <f>AE5+AH5+AK5</f>
        <v>47536</v>
      </c>
      <c r="AO5" s="939">
        <f>AF5+AI5+AL5</f>
        <v>660730</v>
      </c>
      <c r="AP5" s="64"/>
      <c r="AQ5" s="933">
        <f>AO5/E5</f>
        <v>8.1605818933468896E-2</v>
      </c>
    </row>
    <row r="6" spans="1:43">
      <c r="A6" s="280" t="s">
        <v>10</v>
      </c>
      <c r="B6" s="280" t="s">
        <v>11</v>
      </c>
      <c r="C6" s="280" t="s">
        <v>271</v>
      </c>
      <c r="D6" s="280">
        <v>2</v>
      </c>
      <c r="E6" s="940">
        <v>33336</v>
      </c>
      <c r="F6" s="941">
        <f t="shared" ref="F6:F69" si="0">J6+N6+R6</f>
        <v>23232</v>
      </c>
      <c r="G6" s="941">
        <f t="shared" ref="G6:G69" si="1">K6+O6+S6</f>
        <v>9612</v>
      </c>
      <c r="H6" s="942">
        <f t="shared" ref="H6:H69" si="2">L6+P6+T6</f>
        <v>492</v>
      </c>
      <c r="I6" s="281"/>
      <c r="J6" s="940">
        <v>4508</v>
      </c>
      <c r="K6" s="941">
        <v>2376</v>
      </c>
      <c r="L6" s="941">
        <v>152</v>
      </c>
      <c r="M6" s="942">
        <f t="shared" ref="M6:M69" si="3">SUM(J6:L6)</f>
        <v>7036</v>
      </c>
      <c r="N6" s="940">
        <v>13546</v>
      </c>
      <c r="O6" s="941">
        <v>5990</v>
      </c>
      <c r="P6" s="941">
        <v>296</v>
      </c>
      <c r="Q6" s="942">
        <f t="shared" ref="Q6:Q69" si="4">SUM(N6:P6)</f>
        <v>19832</v>
      </c>
      <c r="R6" s="940">
        <v>5178</v>
      </c>
      <c r="S6" s="941">
        <v>1246</v>
      </c>
      <c r="T6" s="941">
        <v>44</v>
      </c>
      <c r="U6" s="942">
        <f t="shared" ref="U6:U69" si="5">SUM(R6:T6)</f>
        <v>6468</v>
      </c>
      <c r="V6" s="281"/>
      <c r="W6" s="951">
        <f t="shared" ref="W6:W69" si="6">F6/E6</f>
        <v>0.69690424766018721</v>
      </c>
      <c r="X6" s="952">
        <f t="shared" ref="X6:X69" si="7">G6/E6</f>
        <v>0.28833693304535635</v>
      </c>
      <c r="Y6" s="953">
        <f t="shared" ref="Y6:Y69" si="8">H6/E6</f>
        <v>1.4758819294456443E-2</v>
      </c>
      <c r="Z6" s="951">
        <f t="shared" ref="Z6:Z69" si="9">M6/E6</f>
        <v>0.21106311495080393</v>
      </c>
      <c r="AA6" s="952">
        <f t="shared" ref="AA6:AA69" si="10">Q6/E6</f>
        <v>0.59491240700743941</v>
      </c>
      <c r="AB6" s="953">
        <f t="shared" ref="AB6:AB69" si="11">U6/E6</f>
        <v>0.19402447804175665</v>
      </c>
      <c r="AC6" s="281"/>
      <c r="AD6" s="940">
        <v>82</v>
      </c>
      <c r="AE6" s="941">
        <v>70</v>
      </c>
      <c r="AF6" s="942">
        <v>1235</v>
      </c>
      <c r="AG6" s="940">
        <v>167</v>
      </c>
      <c r="AH6" s="941">
        <v>129</v>
      </c>
      <c r="AI6" s="942">
        <v>1743</v>
      </c>
      <c r="AJ6" s="940">
        <v>17</v>
      </c>
      <c r="AK6" s="941">
        <v>27</v>
      </c>
      <c r="AL6" s="942">
        <v>57</v>
      </c>
      <c r="AM6" s="940">
        <f t="shared" ref="AM6:AM69" si="12">AD6+AG6+AJ6</f>
        <v>266</v>
      </c>
      <c r="AN6" s="941">
        <f t="shared" ref="AN6:AN69" si="13">AE6+AH6+AK6</f>
        <v>226</v>
      </c>
      <c r="AO6" s="942">
        <f t="shared" ref="AO6:AO69" si="14">AF6+AI6+AL6</f>
        <v>3035</v>
      </c>
      <c r="AQ6" s="282">
        <f t="shared" ref="AQ6:AQ69" si="15">AO6/E6</f>
        <v>9.1042716582673391E-2</v>
      </c>
    </row>
    <row r="7" spans="1:43">
      <c r="A7" s="280" t="s">
        <v>12</v>
      </c>
      <c r="B7" s="280" t="s">
        <v>13</v>
      </c>
      <c r="C7" s="280" t="s">
        <v>272</v>
      </c>
      <c r="D7" s="280">
        <v>3</v>
      </c>
      <c r="E7" s="940">
        <v>100553</v>
      </c>
      <c r="F7" s="941">
        <f t="shared" si="0"/>
        <v>84193</v>
      </c>
      <c r="G7" s="941">
        <f t="shared" si="1"/>
        <v>10770</v>
      </c>
      <c r="H7" s="942">
        <f t="shared" si="2"/>
        <v>5590</v>
      </c>
      <c r="I7" s="281"/>
      <c r="J7" s="940">
        <v>17449</v>
      </c>
      <c r="K7" s="941">
        <v>2768</v>
      </c>
      <c r="L7" s="941">
        <v>1226</v>
      </c>
      <c r="M7" s="942">
        <f t="shared" si="3"/>
        <v>21443</v>
      </c>
      <c r="N7" s="940">
        <v>53456</v>
      </c>
      <c r="O7" s="941">
        <v>6944</v>
      </c>
      <c r="P7" s="941">
        <v>4149</v>
      </c>
      <c r="Q7" s="942">
        <f t="shared" si="4"/>
        <v>64549</v>
      </c>
      <c r="R7" s="940">
        <v>13288</v>
      </c>
      <c r="S7" s="941">
        <v>1058</v>
      </c>
      <c r="T7" s="941">
        <v>215</v>
      </c>
      <c r="U7" s="942">
        <f t="shared" si="5"/>
        <v>14561</v>
      </c>
      <c r="V7" s="281"/>
      <c r="W7" s="951">
        <f t="shared" si="6"/>
        <v>0.83729973247938894</v>
      </c>
      <c r="X7" s="952">
        <f t="shared" si="7"/>
        <v>0.1071076944496932</v>
      </c>
      <c r="Y7" s="953">
        <f t="shared" si="8"/>
        <v>5.5592573070917826E-2</v>
      </c>
      <c r="Z7" s="951">
        <f t="shared" si="9"/>
        <v>0.21325072349905025</v>
      </c>
      <c r="AA7" s="952">
        <f t="shared" si="10"/>
        <v>0.64194007140512965</v>
      </c>
      <c r="AB7" s="953">
        <f t="shared" si="11"/>
        <v>0.14480920509582013</v>
      </c>
      <c r="AC7" s="281"/>
      <c r="AD7" s="940">
        <v>1097</v>
      </c>
      <c r="AE7" s="941">
        <v>129</v>
      </c>
      <c r="AF7" s="942">
        <v>1832</v>
      </c>
      <c r="AG7" s="940">
        <v>3863</v>
      </c>
      <c r="AH7" s="941">
        <v>286</v>
      </c>
      <c r="AI7" s="942">
        <v>3666</v>
      </c>
      <c r="AJ7" s="940">
        <v>192</v>
      </c>
      <c r="AK7" s="941">
        <v>23</v>
      </c>
      <c r="AL7" s="942">
        <v>153</v>
      </c>
      <c r="AM7" s="940">
        <f t="shared" si="12"/>
        <v>5152</v>
      </c>
      <c r="AN7" s="941">
        <f t="shared" si="13"/>
        <v>438</v>
      </c>
      <c r="AO7" s="942">
        <f t="shared" si="14"/>
        <v>5651</v>
      </c>
      <c r="AQ7" s="282">
        <f t="shared" si="15"/>
        <v>5.6199218322675604E-2</v>
      </c>
    </row>
    <row r="8" spans="1:43">
      <c r="A8" s="280" t="s">
        <v>16</v>
      </c>
      <c r="B8" s="280" t="s">
        <v>307</v>
      </c>
      <c r="C8" s="280" t="s">
        <v>272</v>
      </c>
      <c r="D8" s="280">
        <v>2</v>
      </c>
      <c r="E8" s="940">
        <v>22114</v>
      </c>
      <c r="F8" s="941">
        <f t="shared" si="0"/>
        <v>20255</v>
      </c>
      <c r="G8" s="941">
        <f t="shared" si="1"/>
        <v>1709</v>
      </c>
      <c r="H8" s="942">
        <f t="shared" si="2"/>
        <v>150</v>
      </c>
      <c r="I8" s="281"/>
      <c r="J8" s="940">
        <v>4144</v>
      </c>
      <c r="K8" s="941">
        <v>431</v>
      </c>
      <c r="L8" s="941">
        <v>39</v>
      </c>
      <c r="M8" s="942">
        <f t="shared" si="3"/>
        <v>4614</v>
      </c>
      <c r="N8" s="940">
        <v>11958</v>
      </c>
      <c r="O8" s="941">
        <v>994</v>
      </c>
      <c r="P8" s="941">
        <v>85</v>
      </c>
      <c r="Q8" s="942">
        <f t="shared" si="4"/>
        <v>13037</v>
      </c>
      <c r="R8" s="940">
        <v>4153</v>
      </c>
      <c r="S8" s="941">
        <v>284</v>
      </c>
      <c r="T8" s="941">
        <v>26</v>
      </c>
      <c r="U8" s="942">
        <f t="shared" si="5"/>
        <v>4463</v>
      </c>
      <c r="V8" s="281"/>
      <c r="W8" s="951">
        <f t="shared" si="6"/>
        <v>0.9159356064031835</v>
      </c>
      <c r="X8" s="952">
        <f t="shared" si="7"/>
        <v>7.72813602242923E-2</v>
      </c>
      <c r="Y8" s="953">
        <f t="shared" si="8"/>
        <v>6.7830333725241929E-3</v>
      </c>
      <c r="Z8" s="951">
        <f t="shared" si="9"/>
        <v>0.20864610653884416</v>
      </c>
      <c r="AA8" s="952">
        <f t="shared" si="10"/>
        <v>0.58953604051731934</v>
      </c>
      <c r="AB8" s="953">
        <f t="shared" si="11"/>
        <v>0.20181785294383647</v>
      </c>
      <c r="AC8" s="281"/>
      <c r="AD8" s="940">
        <v>29</v>
      </c>
      <c r="AE8" s="941">
        <v>10</v>
      </c>
      <c r="AF8" s="942">
        <v>103</v>
      </c>
      <c r="AG8" s="940">
        <v>57</v>
      </c>
      <c r="AH8" s="941">
        <v>28</v>
      </c>
      <c r="AI8" s="942">
        <v>158</v>
      </c>
      <c r="AJ8" s="940">
        <v>15</v>
      </c>
      <c r="AK8" s="941">
        <v>11</v>
      </c>
      <c r="AL8" s="942">
        <v>32</v>
      </c>
      <c r="AM8" s="940">
        <f t="shared" si="12"/>
        <v>101</v>
      </c>
      <c r="AN8" s="941">
        <f t="shared" si="13"/>
        <v>49</v>
      </c>
      <c r="AO8" s="942">
        <f t="shared" si="14"/>
        <v>293</v>
      </c>
      <c r="AQ8" s="282">
        <f t="shared" si="15"/>
        <v>1.3249525187663922E-2</v>
      </c>
    </row>
    <row r="9" spans="1:43">
      <c r="A9" s="280" t="s">
        <v>18</v>
      </c>
      <c r="B9" s="280" t="s">
        <v>19</v>
      </c>
      <c r="C9" s="280" t="s">
        <v>273</v>
      </c>
      <c r="D9" s="280">
        <v>1</v>
      </c>
      <c r="E9" s="940">
        <v>12805</v>
      </c>
      <c r="F9" s="941">
        <f t="shared" si="0"/>
        <v>9597</v>
      </c>
      <c r="G9" s="941">
        <f t="shared" si="1"/>
        <v>3075</v>
      </c>
      <c r="H9" s="942">
        <f t="shared" si="2"/>
        <v>133</v>
      </c>
      <c r="I9" s="281"/>
      <c r="J9" s="940">
        <v>2066</v>
      </c>
      <c r="K9" s="941">
        <v>684</v>
      </c>
      <c r="L9" s="941">
        <v>32</v>
      </c>
      <c r="M9" s="942">
        <f t="shared" si="3"/>
        <v>2782</v>
      </c>
      <c r="N9" s="940">
        <v>6018</v>
      </c>
      <c r="O9" s="941">
        <v>1841</v>
      </c>
      <c r="P9" s="941">
        <v>90</v>
      </c>
      <c r="Q9" s="942">
        <f t="shared" si="4"/>
        <v>7949</v>
      </c>
      <c r="R9" s="940">
        <v>1513</v>
      </c>
      <c r="S9" s="941">
        <v>550</v>
      </c>
      <c r="T9" s="941">
        <v>11</v>
      </c>
      <c r="U9" s="942">
        <f t="shared" si="5"/>
        <v>2074</v>
      </c>
      <c r="V9" s="281"/>
      <c r="W9" s="951">
        <f t="shared" si="6"/>
        <v>0.74947286216321751</v>
      </c>
      <c r="X9" s="952">
        <f t="shared" si="7"/>
        <v>0.24014057008980866</v>
      </c>
      <c r="Y9" s="953">
        <f t="shared" si="8"/>
        <v>1.0386567746973838E-2</v>
      </c>
      <c r="Z9" s="951">
        <f t="shared" si="9"/>
        <v>0.21725888324873097</v>
      </c>
      <c r="AA9" s="952">
        <f t="shared" si="10"/>
        <v>0.62077313549394764</v>
      </c>
      <c r="AB9" s="953">
        <f t="shared" si="11"/>
        <v>0.16196798125732137</v>
      </c>
      <c r="AC9" s="281"/>
      <c r="AD9" s="940">
        <v>16</v>
      </c>
      <c r="AE9" s="941">
        <v>16</v>
      </c>
      <c r="AF9" s="942">
        <v>90</v>
      </c>
      <c r="AG9" s="940">
        <v>33</v>
      </c>
      <c r="AH9" s="941">
        <v>57</v>
      </c>
      <c r="AI9" s="942">
        <v>218</v>
      </c>
      <c r="AJ9" s="940">
        <v>2</v>
      </c>
      <c r="AK9" s="941">
        <v>9</v>
      </c>
      <c r="AL9" s="942">
        <v>15</v>
      </c>
      <c r="AM9" s="940">
        <f t="shared" si="12"/>
        <v>51</v>
      </c>
      <c r="AN9" s="941">
        <f t="shared" si="13"/>
        <v>82</v>
      </c>
      <c r="AO9" s="942">
        <f t="shared" si="14"/>
        <v>323</v>
      </c>
      <c r="AQ9" s="282">
        <f t="shared" si="15"/>
        <v>2.5224521671222178E-2</v>
      </c>
    </row>
    <row r="10" spans="1:43">
      <c r="A10" s="280" t="s">
        <v>20</v>
      </c>
      <c r="B10" s="280" t="s">
        <v>21</v>
      </c>
      <c r="C10" s="280" t="s">
        <v>272</v>
      </c>
      <c r="D10" s="280">
        <v>2</v>
      </c>
      <c r="E10" s="940">
        <v>32167</v>
      </c>
      <c r="F10" s="941">
        <f t="shared" si="0"/>
        <v>25259</v>
      </c>
      <c r="G10" s="941">
        <f t="shared" si="1"/>
        <v>6382</v>
      </c>
      <c r="H10" s="942">
        <f t="shared" si="2"/>
        <v>526</v>
      </c>
      <c r="I10" s="281"/>
      <c r="J10" s="940">
        <v>5150</v>
      </c>
      <c r="K10" s="941">
        <v>1420</v>
      </c>
      <c r="L10" s="941">
        <v>118</v>
      </c>
      <c r="M10" s="942">
        <f t="shared" si="3"/>
        <v>6688</v>
      </c>
      <c r="N10" s="940">
        <v>15589</v>
      </c>
      <c r="O10" s="941">
        <v>4024</v>
      </c>
      <c r="P10" s="941">
        <v>329</v>
      </c>
      <c r="Q10" s="942">
        <f t="shared" si="4"/>
        <v>19942</v>
      </c>
      <c r="R10" s="940">
        <v>4520</v>
      </c>
      <c r="S10" s="941">
        <v>938</v>
      </c>
      <c r="T10" s="941">
        <v>79</v>
      </c>
      <c r="U10" s="942">
        <f t="shared" si="5"/>
        <v>5537</v>
      </c>
      <c r="V10" s="281"/>
      <c r="W10" s="951">
        <f t="shared" si="6"/>
        <v>0.78524574874871766</v>
      </c>
      <c r="X10" s="952">
        <f t="shared" si="7"/>
        <v>0.1984020890975223</v>
      </c>
      <c r="Y10" s="953">
        <f t="shared" si="8"/>
        <v>1.6352162153760064E-2</v>
      </c>
      <c r="Z10" s="951">
        <f t="shared" si="9"/>
        <v>0.20791494388659185</v>
      </c>
      <c r="AA10" s="952">
        <f t="shared" si="10"/>
        <v>0.61995212484844719</v>
      </c>
      <c r="AB10" s="953">
        <f t="shared" si="11"/>
        <v>0.17213293126496099</v>
      </c>
      <c r="AC10" s="281"/>
      <c r="AD10" s="940">
        <v>58</v>
      </c>
      <c r="AE10" s="941">
        <v>60</v>
      </c>
      <c r="AF10" s="942">
        <v>202</v>
      </c>
      <c r="AG10" s="940">
        <v>134</v>
      </c>
      <c r="AH10" s="941">
        <v>195</v>
      </c>
      <c r="AI10" s="942">
        <v>397</v>
      </c>
      <c r="AJ10" s="940">
        <v>23</v>
      </c>
      <c r="AK10" s="941">
        <v>56</v>
      </c>
      <c r="AL10" s="942">
        <v>41</v>
      </c>
      <c r="AM10" s="940">
        <f t="shared" si="12"/>
        <v>215</v>
      </c>
      <c r="AN10" s="941">
        <f t="shared" si="13"/>
        <v>311</v>
      </c>
      <c r="AO10" s="942">
        <f t="shared" si="14"/>
        <v>640</v>
      </c>
      <c r="AQ10" s="282">
        <f t="shared" si="15"/>
        <v>1.9896166879099699E-2</v>
      </c>
    </row>
    <row r="11" spans="1:43">
      <c r="A11" s="280" t="s">
        <v>22</v>
      </c>
      <c r="B11" s="280" t="s">
        <v>23</v>
      </c>
      <c r="C11" s="280" t="s">
        <v>272</v>
      </c>
      <c r="D11" s="280">
        <v>1</v>
      </c>
      <c r="E11" s="940">
        <v>15041</v>
      </c>
      <c r="F11" s="941">
        <f t="shared" si="0"/>
        <v>11802</v>
      </c>
      <c r="G11" s="941">
        <f t="shared" si="1"/>
        <v>3145</v>
      </c>
      <c r="H11" s="942">
        <f t="shared" si="2"/>
        <v>94</v>
      </c>
      <c r="I11" s="281"/>
      <c r="J11" s="940">
        <v>2444</v>
      </c>
      <c r="K11" s="941">
        <v>834</v>
      </c>
      <c r="L11" s="941">
        <v>21</v>
      </c>
      <c r="M11" s="942">
        <f t="shared" si="3"/>
        <v>3299</v>
      </c>
      <c r="N11" s="940">
        <v>7134</v>
      </c>
      <c r="O11" s="941">
        <v>1859</v>
      </c>
      <c r="P11" s="941">
        <v>63</v>
      </c>
      <c r="Q11" s="942">
        <f t="shared" si="4"/>
        <v>9056</v>
      </c>
      <c r="R11" s="940">
        <v>2224</v>
      </c>
      <c r="S11" s="941">
        <v>452</v>
      </c>
      <c r="T11" s="941">
        <v>10</v>
      </c>
      <c r="U11" s="942">
        <f t="shared" si="5"/>
        <v>2686</v>
      </c>
      <c r="V11" s="281"/>
      <c r="W11" s="951">
        <f t="shared" si="6"/>
        <v>0.78465527558008108</v>
      </c>
      <c r="X11" s="952">
        <f t="shared" si="7"/>
        <v>0.20909513995080115</v>
      </c>
      <c r="Y11" s="953">
        <f t="shared" si="8"/>
        <v>6.2495844691177445E-3</v>
      </c>
      <c r="Z11" s="951">
        <f t="shared" si="9"/>
        <v>0.21933382088956851</v>
      </c>
      <c r="AA11" s="952">
        <f t="shared" si="10"/>
        <v>0.60208762715245001</v>
      </c>
      <c r="AB11" s="953">
        <f t="shared" si="11"/>
        <v>0.17857855195798153</v>
      </c>
      <c r="AC11" s="281"/>
      <c r="AD11" s="940">
        <v>18</v>
      </c>
      <c r="AE11" s="941">
        <v>3</v>
      </c>
      <c r="AF11" s="942">
        <v>60</v>
      </c>
      <c r="AG11" s="940">
        <v>32</v>
      </c>
      <c r="AH11" s="941">
        <v>31</v>
      </c>
      <c r="AI11" s="942">
        <v>115</v>
      </c>
      <c r="AJ11" s="940">
        <v>4</v>
      </c>
      <c r="AK11" s="941">
        <v>6</v>
      </c>
      <c r="AL11" s="942">
        <v>14</v>
      </c>
      <c r="AM11" s="940">
        <f t="shared" si="12"/>
        <v>54</v>
      </c>
      <c r="AN11" s="941">
        <f t="shared" si="13"/>
        <v>40</v>
      </c>
      <c r="AO11" s="942">
        <f t="shared" si="14"/>
        <v>189</v>
      </c>
      <c r="AQ11" s="282">
        <f t="shared" si="15"/>
        <v>1.2565653879396317E-2</v>
      </c>
    </row>
    <row r="12" spans="1:43">
      <c r="A12" s="280" t="s">
        <v>24</v>
      </c>
      <c r="B12" s="280" t="s">
        <v>25</v>
      </c>
      <c r="C12" s="280" t="s">
        <v>274</v>
      </c>
      <c r="D12" s="280">
        <v>3</v>
      </c>
      <c r="E12" s="940">
        <v>216004</v>
      </c>
      <c r="F12" s="941">
        <f t="shared" si="0"/>
        <v>170197</v>
      </c>
      <c r="G12" s="941">
        <f t="shared" si="1"/>
        <v>20858</v>
      </c>
      <c r="H12" s="942">
        <f t="shared" si="2"/>
        <v>24949</v>
      </c>
      <c r="I12" s="281"/>
      <c r="J12" s="940">
        <v>26090</v>
      </c>
      <c r="K12" s="941">
        <v>4251</v>
      </c>
      <c r="L12" s="941">
        <v>4154</v>
      </c>
      <c r="M12" s="942">
        <f t="shared" si="3"/>
        <v>34495</v>
      </c>
      <c r="N12" s="940">
        <v>128834</v>
      </c>
      <c r="O12" s="941">
        <v>14792</v>
      </c>
      <c r="P12" s="941">
        <v>19148</v>
      </c>
      <c r="Q12" s="942">
        <f t="shared" si="4"/>
        <v>162774</v>
      </c>
      <c r="R12" s="940">
        <v>15273</v>
      </c>
      <c r="S12" s="941">
        <v>1815</v>
      </c>
      <c r="T12" s="941">
        <v>1647</v>
      </c>
      <c r="U12" s="942">
        <f t="shared" si="5"/>
        <v>18735</v>
      </c>
      <c r="V12" s="281"/>
      <c r="W12" s="951">
        <f t="shared" si="6"/>
        <v>0.78793448269476496</v>
      </c>
      <c r="X12" s="952">
        <f t="shared" si="7"/>
        <v>9.6563026610618316E-2</v>
      </c>
      <c r="Y12" s="953">
        <f t="shared" si="8"/>
        <v>0.11550249069461677</v>
      </c>
      <c r="Z12" s="951">
        <f t="shared" si="9"/>
        <v>0.15969611673857892</v>
      </c>
      <c r="AA12" s="952">
        <f t="shared" si="10"/>
        <v>0.7535693783448455</v>
      </c>
      <c r="AB12" s="953">
        <f t="shared" si="11"/>
        <v>8.6734504916575625E-2</v>
      </c>
      <c r="AC12" s="281"/>
      <c r="AD12" s="940">
        <v>3730</v>
      </c>
      <c r="AE12" s="941">
        <v>424</v>
      </c>
      <c r="AF12" s="942">
        <v>7809</v>
      </c>
      <c r="AG12" s="940">
        <v>17685</v>
      </c>
      <c r="AH12" s="941">
        <v>1463</v>
      </c>
      <c r="AI12" s="942">
        <v>23449</v>
      </c>
      <c r="AJ12" s="940">
        <v>1566</v>
      </c>
      <c r="AK12" s="941">
        <v>81</v>
      </c>
      <c r="AL12" s="942">
        <v>1535</v>
      </c>
      <c r="AM12" s="940">
        <f t="shared" si="12"/>
        <v>22981</v>
      </c>
      <c r="AN12" s="941">
        <f t="shared" si="13"/>
        <v>1968</v>
      </c>
      <c r="AO12" s="942">
        <f t="shared" si="14"/>
        <v>32793</v>
      </c>
      <c r="AQ12" s="282">
        <f t="shared" si="15"/>
        <v>0.15181663302531434</v>
      </c>
    </row>
    <row r="13" spans="1:43">
      <c r="A13" s="280" t="s">
        <v>26</v>
      </c>
      <c r="B13" s="280" t="s">
        <v>908</v>
      </c>
      <c r="C13" s="280" t="s">
        <v>272</v>
      </c>
      <c r="D13" s="280">
        <v>3</v>
      </c>
      <c r="E13" s="940">
        <v>118629</v>
      </c>
      <c r="F13" s="941">
        <f t="shared" si="0"/>
        <v>108069</v>
      </c>
      <c r="G13" s="941">
        <f t="shared" si="1"/>
        <v>9260</v>
      </c>
      <c r="H13" s="942">
        <f t="shared" si="2"/>
        <v>1300</v>
      </c>
      <c r="I13" s="281"/>
      <c r="J13" s="940">
        <v>22106</v>
      </c>
      <c r="K13" s="941">
        <v>2434</v>
      </c>
      <c r="L13" s="941">
        <v>374</v>
      </c>
      <c r="M13" s="942">
        <f t="shared" si="3"/>
        <v>24914</v>
      </c>
      <c r="N13" s="940">
        <v>66406</v>
      </c>
      <c r="O13" s="941">
        <v>5923</v>
      </c>
      <c r="P13" s="941">
        <v>820</v>
      </c>
      <c r="Q13" s="942">
        <f t="shared" si="4"/>
        <v>73149</v>
      </c>
      <c r="R13" s="940">
        <v>19557</v>
      </c>
      <c r="S13" s="941">
        <v>903</v>
      </c>
      <c r="T13" s="941">
        <v>106</v>
      </c>
      <c r="U13" s="942">
        <f t="shared" si="5"/>
        <v>20566</v>
      </c>
      <c r="V13" s="281"/>
      <c r="W13" s="951">
        <f t="shared" si="6"/>
        <v>0.9109829805528159</v>
      </c>
      <c r="X13" s="952">
        <f t="shared" si="7"/>
        <v>7.8058484856148164E-2</v>
      </c>
      <c r="Y13" s="953">
        <f t="shared" si="8"/>
        <v>1.0958534591035919E-2</v>
      </c>
      <c r="Z13" s="951">
        <f t="shared" si="9"/>
        <v>0.21001610061620682</v>
      </c>
      <c r="AA13" s="952">
        <f t="shared" si="10"/>
        <v>0.61661988215360497</v>
      </c>
      <c r="AB13" s="953">
        <f t="shared" si="11"/>
        <v>0.17336401723018824</v>
      </c>
      <c r="AC13" s="281"/>
      <c r="AD13" s="940">
        <v>281</v>
      </c>
      <c r="AE13" s="941">
        <v>93</v>
      </c>
      <c r="AF13" s="942">
        <v>1405</v>
      </c>
      <c r="AG13" s="940">
        <v>587</v>
      </c>
      <c r="AH13" s="941">
        <v>233</v>
      </c>
      <c r="AI13" s="942">
        <v>2063</v>
      </c>
      <c r="AJ13" s="940">
        <v>85</v>
      </c>
      <c r="AK13" s="941">
        <v>21</v>
      </c>
      <c r="AL13" s="942">
        <v>132</v>
      </c>
      <c r="AM13" s="940">
        <f t="shared" si="12"/>
        <v>953</v>
      </c>
      <c r="AN13" s="941">
        <f t="shared" si="13"/>
        <v>347</v>
      </c>
      <c r="AO13" s="942">
        <f t="shared" si="14"/>
        <v>3600</v>
      </c>
      <c r="AQ13" s="282">
        <f t="shared" si="15"/>
        <v>3.0346711175176389E-2</v>
      </c>
    </row>
    <row r="14" spans="1:43">
      <c r="A14" s="280" t="s">
        <v>27</v>
      </c>
      <c r="B14" s="280" t="s">
        <v>28</v>
      </c>
      <c r="C14" s="280" t="s">
        <v>272</v>
      </c>
      <c r="D14" s="280">
        <v>1</v>
      </c>
      <c r="E14" s="940">
        <v>4657</v>
      </c>
      <c r="F14" s="941">
        <f t="shared" si="0"/>
        <v>4380</v>
      </c>
      <c r="G14" s="941">
        <f t="shared" si="1"/>
        <v>257</v>
      </c>
      <c r="H14" s="942">
        <f t="shared" si="2"/>
        <v>20</v>
      </c>
      <c r="I14" s="281"/>
      <c r="J14" s="940">
        <v>732</v>
      </c>
      <c r="K14" s="941">
        <v>46</v>
      </c>
      <c r="L14" s="941">
        <v>4</v>
      </c>
      <c r="M14" s="942">
        <f t="shared" si="3"/>
        <v>782</v>
      </c>
      <c r="N14" s="940">
        <v>2640</v>
      </c>
      <c r="O14" s="941">
        <v>151</v>
      </c>
      <c r="P14" s="941">
        <v>13</v>
      </c>
      <c r="Q14" s="942">
        <f t="shared" si="4"/>
        <v>2804</v>
      </c>
      <c r="R14" s="940">
        <v>1008</v>
      </c>
      <c r="S14" s="941">
        <v>60</v>
      </c>
      <c r="T14" s="941">
        <v>3</v>
      </c>
      <c r="U14" s="942">
        <f t="shared" si="5"/>
        <v>1071</v>
      </c>
      <c r="V14" s="281"/>
      <c r="W14" s="951">
        <f t="shared" si="6"/>
        <v>0.9405196478419583</v>
      </c>
      <c r="X14" s="952">
        <f t="shared" si="7"/>
        <v>5.5185741893923126E-2</v>
      </c>
      <c r="Y14" s="953">
        <f t="shared" si="8"/>
        <v>4.2946102641185317E-3</v>
      </c>
      <c r="Z14" s="951">
        <f t="shared" si="9"/>
        <v>0.16791926132703458</v>
      </c>
      <c r="AA14" s="952">
        <f t="shared" si="10"/>
        <v>0.60210435902941806</v>
      </c>
      <c r="AB14" s="953">
        <f t="shared" si="11"/>
        <v>0.22997637964354734</v>
      </c>
      <c r="AC14" s="281"/>
      <c r="AD14" s="940">
        <v>4</v>
      </c>
      <c r="AE14" s="941">
        <v>0</v>
      </c>
      <c r="AF14" s="942">
        <v>37</v>
      </c>
      <c r="AG14" s="940">
        <v>6</v>
      </c>
      <c r="AH14" s="941">
        <v>7</v>
      </c>
      <c r="AI14" s="942">
        <v>54</v>
      </c>
      <c r="AJ14" s="940">
        <v>3</v>
      </c>
      <c r="AK14" s="941">
        <v>0</v>
      </c>
      <c r="AL14" s="942">
        <v>11</v>
      </c>
      <c r="AM14" s="940">
        <f t="shared" si="12"/>
        <v>13</v>
      </c>
      <c r="AN14" s="941">
        <f t="shared" si="13"/>
        <v>7</v>
      </c>
      <c r="AO14" s="942">
        <f t="shared" si="14"/>
        <v>102</v>
      </c>
      <c r="AQ14" s="282">
        <f t="shared" si="15"/>
        <v>2.1902512347004511E-2</v>
      </c>
    </row>
    <row r="15" spans="1:43">
      <c r="A15" s="280" t="s">
        <v>29</v>
      </c>
      <c r="B15" s="280" t="s">
        <v>804</v>
      </c>
      <c r="C15" s="280" t="s">
        <v>272</v>
      </c>
      <c r="D15" s="280">
        <v>2</v>
      </c>
      <c r="E15" s="940">
        <v>75427</v>
      </c>
      <c r="F15" s="941">
        <f t="shared" si="0"/>
        <v>68635</v>
      </c>
      <c r="G15" s="941">
        <f t="shared" si="1"/>
        <v>5697</v>
      </c>
      <c r="H15" s="942">
        <f t="shared" si="2"/>
        <v>1095</v>
      </c>
      <c r="I15" s="281"/>
      <c r="J15" s="940">
        <v>14460</v>
      </c>
      <c r="K15" s="941">
        <v>1403</v>
      </c>
      <c r="L15" s="941">
        <v>383</v>
      </c>
      <c r="M15" s="942">
        <f t="shared" si="3"/>
        <v>16246</v>
      </c>
      <c r="N15" s="940">
        <v>42052</v>
      </c>
      <c r="O15" s="941">
        <v>3515</v>
      </c>
      <c r="P15" s="941">
        <v>643</v>
      </c>
      <c r="Q15" s="942">
        <f t="shared" si="4"/>
        <v>46210</v>
      </c>
      <c r="R15" s="940">
        <v>12123</v>
      </c>
      <c r="S15" s="941">
        <v>779</v>
      </c>
      <c r="T15" s="941">
        <v>69</v>
      </c>
      <c r="U15" s="942">
        <f t="shared" si="5"/>
        <v>12971</v>
      </c>
      <c r="V15" s="281"/>
      <c r="W15" s="951">
        <f t="shared" si="6"/>
        <v>0.90995266946849274</v>
      </c>
      <c r="X15" s="952">
        <f t="shared" si="7"/>
        <v>7.5529982632213929E-2</v>
      </c>
      <c r="Y15" s="953">
        <f t="shared" si="8"/>
        <v>1.4517347899293357E-2</v>
      </c>
      <c r="Z15" s="951">
        <f t="shared" si="9"/>
        <v>0.21538706298805468</v>
      </c>
      <c r="AA15" s="952">
        <f t="shared" si="10"/>
        <v>0.61264533920214248</v>
      </c>
      <c r="AB15" s="953">
        <f t="shared" si="11"/>
        <v>0.17196759780980286</v>
      </c>
      <c r="AC15" s="281"/>
      <c r="AD15" s="940">
        <v>332</v>
      </c>
      <c r="AE15" s="941">
        <v>51</v>
      </c>
      <c r="AF15" s="942">
        <v>515</v>
      </c>
      <c r="AG15" s="940">
        <v>499</v>
      </c>
      <c r="AH15" s="941">
        <v>144</v>
      </c>
      <c r="AI15" s="942">
        <v>760</v>
      </c>
      <c r="AJ15" s="940">
        <v>49</v>
      </c>
      <c r="AK15" s="941">
        <v>20</v>
      </c>
      <c r="AL15" s="942">
        <v>87</v>
      </c>
      <c r="AM15" s="940">
        <f t="shared" si="12"/>
        <v>880</v>
      </c>
      <c r="AN15" s="941">
        <f t="shared" si="13"/>
        <v>215</v>
      </c>
      <c r="AO15" s="942">
        <f t="shared" si="14"/>
        <v>1362</v>
      </c>
      <c r="AQ15" s="282">
        <f t="shared" si="15"/>
        <v>1.8057194373367627E-2</v>
      </c>
    </row>
    <row r="16" spans="1:43">
      <c r="A16" s="280" t="s">
        <v>31</v>
      </c>
      <c r="B16" s="280" t="s">
        <v>32</v>
      </c>
      <c r="C16" s="280" t="s">
        <v>275</v>
      </c>
      <c r="D16" s="280">
        <v>1</v>
      </c>
      <c r="E16" s="940">
        <v>6818</v>
      </c>
      <c r="F16" s="941">
        <f t="shared" si="0"/>
        <v>6534</v>
      </c>
      <c r="G16" s="941">
        <f t="shared" si="1"/>
        <v>257</v>
      </c>
      <c r="H16" s="942">
        <f t="shared" si="2"/>
        <v>27</v>
      </c>
      <c r="I16" s="281"/>
      <c r="J16" s="940">
        <v>1172</v>
      </c>
      <c r="K16" s="941">
        <v>24</v>
      </c>
      <c r="L16" s="941">
        <v>8</v>
      </c>
      <c r="M16" s="942">
        <f t="shared" si="3"/>
        <v>1204</v>
      </c>
      <c r="N16" s="940">
        <v>4170</v>
      </c>
      <c r="O16" s="941">
        <v>208</v>
      </c>
      <c r="P16" s="941">
        <v>15</v>
      </c>
      <c r="Q16" s="942">
        <f t="shared" si="4"/>
        <v>4393</v>
      </c>
      <c r="R16" s="940">
        <v>1192</v>
      </c>
      <c r="S16" s="941">
        <v>25</v>
      </c>
      <c r="T16" s="941">
        <v>4</v>
      </c>
      <c r="U16" s="942">
        <f t="shared" si="5"/>
        <v>1221</v>
      </c>
      <c r="V16" s="281"/>
      <c r="W16" s="951">
        <f t="shared" si="6"/>
        <v>0.95834555588149017</v>
      </c>
      <c r="X16" s="952">
        <f t="shared" si="7"/>
        <v>3.7694338515693752E-2</v>
      </c>
      <c r="Y16" s="953">
        <f t="shared" si="8"/>
        <v>3.9601056028160751E-3</v>
      </c>
      <c r="Z16" s="951">
        <f t="shared" si="9"/>
        <v>0.17659137577002054</v>
      </c>
      <c r="AA16" s="952">
        <f t="shared" si="10"/>
        <v>0.64432384863596359</v>
      </c>
      <c r="AB16" s="953">
        <f t="shared" si="11"/>
        <v>0.17908477559401584</v>
      </c>
      <c r="AC16" s="281"/>
      <c r="AD16" s="940">
        <v>7</v>
      </c>
      <c r="AE16" s="941">
        <v>1</v>
      </c>
      <c r="AF16" s="942">
        <v>10</v>
      </c>
      <c r="AG16" s="940">
        <v>15</v>
      </c>
      <c r="AH16" s="941">
        <v>0</v>
      </c>
      <c r="AI16" s="942">
        <v>39</v>
      </c>
      <c r="AJ16" s="940">
        <v>4</v>
      </c>
      <c r="AK16" s="941">
        <v>0</v>
      </c>
      <c r="AL16" s="942">
        <v>1</v>
      </c>
      <c r="AM16" s="940">
        <f t="shared" si="12"/>
        <v>26</v>
      </c>
      <c r="AN16" s="941">
        <f t="shared" si="13"/>
        <v>1</v>
      </c>
      <c r="AO16" s="942">
        <f t="shared" si="14"/>
        <v>50</v>
      </c>
      <c r="AQ16" s="282">
        <f t="shared" si="15"/>
        <v>7.3335288941038428E-3</v>
      </c>
    </row>
    <row r="17" spans="1:43">
      <c r="A17" s="280" t="s">
        <v>33</v>
      </c>
      <c r="B17" s="280" t="s">
        <v>34</v>
      </c>
      <c r="C17" s="280" t="s">
        <v>272</v>
      </c>
      <c r="D17" s="280">
        <v>1</v>
      </c>
      <c r="E17" s="940">
        <v>32928</v>
      </c>
      <c r="F17" s="941">
        <f t="shared" si="0"/>
        <v>31437</v>
      </c>
      <c r="G17" s="941">
        <f t="shared" si="1"/>
        <v>1182</v>
      </c>
      <c r="H17" s="942">
        <f t="shared" si="2"/>
        <v>309</v>
      </c>
      <c r="I17" s="281"/>
      <c r="J17" s="940">
        <v>6768</v>
      </c>
      <c r="K17" s="941">
        <v>309</v>
      </c>
      <c r="L17" s="941">
        <v>94</v>
      </c>
      <c r="M17" s="942">
        <f t="shared" si="3"/>
        <v>7171</v>
      </c>
      <c r="N17" s="940">
        <v>19249</v>
      </c>
      <c r="O17" s="941">
        <v>722</v>
      </c>
      <c r="P17" s="941">
        <v>187</v>
      </c>
      <c r="Q17" s="942">
        <f t="shared" si="4"/>
        <v>20158</v>
      </c>
      <c r="R17" s="940">
        <v>5420</v>
      </c>
      <c r="S17" s="941">
        <v>151</v>
      </c>
      <c r="T17" s="941">
        <v>28</v>
      </c>
      <c r="U17" s="942">
        <f t="shared" si="5"/>
        <v>5599</v>
      </c>
      <c r="V17" s="281"/>
      <c r="W17" s="951">
        <f t="shared" si="6"/>
        <v>0.95471938775510201</v>
      </c>
      <c r="X17" s="952">
        <f t="shared" si="7"/>
        <v>3.5896501457725945E-2</v>
      </c>
      <c r="Y17" s="953">
        <f t="shared" si="8"/>
        <v>9.3841107871720109E-3</v>
      </c>
      <c r="Z17" s="951">
        <f t="shared" si="9"/>
        <v>0.21777818270165208</v>
      </c>
      <c r="AA17" s="952">
        <f t="shared" si="10"/>
        <v>0.61218415937803694</v>
      </c>
      <c r="AB17" s="953">
        <f t="shared" si="11"/>
        <v>0.17003765792031098</v>
      </c>
      <c r="AC17" s="281"/>
      <c r="AD17" s="940">
        <v>67</v>
      </c>
      <c r="AE17" s="941">
        <v>27</v>
      </c>
      <c r="AF17" s="942">
        <v>167</v>
      </c>
      <c r="AG17" s="940">
        <v>126</v>
      </c>
      <c r="AH17" s="941">
        <v>61</v>
      </c>
      <c r="AI17" s="942">
        <v>212</v>
      </c>
      <c r="AJ17" s="940">
        <v>20</v>
      </c>
      <c r="AK17" s="941">
        <v>8</v>
      </c>
      <c r="AL17" s="942">
        <v>16</v>
      </c>
      <c r="AM17" s="940">
        <f t="shared" si="12"/>
        <v>213</v>
      </c>
      <c r="AN17" s="941">
        <f t="shared" si="13"/>
        <v>96</v>
      </c>
      <c r="AO17" s="942">
        <f t="shared" si="14"/>
        <v>395</v>
      </c>
      <c r="AQ17" s="282">
        <f t="shared" si="15"/>
        <v>1.1995869776482022E-2</v>
      </c>
    </row>
    <row r="18" spans="1:43">
      <c r="A18" s="280" t="s">
        <v>37</v>
      </c>
      <c r="B18" s="280" t="s">
        <v>38</v>
      </c>
      <c r="C18" s="280" t="s">
        <v>271</v>
      </c>
      <c r="D18" s="280">
        <v>2</v>
      </c>
      <c r="E18" s="940">
        <v>17204</v>
      </c>
      <c r="F18" s="941">
        <f t="shared" si="0"/>
        <v>7185</v>
      </c>
      <c r="G18" s="941">
        <f t="shared" si="1"/>
        <v>9899</v>
      </c>
      <c r="H18" s="942">
        <f t="shared" si="2"/>
        <v>120</v>
      </c>
      <c r="I18" s="281"/>
      <c r="J18" s="940">
        <v>1183</v>
      </c>
      <c r="K18" s="941">
        <v>1991</v>
      </c>
      <c r="L18" s="941">
        <v>22</v>
      </c>
      <c r="M18" s="942">
        <f t="shared" si="3"/>
        <v>3196</v>
      </c>
      <c r="N18" s="940">
        <v>4444</v>
      </c>
      <c r="O18" s="941">
        <v>6518</v>
      </c>
      <c r="P18" s="941">
        <v>83</v>
      </c>
      <c r="Q18" s="942">
        <f t="shared" si="4"/>
        <v>11045</v>
      </c>
      <c r="R18" s="940">
        <v>1558</v>
      </c>
      <c r="S18" s="941">
        <v>1390</v>
      </c>
      <c r="T18" s="941">
        <v>15</v>
      </c>
      <c r="U18" s="942">
        <f t="shared" si="5"/>
        <v>2963</v>
      </c>
      <c r="V18" s="281"/>
      <c r="W18" s="951">
        <f t="shared" si="6"/>
        <v>0.41763543362008837</v>
      </c>
      <c r="X18" s="952">
        <f t="shared" si="7"/>
        <v>0.5753894443152755</v>
      </c>
      <c r="Y18" s="953">
        <f t="shared" si="8"/>
        <v>6.9751220646361309E-3</v>
      </c>
      <c r="Z18" s="951">
        <f t="shared" si="9"/>
        <v>0.1857707509881423</v>
      </c>
      <c r="AA18" s="952">
        <f t="shared" si="10"/>
        <v>0.64200186003255055</v>
      </c>
      <c r="AB18" s="953">
        <f t="shared" si="11"/>
        <v>0.17222738897930714</v>
      </c>
      <c r="AC18" s="281"/>
      <c r="AD18" s="940">
        <v>10</v>
      </c>
      <c r="AE18" s="941">
        <v>12</v>
      </c>
      <c r="AF18" s="942">
        <v>104</v>
      </c>
      <c r="AG18" s="940">
        <v>50</v>
      </c>
      <c r="AH18" s="941">
        <v>33</v>
      </c>
      <c r="AI18" s="942">
        <v>199</v>
      </c>
      <c r="AJ18" s="940">
        <v>9</v>
      </c>
      <c r="AK18" s="941">
        <v>6</v>
      </c>
      <c r="AL18" s="942">
        <v>13</v>
      </c>
      <c r="AM18" s="940">
        <f t="shared" si="12"/>
        <v>69</v>
      </c>
      <c r="AN18" s="941">
        <f t="shared" si="13"/>
        <v>51</v>
      </c>
      <c r="AO18" s="942">
        <f t="shared" si="14"/>
        <v>316</v>
      </c>
      <c r="AQ18" s="282">
        <f t="shared" si="15"/>
        <v>1.8367821436875147E-2</v>
      </c>
    </row>
    <row r="19" spans="1:43">
      <c r="A19" s="280" t="s">
        <v>39</v>
      </c>
      <c r="B19" s="280" t="s">
        <v>40</v>
      </c>
      <c r="C19" s="280" t="s">
        <v>275</v>
      </c>
      <c r="D19" s="280">
        <v>2</v>
      </c>
      <c r="E19" s="940">
        <v>23581</v>
      </c>
      <c r="F19" s="941">
        <f t="shared" si="0"/>
        <v>22802</v>
      </c>
      <c r="G19" s="941">
        <f t="shared" si="1"/>
        <v>683</v>
      </c>
      <c r="H19" s="942">
        <f t="shared" si="2"/>
        <v>96</v>
      </c>
      <c r="I19" s="281"/>
      <c r="J19" s="940">
        <v>4188</v>
      </c>
      <c r="K19" s="941">
        <v>119</v>
      </c>
      <c r="L19" s="941">
        <v>15</v>
      </c>
      <c r="M19" s="942">
        <f t="shared" si="3"/>
        <v>4322</v>
      </c>
      <c r="N19" s="940">
        <v>14746</v>
      </c>
      <c r="O19" s="941">
        <v>550</v>
      </c>
      <c r="P19" s="941">
        <v>75</v>
      </c>
      <c r="Q19" s="942">
        <f t="shared" si="4"/>
        <v>15371</v>
      </c>
      <c r="R19" s="940">
        <v>3868</v>
      </c>
      <c r="S19" s="941">
        <v>14</v>
      </c>
      <c r="T19" s="941">
        <v>6</v>
      </c>
      <c r="U19" s="942">
        <f t="shared" si="5"/>
        <v>3888</v>
      </c>
      <c r="V19" s="281"/>
      <c r="W19" s="951">
        <f t="shared" si="6"/>
        <v>0.96696492939230738</v>
      </c>
      <c r="X19" s="952">
        <f t="shared" si="7"/>
        <v>2.8963996437810103E-2</v>
      </c>
      <c r="Y19" s="953">
        <f t="shared" si="8"/>
        <v>4.0710741698825326E-3</v>
      </c>
      <c r="Z19" s="951">
        <f t="shared" si="9"/>
        <v>0.18328315168991985</v>
      </c>
      <c r="AA19" s="952">
        <f t="shared" si="10"/>
        <v>0.65183834442983757</v>
      </c>
      <c r="AB19" s="953">
        <f t="shared" si="11"/>
        <v>0.16487850388024256</v>
      </c>
      <c r="AC19" s="281"/>
      <c r="AD19" s="940">
        <v>8</v>
      </c>
      <c r="AE19" s="941">
        <v>7</v>
      </c>
      <c r="AF19" s="942">
        <v>42</v>
      </c>
      <c r="AG19" s="940">
        <v>55</v>
      </c>
      <c r="AH19" s="941">
        <v>20</v>
      </c>
      <c r="AI19" s="942">
        <v>50</v>
      </c>
      <c r="AJ19" s="940">
        <v>5</v>
      </c>
      <c r="AK19" s="941">
        <v>1</v>
      </c>
      <c r="AL19" s="942">
        <v>8</v>
      </c>
      <c r="AM19" s="940">
        <f t="shared" si="12"/>
        <v>68</v>
      </c>
      <c r="AN19" s="941">
        <f t="shared" si="13"/>
        <v>28</v>
      </c>
      <c r="AO19" s="942">
        <f t="shared" si="14"/>
        <v>100</v>
      </c>
      <c r="AQ19" s="282">
        <f t="shared" si="15"/>
        <v>4.240702260294305E-3</v>
      </c>
    </row>
    <row r="20" spans="1:43">
      <c r="A20" s="280" t="s">
        <v>41</v>
      </c>
      <c r="B20" s="280" t="s">
        <v>42</v>
      </c>
      <c r="C20" s="280" t="s">
        <v>273</v>
      </c>
      <c r="D20" s="280">
        <v>2</v>
      </c>
      <c r="E20" s="940">
        <v>17278</v>
      </c>
      <c r="F20" s="941">
        <f t="shared" si="0"/>
        <v>10967</v>
      </c>
      <c r="G20" s="941">
        <f t="shared" si="1"/>
        <v>6165</v>
      </c>
      <c r="H20" s="942">
        <f t="shared" si="2"/>
        <v>146</v>
      </c>
      <c r="I20" s="281"/>
      <c r="J20" s="940">
        <v>2092</v>
      </c>
      <c r="K20" s="941">
        <v>1149</v>
      </c>
      <c r="L20" s="941">
        <v>30</v>
      </c>
      <c r="M20" s="942">
        <f t="shared" si="3"/>
        <v>3271</v>
      </c>
      <c r="N20" s="940">
        <v>7097</v>
      </c>
      <c r="O20" s="941">
        <v>4259</v>
      </c>
      <c r="P20" s="941">
        <v>105</v>
      </c>
      <c r="Q20" s="942">
        <f t="shared" si="4"/>
        <v>11461</v>
      </c>
      <c r="R20" s="940">
        <v>1778</v>
      </c>
      <c r="S20" s="941">
        <v>757</v>
      </c>
      <c r="T20" s="941">
        <v>11</v>
      </c>
      <c r="U20" s="942">
        <f t="shared" si="5"/>
        <v>2546</v>
      </c>
      <c r="V20" s="281"/>
      <c r="W20" s="951">
        <f t="shared" si="6"/>
        <v>0.6347378168769533</v>
      </c>
      <c r="X20" s="952">
        <f t="shared" si="7"/>
        <v>0.35681213103368448</v>
      </c>
      <c r="Y20" s="953">
        <f t="shared" si="8"/>
        <v>8.4500520893621943E-3</v>
      </c>
      <c r="Z20" s="951">
        <f t="shared" si="9"/>
        <v>0.18931589304317628</v>
      </c>
      <c r="AA20" s="952">
        <f t="shared" si="10"/>
        <v>0.66332908901493226</v>
      </c>
      <c r="AB20" s="953">
        <f t="shared" si="11"/>
        <v>0.14735501794189143</v>
      </c>
      <c r="AC20" s="281"/>
      <c r="AD20" s="940">
        <v>23</v>
      </c>
      <c r="AE20" s="941">
        <v>7</v>
      </c>
      <c r="AF20" s="942">
        <v>88</v>
      </c>
      <c r="AG20" s="940">
        <v>60</v>
      </c>
      <c r="AH20" s="941">
        <v>45</v>
      </c>
      <c r="AI20" s="942">
        <v>197</v>
      </c>
      <c r="AJ20" s="940">
        <v>6</v>
      </c>
      <c r="AK20" s="941">
        <v>5</v>
      </c>
      <c r="AL20" s="942">
        <v>13</v>
      </c>
      <c r="AM20" s="940">
        <f t="shared" si="12"/>
        <v>89</v>
      </c>
      <c r="AN20" s="941">
        <f t="shared" si="13"/>
        <v>57</v>
      </c>
      <c r="AO20" s="942">
        <f t="shared" si="14"/>
        <v>298</v>
      </c>
      <c r="AQ20" s="282">
        <f t="shared" si="15"/>
        <v>1.7247366593355712E-2</v>
      </c>
    </row>
    <row r="21" spans="1:43">
      <c r="A21" s="280" t="s">
        <v>43</v>
      </c>
      <c r="B21" s="280" t="s">
        <v>44</v>
      </c>
      <c r="C21" s="280" t="s">
        <v>272</v>
      </c>
      <c r="D21" s="280">
        <v>2</v>
      </c>
      <c r="E21" s="940">
        <v>55032</v>
      </c>
      <c r="F21" s="941">
        <f t="shared" si="0"/>
        <v>45894</v>
      </c>
      <c r="G21" s="941">
        <f t="shared" si="1"/>
        <v>8292</v>
      </c>
      <c r="H21" s="942">
        <f t="shared" si="2"/>
        <v>846</v>
      </c>
      <c r="I21" s="281"/>
      <c r="J21" s="940">
        <v>9507</v>
      </c>
      <c r="K21" s="941">
        <v>1981</v>
      </c>
      <c r="L21" s="941">
        <v>244</v>
      </c>
      <c r="M21" s="942">
        <f t="shared" si="3"/>
        <v>11732</v>
      </c>
      <c r="N21" s="940">
        <v>28630</v>
      </c>
      <c r="O21" s="941">
        <v>5239</v>
      </c>
      <c r="P21" s="941">
        <v>555</v>
      </c>
      <c r="Q21" s="942">
        <f t="shared" si="4"/>
        <v>34424</v>
      </c>
      <c r="R21" s="940">
        <v>7757</v>
      </c>
      <c r="S21" s="941">
        <v>1072</v>
      </c>
      <c r="T21" s="941">
        <v>47</v>
      </c>
      <c r="U21" s="942">
        <f t="shared" si="5"/>
        <v>8876</v>
      </c>
      <c r="V21" s="281"/>
      <c r="W21" s="951">
        <f t="shared" si="6"/>
        <v>0.83395115569123424</v>
      </c>
      <c r="X21" s="952">
        <f t="shared" si="7"/>
        <v>0.15067597034452682</v>
      </c>
      <c r="Y21" s="953">
        <f t="shared" si="8"/>
        <v>1.5372873964238988E-2</v>
      </c>
      <c r="Z21" s="951">
        <f t="shared" si="9"/>
        <v>0.21318505596743711</v>
      </c>
      <c r="AA21" s="952">
        <f t="shared" si="10"/>
        <v>0.62552696612879777</v>
      </c>
      <c r="AB21" s="953">
        <f t="shared" si="11"/>
        <v>0.16128797790376509</v>
      </c>
      <c r="AC21" s="281"/>
      <c r="AD21" s="940">
        <v>212</v>
      </c>
      <c r="AE21" s="941">
        <v>32</v>
      </c>
      <c r="AF21" s="942">
        <v>310</v>
      </c>
      <c r="AG21" s="940">
        <v>445</v>
      </c>
      <c r="AH21" s="941">
        <v>110</v>
      </c>
      <c r="AI21" s="942">
        <v>672</v>
      </c>
      <c r="AJ21" s="940">
        <v>35</v>
      </c>
      <c r="AK21" s="941">
        <v>12</v>
      </c>
      <c r="AL21" s="942">
        <v>37</v>
      </c>
      <c r="AM21" s="940">
        <f t="shared" si="12"/>
        <v>692</v>
      </c>
      <c r="AN21" s="941">
        <f t="shared" si="13"/>
        <v>154</v>
      </c>
      <c r="AO21" s="942">
        <f t="shared" si="14"/>
        <v>1019</v>
      </c>
      <c r="AQ21" s="282">
        <f t="shared" si="15"/>
        <v>1.8516499491205117E-2</v>
      </c>
    </row>
    <row r="22" spans="1:43">
      <c r="A22" s="280" t="s">
        <v>45</v>
      </c>
      <c r="B22" s="280" t="s">
        <v>46</v>
      </c>
      <c r="C22" s="280" t="s">
        <v>273</v>
      </c>
      <c r="D22" s="280">
        <v>2</v>
      </c>
      <c r="E22" s="940">
        <v>28674</v>
      </c>
      <c r="F22" s="941">
        <f t="shared" si="0"/>
        <v>19320</v>
      </c>
      <c r="G22" s="941">
        <f t="shared" si="1"/>
        <v>8792</v>
      </c>
      <c r="H22" s="942">
        <f t="shared" si="2"/>
        <v>562</v>
      </c>
      <c r="I22" s="281"/>
      <c r="J22" s="940">
        <v>4500</v>
      </c>
      <c r="K22" s="941">
        <v>2087</v>
      </c>
      <c r="L22" s="941">
        <v>162</v>
      </c>
      <c r="M22" s="942">
        <f t="shared" si="3"/>
        <v>6749</v>
      </c>
      <c r="N22" s="940">
        <v>12294</v>
      </c>
      <c r="O22" s="941">
        <v>5356</v>
      </c>
      <c r="P22" s="941">
        <v>346</v>
      </c>
      <c r="Q22" s="942">
        <f t="shared" si="4"/>
        <v>17996</v>
      </c>
      <c r="R22" s="940">
        <v>2526</v>
      </c>
      <c r="S22" s="941">
        <v>1349</v>
      </c>
      <c r="T22" s="941">
        <v>54</v>
      </c>
      <c r="U22" s="942">
        <f t="shared" si="5"/>
        <v>3929</v>
      </c>
      <c r="V22" s="281"/>
      <c r="W22" s="951">
        <f t="shared" si="6"/>
        <v>0.67378112575852689</v>
      </c>
      <c r="X22" s="952">
        <f t="shared" si="7"/>
        <v>0.30661923693938758</v>
      </c>
      <c r="Y22" s="953">
        <f t="shared" si="8"/>
        <v>1.9599637302085512E-2</v>
      </c>
      <c r="Z22" s="951">
        <f t="shared" si="9"/>
        <v>0.23537002162237566</v>
      </c>
      <c r="AA22" s="952">
        <f t="shared" si="10"/>
        <v>0.62760689126037528</v>
      </c>
      <c r="AB22" s="953">
        <f t="shared" si="11"/>
        <v>0.13702308711724909</v>
      </c>
      <c r="AC22" s="281"/>
      <c r="AD22" s="940">
        <v>82</v>
      </c>
      <c r="AE22" s="941">
        <v>80</v>
      </c>
      <c r="AF22" s="942">
        <v>364</v>
      </c>
      <c r="AG22" s="940">
        <v>194</v>
      </c>
      <c r="AH22" s="941">
        <v>152</v>
      </c>
      <c r="AI22" s="942">
        <v>606</v>
      </c>
      <c r="AJ22" s="940">
        <v>20</v>
      </c>
      <c r="AK22" s="941">
        <v>34</v>
      </c>
      <c r="AL22" s="942">
        <v>46</v>
      </c>
      <c r="AM22" s="940">
        <f t="shared" si="12"/>
        <v>296</v>
      </c>
      <c r="AN22" s="941">
        <f t="shared" si="13"/>
        <v>266</v>
      </c>
      <c r="AO22" s="942">
        <f t="shared" si="14"/>
        <v>1016</v>
      </c>
      <c r="AQ22" s="282">
        <f t="shared" si="15"/>
        <v>3.5432796261421498E-2</v>
      </c>
    </row>
    <row r="23" spans="1:43">
      <c r="A23" s="280" t="s">
        <v>47</v>
      </c>
      <c r="B23" s="280" t="s">
        <v>48</v>
      </c>
      <c r="C23" s="280" t="s">
        <v>275</v>
      </c>
      <c r="D23" s="280">
        <v>2</v>
      </c>
      <c r="E23" s="940">
        <v>29981</v>
      </c>
      <c r="F23" s="941">
        <f t="shared" si="0"/>
        <v>29507</v>
      </c>
      <c r="G23" s="941">
        <f t="shared" si="1"/>
        <v>294</v>
      </c>
      <c r="H23" s="942">
        <f t="shared" si="2"/>
        <v>180</v>
      </c>
      <c r="I23" s="281"/>
      <c r="J23" s="940">
        <v>5883</v>
      </c>
      <c r="K23" s="941">
        <v>108</v>
      </c>
      <c r="L23" s="941">
        <v>71</v>
      </c>
      <c r="M23" s="942">
        <f t="shared" si="3"/>
        <v>6062</v>
      </c>
      <c r="N23" s="940">
        <v>17755</v>
      </c>
      <c r="O23" s="941">
        <v>155</v>
      </c>
      <c r="P23" s="941">
        <v>96</v>
      </c>
      <c r="Q23" s="942">
        <f t="shared" si="4"/>
        <v>18006</v>
      </c>
      <c r="R23" s="940">
        <v>5869</v>
      </c>
      <c r="S23" s="941">
        <v>31</v>
      </c>
      <c r="T23" s="941">
        <v>13</v>
      </c>
      <c r="U23" s="942">
        <f t="shared" si="5"/>
        <v>5913</v>
      </c>
      <c r="V23" s="281"/>
      <c r="W23" s="951">
        <f t="shared" si="6"/>
        <v>0.98418998699176141</v>
      </c>
      <c r="X23" s="952">
        <f t="shared" si="7"/>
        <v>9.8062106000466956E-3</v>
      </c>
      <c r="Y23" s="953">
        <f t="shared" si="8"/>
        <v>6.0038024081918552E-3</v>
      </c>
      <c r="Z23" s="951">
        <f t="shared" si="9"/>
        <v>0.20219472332477237</v>
      </c>
      <c r="AA23" s="952">
        <f t="shared" si="10"/>
        <v>0.60058036756612521</v>
      </c>
      <c r="AB23" s="953">
        <f t="shared" si="11"/>
        <v>0.19722490910910243</v>
      </c>
      <c r="AC23" s="281"/>
      <c r="AD23" s="940">
        <v>37</v>
      </c>
      <c r="AE23" s="941">
        <v>34</v>
      </c>
      <c r="AF23" s="942">
        <v>344</v>
      </c>
      <c r="AG23" s="940">
        <v>42</v>
      </c>
      <c r="AH23" s="941">
        <v>54</v>
      </c>
      <c r="AI23" s="942">
        <v>457</v>
      </c>
      <c r="AJ23" s="940">
        <v>5</v>
      </c>
      <c r="AK23" s="941">
        <v>8</v>
      </c>
      <c r="AL23" s="942">
        <v>34</v>
      </c>
      <c r="AM23" s="940">
        <f t="shared" si="12"/>
        <v>84</v>
      </c>
      <c r="AN23" s="941">
        <f t="shared" si="13"/>
        <v>96</v>
      </c>
      <c r="AO23" s="942">
        <f t="shared" si="14"/>
        <v>835</v>
      </c>
      <c r="AQ23" s="282">
        <f t="shared" si="15"/>
        <v>2.7850972282445548E-2</v>
      </c>
    </row>
    <row r="24" spans="1:43">
      <c r="A24" s="280" t="s">
        <v>49</v>
      </c>
      <c r="B24" s="280" t="s">
        <v>276</v>
      </c>
      <c r="C24" s="280" t="s">
        <v>273</v>
      </c>
      <c r="D24" s="280">
        <v>1</v>
      </c>
      <c r="E24" s="940">
        <v>7241</v>
      </c>
      <c r="F24" s="941">
        <f t="shared" si="0"/>
        <v>3118</v>
      </c>
      <c r="G24" s="941">
        <f t="shared" si="1"/>
        <v>3540</v>
      </c>
      <c r="H24" s="942">
        <f t="shared" si="2"/>
        <v>583</v>
      </c>
      <c r="I24" s="281"/>
      <c r="J24" s="940">
        <v>530</v>
      </c>
      <c r="K24" s="941">
        <v>607</v>
      </c>
      <c r="L24" s="941">
        <v>111</v>
      </c>
      <c r="M24" s="942">
        <f t="shared" si="3"/>
        <v>1248</v>
      </c>
      <c r="N24" s="940">
        <v>2117</v>
      </c>
      <c r="O24" s="941">
        <v>2246</v>
      </c>
      <c r="P24" s="941">
        <v>361</v>
      </c>
      <c r="Q24" s="942">
        <f t="shared" si="4"/>
        <v>4724</v>
      </c>
      <c r="R24" s="940">
        <v>471</v>
      </c>
      <c r="S24" s="941">
        <v>687</v>
      </c>
      <c r="T24" s="941">
        <v>111</v>
      </c>
      <c r="U24" s="942">
        <f t="shared" si="5"/>
        <v>1269</v>
      </c>
      <c r="V24" s="281"/>
      <c r="W24" s="951">
        <f t="shared" si="6"/>
        <v>0.43060350780278966</v>
      </c>
      <c r="X24" s="952">
        <f t="shared" si="7"/>
        <v>0.4888827510012429</v>
      </c>
      <c r="Y24" s="953">
        <f t="shared" si="8"/>
        <v>8.0513741195967409E-2</v>
      </c>
      <c r="Z24" s="951">
        <f t="shared" si="9"/>
        <v>0.17235188509874327</v>
      </c>
      <c r="AA24" s="952">
        <f t="shared" si="10"/>
        <v>0.65239607788979426</v>
      </c>
      <c r="AB24" s="953">
        <f t="shared" si="11"/>
        <v>0.1752520370114625</v>
      </c>
      <c r="AC24" s="281"/>
      <c r="AD24" s="940">
        <v>9</v>
      </c>
      <c r="AE24" s="941">
        <v>102</v>
      </c>
      <c r="AF24" s="942">
        <v>26</v>
      </c>
      <c r="AG24" s="940">
        <v>34</v>
      </c>
      <c r="AH24" s="941">
        <v>327</v>
      </c>
      <c r="AI24" s="942">
        <v>78</v>
      </c>
      <c r="AJ24" s="940">
        <v>5</v>
      </c>
      <c r="AK24" s="941">
        <v>106</v>
      </c>
      <c r="AL24" s="942">
        <v>3</v>
      </c>
      <c r="AM24" s="940">
        <f t="shared" si="12"/>
        <v>48</v>
      </c>
      <c r="AN24" s="941">
        <f t="shared" si="13"/>
        <v>535</v>
      </c>
      <c r="AO24" s="942">
        <f t="shared" si="14"/>
        <v>107</v>
      </c>
      <c r="AQ24" s="282">
        <f t="shared" si="15"/>
        <v>1.4776964507664686E-2</v>
      </c>
    </row>
    <row r="25" spans="1:43">
      <c r="A25" s="280" t="s">
        <v>51</v>
      </c>
      <c r="B25" s="280" t="s">
        <v>52</v>
      </c>
      <c r="C25" s="280" t="s">
        <v>272</v>
      </c>
      <c r="D25" s="280">
        <v>2</v>
      </c>
      <c r="E25" s="940">
        <v>12505</v>
      </c>
      <c r="F25" s="941">
        <f t="shared" si="0"/>
        <v>8603</v>
      </c>
      <c r="G25" s="941">
        <f t="shared" si="1"/>
        <v>3823</v>
      </c>
      <c r="H25" s="942">
        <f t="shared" si="2"/>
        <v>79</v>
      </c>
      <c r="I25" s="281"/>
      <c r="J25" s="940">
        <v>1798</v>
      </c>
      <c r="K25" s="941">
        <v>944</v>
      </c>
      <c r="L25" s="941">
        <v>27</v>
      </c>
      <c r="M25" s="942">
        <f t="shared" si="3"/>
        <v>2769</v>
      </c>
      <c r="N25" s="940">
        <v>5098</v>
      </c>
      <c r="O25" s="941">
        <v>2233</v>
      </c>
      <c r="P25" s="941">
        <v>42</v>
      </c>
      <c r="Q25" s="942">
        <f t="shared" si="4"/>
        <v>7373</v>
      </c>
      <c r="R25" s="940">
        <v>1707</v>
      </c>
      <c r="S25" s="941">
        <v>646</v>
      </c>
      <c r="T25" s="941">
        <v>10</v>
      </c>
      <c r="U25" s="942">
        <f t="shared" si="5"/>
        <v>2363</v>
      </c>
      <c r="V25" s="281"/>
      <c r="W25" s="951">
        <f t="shared" si="6"/>
        <v>0.68796481407437027</v>
      </c>
      <c r="X25" s="952">
        <f t="shared" si="7"/>
        <v>0.30571771291483407</v>
      </c>
      <c r="Y25" s="953">
        <f t="shared" si="8"/>
        <v>6.3174730107956817E-3</v>
      </c>
      <c r="Z25" s="951">
        <f t="shared" si="9"/>
        <v>0.22143142742902838</v>
      </c>
      <c r="AA25" s="952">
        <f t="shared" si="10"/>
        <v>0.58960415833666535</v>
      </c>
      <c r="AB25" s="953">
        <f t="shared" si="11"/>
        <v>0.18896441423430627</v>
      </c>
      <c r="AC25" s="281"/>
      <c r="AD25" s="940">
        <v>13</v>
      </c>
      <c r="AE25" s="941">
        <v>14</v>
      </c>
      <c r="AF25" s="942">
        <v>100</v>
      </c>
      <c r="AG25" s="940">
        <v>21</v>
      </c>
      <c r="AH25" s="941">
        <v>21</v>
      </c>
      <c r="AI25" s="942">
        <v>164</v>
      </c>
      <c r="AJ25" s="940">
        <v>3</v>
      </c>
      <c r="AK25" s="941">
        <v>7</v>
      </c>
      <c r="AL25" s="942">
        <v>10</v>
      </c>
      <c r="AM25" s="940">
        <f t="shared" si="12"/>
        <v>37</v>
      </c>
      <c r="AN25" s="941">
        <f t="shared" si="13"/>
        <v>42</v>
      </c>
      <c r="AO25" s="942">
        <f t="shared" si="14"/>
        <v>274</v>
      </c>
      <c r="AQ25" s="282">
        <f t="shared" si="15"/>
        <v>2.1911235505797683E-2</v>
      </c>
    </row>
    <row r="26" spans="1:43">
      <c r="A26" s="280" t="s">
        <v>57</v>
      </c>
      <c r="B26" s="280" t="s">
        <v>305</v>
      </c>
      <c r="C26" s="280" t="s">
        <v>273</v>
      </c>
      <c r="D26" s="280">
        <v>3</v>
      </c>
      <c r="E26" s="940">
        <v>337717</v>
      </c>
      <c r="F26" s="941">
        <f t="shared" si="0"/>
        <v>245602</v>
      </c>
      <c r="G26" s="941">
        <f t="shared" si="1"/>
        <v>77260</v>
      </c>
      <c r="H26" s="942">
        <f t="shared" si="2"/>
        <v>14855</v>
      </c>
      <c r="I26" s="281"/>
      <c r="J26" s="940">
        <v>58994</v>
      </c>
      <c r="K26" s="941">
        <v>22494</v>
      </c>
      <c r="L26" s="941">
        <v>4036</v>
      </c>
      <c r="M26" s="942">
        <f t="shared" si="3"/>
        <v>85524</v>
      </c>
      <c r="N26" s="940">
        <v>153755</v>
      </c>
      <c r="O26" s="941">
        <v>50267</v>
      </c>
      <c r="P26" s="941">
        <v>9673</v>
      </c>
      <c r="Q26" s="942">
        <f t="shared" si="4"/>
        <v>213695</v>
      </c>
      <c r="R26" s="940">
        <v>32853</v>
      </c>
      <c r="S26" s="941">
        <v>4499</v>
      </c>
      <c r="T26" s="941">
        <v>1146</v>
      </c>
      <c r="U26" s="942">
        <f t="shared" si="5"/>
        <v>38498</v>
      </c>
      <c r="V26" s="281"/>
      <c r="W26" s="951">
        <f t="shared" si="6"/>
        <v>0.7272420399328432</v>
      </c>
      <c r="X26" s="952">
        <f t="shared" si="7"/>
        <v>0.22877142696399649</v>
      </c>
      <c r="Y26" s="953">
        <f t="shared" si="8"/>
        <v>4.3986533103160336E-2</v>
      </c>
      <c r="Z26" s="951">
        <f t="shared" si="9"/>
        <v>0.25324161946244933</v>
      </c>
      <c r="AA26" s="952">
        <f t="shared" si="10"/>
        <v>0.63276352685828663</v>
      </c>
      <c r="AB26" s="953">
        <f t="shared" si="11"/>
        <v>0.113994853679264</v>
      </c>
      <c r="AC26" s="281"/>
      <c r="AD26" s="940">
        <v>3399</v>
      </c>
      <c r="AE26" s="941">
        <v>637</v>
      </c>
      <c r="AF26" s="942">
        <v>8746</v>
      </c>
      <c r="AG26" s="940">
        <v>8290</v>
      </c>
      <c r="AH26" s="941">
        <v>1383</v>
      </c>
      <c r="AI26" s="942">
        <v>14927</v>
      </c>
      <c r="AJ26" s="940">
        <v>1034</v>
      </c>
      <c r="AK26" s="941">
        <v>112</v>
      </c>
      <c r="AL26" s="942">
        <v>650</v>
      </c>
      <c r="AM26" s="940">
        <f t="shared" si="12"/>
        <v>12723</v>
      </c>
      <c r="AN26" s="941">
        <f t="shared" si="13"/>
        <v>2132</v>
      </c>
      <c r="AO26" s="942">
        <f t="shared" si="14"/>
        <v>24323</v>
      </c>
      <c r="AQ26" s="282">
        <f t="shared" si="15"/>
        <v>7.2021840772007337E-2</v>
      </c>
    </row>
    <row r="27" spans="1:43">
      <c r="A27" s="280" t="s">
        <v>59</v>
      </c>
      <c r="B27" s="280" t="s">
        <v>60</v>
      </c>
      <c r="C27" s="280" t="s">
        <v>274</v>
      </c>
      <c r="D27" s="280">
        <v>1</v>
      </c>
      <c r="E27" s="940">
        <v>14258</v>
      </c>
      <c r="F27" s="941">
        <f t="shared" si="0"/>
        <v>13157</v>
      </c>
      <c r="G27" s="941">
        <f t="shared" si="1"/>
        <v>844</v>
      </c>
      <c r="H27" s="942">
        <f t="shared" si="2"/>
        <v>257</v>
      </c>
      <c r="I27" s="281"/>
      <c r="J27" s="940">
        <v>2888</v>
      </c>
      <c r="K27" s="941">
        <v>209</v>
      </c>
      <c r="L27" s="941">
        <v>72</v>
      </c>
      <c r="M27" s="942">
        <f t="shared" si="3"/>
        <v>3169</v>
      </c>
      <c r="N27" s="940">
        <v>8109</v>
      </c>
      <c r="O27" s="941">
        <v>456</v>
      </c>
      <c r="P27" s="941">
        <v>159</v>
      </c>
      <c r="Q27" s="942">
        <f t="shared" si="4"/>
        <v>8724</v>
      </c>
      <c r="R27" s="940">
        <v>2160</v>
      </c>
      <c r="S27" s="941">
        <v>179</v>
      </c>
      <c r="T27" s="941">
        <v>26</v>
      </c>
      <c r="U27" s="942">
        <f t="shared" si="5"/>
        <v>2365</v>
      </c>
      <c r="V27" s="281"/>
      <c r="W27" s="951">
        <f t="shared" si="6"/>
        <v>0.92278019357553653</v>
      </c>
      <c r="X27" s="952">
        <f t="shared" si="7"/>
        <v>5.9194837985692243E-2</v>
      </c>
      <c r="Y27" s="953">
        <f t="shared" si="8"/>
        <v>1.8024968438771216E-2</v>
      </c>
      <c r="Z27" s="951">
        <f t="shared" si="9"/>
        <v>0.22226118670220227</v>
      </c>
      <c r="AA27" s="952">
        <f t="shared" si="10"/>
        <v>0.61186702202272414</v>
      </c>
      <c r="AB27" s="953">
        <f t="shared" si="11"/>
        <v>0.16587179127507365</v>
      </c>
      <c r="AC27" s="281"/>
      <c r="AD27" s="940">
        <v>62</v>
      </c>
      <c r="AE27" s="941">
        <v>10</v>
      </c>
      <c r="AF27" s="942">
        <v>186</v>
      </c>
      <c r="AG27" s="940">
        <v>130</v>
      </c>
      <c r="AH27" s="941">
        <v>29</v>
      </c>
      <c r="AI27" s="942">
        <v>304</v>
      </c>
      <c r="AJ27" s="940">
        <v>19</v>
      </c>
      <c r="AK27" s="941">
        <v>7</v>
      </c>
      <c r="AL27" s="942">
        <v>19</v>
      </c>
      <c r="AM27" s="940">
        <f t="shared" si="12"/>
        <v>211</v>
      </c>
      <c r="AN27" s="941">
        <f t="shared" si="13"/>
        <v>46</v>
      </c>
      <c r="AO27" s="942">
        <f t="shared" si="14"/>
        <v>509</v>
      </c>
      <c r="AQ27" s="282">
        <f t="shared" si="15"/>
        <v>3.5699256557721978E-2</v>
      </c>
    </row>
    <row r="28" spans="1:43">
      <c r="A28" s="280" t="s">
        <v>61</v>
      </c>
      <c r="B28" s="280" t="s">
        <v>62</v>
      </c>
      <c r="C28" s="280" t="s">
        <v>272</v>
      </c>
      <c r="D28" s="280">
        <v>1</v>
      </c>
      <c r="E28" s="940">
        <v>5099</v>
      </c>
      <c r="F28" s="941">
        <f t="shared" si="0"/>
        <v>5046</v>
      </c>
      <c r="G28" s="941">
        <f t="shared" si="1"/>
        <v>28</v>
      </c>
      <c r="H28" s="942">
        <f t="shared" si="2"/>
        <v>25</v>
      </c>
      <c r="I28" s="281"/>
      <c r="J28" s="940">
        <v>1075</v>
      </c>
      <c r="K28" s="941">
        <v>16</v>
      </c>
      <c r="L28" s="941">
        <v>5</v>
      </c>
      <c r="M28" s="942">
        <f t="shared" si="3"/>
        <v>1096</v>
      </c>
      <c r="N28" s="940">
        <v>3125</v>
      </c>
      <c r="O28" s="941">
        <v>12</v>
      </c>
      <c r="P28" s="941">
        <v>18</v>
      </c>
      <c r="Q28" s="942">
        <f t="shared" si="4"/>
        <v>3155</v>
      </c>
      <c r="R28" s="940">
        <v>846</v>
      </c>
      <c r="S28" s="941">
        <v>0</v>
      </c>
      <c r="T28" s="941">
        <v>2</v>
      </c>
      <c r="U28" s="942">
        <f t="shared" si="5"/>
        <v>848</v>
      </c>
      <c r="V28" s="281"/>
      <c r="W28" s="951">
        <f t="shared" si="6"/>
        <v>0.98960580505981566</v>
      </c>
      <c r="X28" s="952">
        <f t="shared" si="7"/>
        <v>5.4912727985879581E-3</v>
      </c>
      <c r="Y28" s="953">
        <f t="shared" si="8"/>
        <v>4.9029221415963914E-3</v>
      </c>
      <c r="Z28" s="951">
        <f t="shared" si="9"/>
        <v>0.21494410668758579</v>
      </c>
      <c r="AA28" s="952">
        <f t="shared" si="10"/>
        <v>0.61874877426946462</v>
      </c>
      <c r="AB28" s="953">
        <f t="shared" si="11"/>
        <v>0.16630711904294959</v>
      </c>
      <c r="AC28" s="281"/>
      <c r="AD28" s="940">
        <v>2</v>
      </c>
      <c r="AE28" s="941">
        <v>3</v>
      </c>
      <c r="AF28" s="942">
        <v>18</v>
      </c>
      <c r="AG28" s="940">
        <v>6</v>
      </c>
      <c r="AH28" s="941">
        <v>12</v>
      </c>
      <c r="AI28" s="942">
        <v>24</v>
      </c>
      <c r="AJ28" s="940">
        <v>2</v>
      </c>
      <c r="AK28" s="941">
        <v>0</v>
      </c>
      <c r="AL28" s="942">
        <v>5</v>
      </c>
      <c r="AM28" s="940">
        <f t="shared" si="12"/>
        <v>10</v>
      </c>
      <c r="AN28" s="941">
        <f t="shared" si="13"/>
        <v>15</v>
      </c>
      <c r="AO28" s="942">
        <f t="shared" si="14"/>
        <v>47</v>
      </c>
      <c r="AQ28" s="282">
        <f t="shared" si="15"/>
        <v>9.2174936262012161E-3</v>
      </c>
    </row>
    <row r="29" spans="1:43">
      <c r="A29" s="280" t="s">
        <v>63</v>
      </c>
      <c r="B29" s="280" t="s">
        <v>64</v>
      </c>
      <c r="C29" s="280" t="s">
        <v>274</v>
      </c>
      <c r="D29" s="280">
        <v>2</v>
      </c>
      <c r="E29" s="940">
        <v>47476</v>
      </c>
      <c r="F29" s="941">
        <f t="shared" si="0"/>
        <v>38089</v>
      </c>
      <c r="G29" s="941">
        <f t="shared" si="1"/>
        <v>8133</v>
      </c>
      <c r="H29" s="942">
        <f t="shared" si="2"/>
        <v>1254</v>
      </c>
      <c r="I29" s="281"/>
      <c r="J29" s="940">
        <v>9428</v>
      </c>
      <c r="K29" s="941">
        <v>2208</v>
      </c>
      <c r="L29" s="941">
        <v>417</v>
      </c>
      <c r="M29" s="942">
        <f t="shared" si="3"/>
        <v>12053</v>
      </c>
      <c r="N29" s="940">
        <v>23567</v>
      </c>
      <c r="O29" s="941">
        <v>5098</v>
      </c>
      <c r="P29" s="941">
        <v>759</v>
      </c>
      <c r="Q29" s="942">
        <f t="shared" si="4"/>
        <v>29424</v>
      </c>
      <c r="R29" s="940">
        <v>5094</v>
      </c>
      <c r="S29" s="941">
        <v>827</v>
      </c>
      <c r="T29" s="941">
        <v>78</v>
      </c>
      <c r="U29" s="942">
        <f t="shared" si="5"/>
        <v>5999</v>
      </c>
      <c r="V29" s="281"/>
      <c r="W29" s="951">
        <f t="shared" si="6"/>
        <v>0.80227904625494983</v>
      </c>
      <c r="X29" s="952">
        <f t="shared" si="7"/>
        <v>0.17130760805459599</v>
      </c>
      <c r="Y29" s="953">
        <f t="shared" si="8"/>
        <v>2.6413345690454126E-2</v>
      </c>
      <c r="Z29" s="951">
        <f t="shared" si="9"/>
        <v>0.25387564242985927</v>
      </c>
      <c r="AA29" s="952">
        <f t="shared" si="10"/>
        <v>0.61976577639228236</v>
      </c>
      <c r="AB29" s="953">
        <f t="shared" si="11"/>
        <v>0.12635858117785828</v>
      </c>
      <c r="AC29" s="281"/>
      <c r="AD29" s="940">
        <v>307</v>
      </c>
      <c r="AE29" s="941">
        <v>110</v>
      </c>
      <c r="AF29" s="942">
        <v>1584</v>
      </c>
      <c r="AG29" s="940">
        <v>552</v>
      </c>
      <c r="AH29" s="941">
        <v>207</v>
      </c>
      <c r="AI29" s="942">
        <v>2527</v>
      </c>
      <c r="AJ29" s="940">
        <v>60</v>
      </c>
      <c r="AK29" s="941">
        <v>18</v>
      </c>
      <c r="AL29" s="942">
        <v>95</v>
      </c>
      <c r="AM29" s="940">
        <f t="shared" si="12"/>
        <v>919</v>
      </c>
      <c r="AN29" s="941">
        <f t="shared" si="13"/>
        <v>335</v>
      </c>
      <c r="AO29" s="942">
        <f t="shared" si="14"/>
        <v>4206</v>
      </c>
      <c r="AQ29" s="282">
        <f t="shared" si="15"/>
        <v>8.8592130760805465E-2</v>
      </c>
    </row>
    <row r="30" spans="1:43">
      <c r="A30" s="280" t="s">
        <v>65</v>
      </c>
      <c r="B30" s="280" t="s">
        <v>66</v>
      </c>
      <c r="C30" s="280" t="s">
        <v>273</v>
      </c>
      <c r="D30" s="280">
        <v>1</v>
      </c>
      <c r="E30" s="940">
        <v>9969</v>
      </c>
      <c r="F30" s="941">
        <f t="shared" si="0"/>
        <v>6568</v>
      </c>
      <c r="G30" s="941">
        <f t="shared" si="1"/>
        <v>3310</v>
      </c>
      <c r="H30" s="942">
        <f t="shared" si="2"/>
        <v>91</v>
      </c>
      <c r="I30" s="281"/>
      <c r="J30" s="940">
        <v>1385</v>
      </c>
      <c r="K30" s="941">
        <v>822</v>
      </c>
      <c r="L30" s="941">
        <v>21</v>
      </c>
      <c r="M30" s="942">
        <f t="shared" si="3"/>
        <v>2228</v>
      </c>
      <c r="N30" s="940">
        <v>4043</v>
      </c>
      <c r="O30" s="941">
        <v>1966</v>
      </c>
      <c r="P30" s="941">
        <v>62</v>
      </c>
      <c r="Q30" s="942">
        <f t="shared" si="4"/>
        <v>6071</v>
      </c>
      <c r="R30" s="940">
        <v>1140</v>
      </c>
      <c r="S30" s="941">
        <v>522</v>
      </c>
      <c r="T30" s="941">
        <v>8</v>
      </c>
      <c r="U30" s="942">
        <f t="shared" si="5"/>
        <v>1670</v>
      </c>
      <c r="V30" s="281"/>
      <c r="W30" s="951">
        <f t="shared" si="6"/>
        <v>0.65884241147557432</v>
      </c>
      <c r="X30" s="952">
        <f t="shared" si="7"/>
        <v>0.33202929080148458</v>
      </c>
      <c r="Y30" s="953">
        <f t="shared" si="8"/>
        <v>9.1282977229411172E-3</v>
      </c>
      <c r="Z30" s="951">
        <f t="shared" si="9"/>
        <v>0.22349282776607482</v>
      </c>
      <c r="AA30" s="952">
        <f t="shared" si="10"/>
        <v>0.60898786237335745</v>
      </c>
      <c r="AB30" s="953">
        <f t="shared" si="11"/>
        <v>0.16751930986056776</v>
      </c>
      <c r="AC30" s="281"/>
      <c r="AD30" s="940">
        <v>14</v>
      </c>
      <c r="AE30" s="941">
        <v>7</v>
      </c>
      <c r="AF30" s="942">
        <v>95</v>
      </c>
      <c r="AG30" s="940">
        <v>29</v>
      </c>
      <c r="AH30" s="941">
        <v>33</v>
      </c>
      <c r="AI30" s="942">
        <v>111</v>
      </c>
      <c r="AJ30" s="940">
        <v>7</v>
      </c>
      <c r="AK30" s="941">
        <v>1</v>
      </c>
      <c r="AL30" s="942">
        <v>3</v>
      </c>
      <c r="AM30" s="940">
        <f t="shared" si="12"/>
        <v>50</v>
      </c>
      <c r="AN30" s="941">
        <f t="shared" si="13"/>
        <v>41</v>
      </c>
      <c r="AO30" s="942">
        <f t="shared" si="14"/>
        <v>209</v>
      </c>
      <c r="AQ30" s="282">
        <f t="shared" si="15"/>
        <v>2.0964991473568062E-2</v>
      </c>
    </row>
    <row r="31" spans="1:43">
      <c r="A31" s="280" t="s">
        <v>69</v>
      </c>
      <c r="B31" s="280" t="s">
        <v>70</v>
      </c>
      <c r="C31" s="280" t="s">
        <v>275</v>
      </c>
      <c r="D31" s="280">
        <v>2</v>
      </c>
      <c r="E31" s="940">
        <v>15741</v>
      </c>
      <c r="F31" s="941">
        <f t="shared" si="0"/>
        <v>15577</v>
      </c>
      <c r="G31" s="941">
        <f t="shared" si="1"/>
        <v>107</v>
      </c>
      <c r="H31" s="942">
        <f t="shared" si="2"/>
        <v>57</v>
      </c>
      <c r="I31" s="281"/>
      <c r="J31" s="940">
        <v>3170</v>
      </c>
      <c r="K31" s="941">
        <v>41</v>
      </c>
      <c r="L31" s="941">
        <v>10</v>
      </c>
      <c r="M31" s="942">
        <f t="shared" si="3"/>
        <v>3221</v>
      </c>
      <c r="N31" s="940">
        <v>9729</v>
      </c>
      <c r="O31" s="941">
        <v>60</v>
      </c>
      <c r="P31" s="941">
        <v>42</v>
      </c>
      <c r="Q31" s="942">
        <f t="shared" si="4"/>
        <v>9831</v>
      </c>
      <c r="R31" s="940">
        <v>2678</v>
      </c>
      <c r="S31" s="941">
        <v>6</v>
      </c>
      <c r="T31" s="941">
        <v>5</v>
      </c>
      <c r="U31" s="942">
        <f t="shared" si="5"/>
        <v>2689</v>
      </c>
      <c r="V31" s="281"/>
      <c r="W31" s="951">
        <f t="shared" si="6"/>
        <v>0.98958134807191411</v>
      </c>
      <c r="X31" s="952">
        <f t="shared" si="7"/>
        <v>6.7975350994218921E-3</v>
      </c>
      <c r="Y31" s="953">
        <f t="shared" si="8"/>
        <v>3.6211168286639983E-3</v>
      </c>
      <c r="Z31" s="951">
        <f t="shared" si="9"/>
        <v>0.20462486500222349</v>
      </c>
      <c r="AA31" s="952">
        <f t="shared" si="10"/>
        <v>0.62454736039641701</v>
      </c>
      <c r="AB31" s="953">
        <f t="shared" si="11"/>
        <v>0.17082777460135951</v>
      </c>
      <c r="AC31" s="281"/>
      <c r="AD31" s="940">
        <v>5</v>
      </c>
      <c r="AE31" s="941">
        <v>5</v>
      </c>
      <c r="AF31" s="942">
        <v>34</v>
      </c>
      <c r="AG31" s="940">
        <v>19</v>
      </c>
      <c r="AH31" s="941">
        <v>23</v>
      </c>
      <c r="AI31" s="942">
        <v>53</v>
      </c>
      <c r="AJ31" s="940">
        <v>3</v>
      </c>
      <c r="AK31" s="941">
        <v>2</v>
      </c>
      <c r="AL31" s="942">
        <v>7</v>
      </c>
      <c r="AM31" s="940">
        <f t="shared" si="12"/>
        <v>27</v>
      </c>
      <c r="AN31" s="941">
        <f t="shared" si="13"/>
        <v>30</v>
      </c>
      <c r="AO31" s="942">
        <f t="shared" si="14"/>
        <v>94</v>
      </c>
      <c r="AQ31" s="282">
        <f t="shared" si="15"/>
        <v>5.9716663490248399E-3</v>
      </c>
    </row>
    <row r="32" spans="1:43">
      <c r="A32" s="280" t="s">
        <v>71</v>
      </c>
      <c r="B32" s="280" t="s">
        <v>72</v>
      </c>
      <c r="C32" s="280" t="s">
        <v>271</v>
      </c>
      <c r="D32" s="280">
        <v>2</v>
      </c>
      <c r="E32" s="940">
        <v>27918</v>
      </c>
      <c r="F32" s="941">
        <f t="shared" si="0"/>
        <v>18244</v>
      </c>
      <c r="G32" s="941">
        <f t="shared" si="1"/>
        <v>9354</v>
      </c>
      <c r="H32" s="942">
        <f t="shared" si="2"/>
        <v>320</v>
      </c>
      <c r="I32" s="281"/>
      <c r="J32" s="940">
        <v>3909</v>
      </c>
      <c r="K32" s="941">
        <v>2124</v>
      </c>
      <c r="L32" s="941">
        <v>85</v>
      </c>
      <c r="M32" s="942">
        <f t="shared" si="3"/>
        <v>6118</v>
      </c>
      <c r="N32" s="940">
        <v>11683</v>
      </c>
      <c r="O32" s="941">
        <v>5974</v>
      </c>
      <c r="P32" s="941">
        <v>213</v>
      </c>
      <c r="Q32" s="942">
        <f t="shared" si="4"/>
        <v>17870</v>
      </c>
      <c r="R32" s="940">
        <v>2652</v>
      </c>
      <c r="S32" s="941">
        <v>1256</v>
      </c>
      <c r="T32" s="941">
        <v>22</v>
      </c>
      <c r="U32" s="942">
        <f t="shared" si="5"/>
        <v>3930</v>
      </c>
      <c r="V32" s="281"/>
      <c r="W32" s="951">
        <f t="shared" si="6"/>
        <v>0.65348520667669607</v>
      </c>
      <c r="X32" s="952">
        <f t="shared" si="7"/>
        <v>0.33505265420159036</v>
      </c>
      <c r="Y32" s="953">
        <f t="shared" si="8"/>
        <v>1.146213912171359E-2</v>
      </c>
      <c r="Z32" s="951">
        <f t="shared" si="9"/>
        <v>0.21914177233326171</v>
      </c>
      <c r="AA32" s="952">
        <f t="shared" si="10"/>
        <v>0.6400888315781933</v>
      </c>
      <c r="AB32" s="953">
        <f t="shared" si="11"/>
        <v>0.14076939608854502</v>
      </c>
      <c r="AC32" s="281"/>
      <c r="AD32" s="940">
        <v>56</v>
      </c>
      <c r="AE32" s="941">
        <v>29</v>
      </c>
      <c r="AF32" s="942">
        <v>299</v>
      </c>
      <c r="AG32" s="940">
        <v>123</v>
      </c>
      <c r="AH32" s="941">
        <v>90</v>
      </c>
      <c r="AI32" s="942">
        <v>425</v>
      </c>
      <c r="AJ32" s="940">
        <v>15</v>
      </c>
      <c r="AK32" s="941">
        <v>7</v>
      </c>
      <c r="AL32" s="942">
        <v>16</v>
      </c>
      <c r="AM32" s="940">
        <f t="shared" si="12"/>
        <v>194</v>
      </c>
      <c r="AN32" s="941">
        <f t="shared" si="13"/>
        <v>126</v>
      </c>
      <c r="AO32" s="942">
        <f t="shared" si="14"/>
        <v>740</v>
      </c>
      <c r="AQ32" s="282">
        <f t="shared" si="15"/>
        <v>2.6506196718962677E-2</v>
      </c>
    </row>
    <row r="33" spans="1:43">
      <c r="A33" s="280" t="s">
        <v>73</v>
      </c>
      <c r="B33" s="280" t="s">
        <v>74</v>
      </c>
      <c r="C33" s="280" t="s">
        <v>273</v>
      </c>
      <c r="D33" s="280">
        <v>1</v>
      </c>
      <c r="E33" s="940">
        <v>11205</v>
      </c>
      <c r="F33" s="941">
        <f t="shared" si="0"/>
        <v>6583</v>
      </c>
      <c r="G33" s="941">
        <f t="shared" si="1"/>
        <v>4397</v>
      </c>
      <c r="H33" s="942">
        <f t="shared" si="2"/>
        <v>225</v>
      </c>
      <c r="I33" s="281"/>
      <c r="J33" s="940">
        <v>1239</v>
      </c>
      <c r="K33" s="941">
        <v>1131</v>
      </c>
      <c r="L33" s="941">
        <v>55</v>
      </c>
      <c r="M33" s="942">
        <f t="shared" si="3"/>
        <v>2425</v>
      </c>
      <c r="N33" s="940">
        <v>3941</v>
      </c>
      <c r="O33" s="941">
        <v>2698</v>
      </c>
      <c r="P33" s="941">
        <v>149</v>
      </c>
      <c r="Q33" s="942">
        <f t="shared" si="4"/>
        <v>6788</v>
      </c>
      <c r="R33" s="940">
        <v>1403</v>
      </c>
      <c r="S33" s="941">
        <v>568</v>
      </c>
      <c r="T33" s="941">
        <v>21</v>
      </c>
      <c r="U33" s="942">
        <f t="shared" si="5"/>
        <v>1992</v>
      </c>
      <c r="V33" s="281"/>
      <c r="W33" s="951">
        <f t="shared" si="6"/>
        <v>0.58750557786702362</v>
      </c>
      <c r="X33" s="952">
        <f t="shared" si="7"/>
        <v>0.39241410084783579</v>
      </c>
      <c r="Y33" s="953">
        <f t="shared" si="8"/>
        <v>2.0080321285140562E-2</v>
      </c>
      <c r="Z33" s="951">
        <f t="shared" si="9"/>
        <v>0.21642124051762607</v>
      </c>
      <c r="AA33" s="952">
        <f t="shared" si="10"/>
        <v>0.60580098170459618</v>
      </c>
      <c r="AB33" s="953">
        <f t="shared" si="11"/>
        <v>0.17777777777777778</v>
      </c>
      <c r="AC33" s="281"/>
      <c r="AD33" s="940">
        <v>39</v>
      </c>
      <c r="AE33" s="941">
        <v>16</v>
      </c>
      <c r="AF33" s="942">
        <v>116</v>
      </c>
      <c r="AG33" s="940">
        <v>84</v>
      </c>
      <c r="AH33" s="941">
        <v>65</v>
      </c>
      <c r="AI33" s="942">
        <v>222</v>
      </c>
      <c r="AJ33" s="940">
        <v>9</v>
      </c>
      <c r="AK33" s="941">
        <v>12</v>
      </c>
      <c r="AL33" s="942">
        <v>19</v>
      </c>
      <c r="AM33" s="940">
        <f t="shared" si="12"/>
        <v>132</v>
      </c>
      <c r="AN33" s="941">
        <f t="shared" si="13"/>
        <v>93</v>
      </c>
      <c r="AO33" s="942">
        <f t="shared" si="14"/>
        <v>357</v>
      </c>
      <c r="AQ33" s="282">
        <f t="shared" si="15"/>
        <v>3.1860776439089696E-2</v>
      </c>
    </row>
    <row r="34" spans="1:43">
      <c r="A34" s="280" t="s">
        <v>75</v>
      </c>
      <c r="B34" s="280" t="s">
        <v>881</v>
      </c>
      <c r="C34" s="280" t="s">
        <v>274</v>
      </c>
      <c r="D34" s="280">
        <v>3</v>
      </c>
      <c r="E34" s="940">
        <v>1135992</v>
      </c>
      <c r="F34" s="941">
        <f t="shared" si="0"/>
        <v>795089</v>
      </c>
      <c r="G34" s="941">
        <f t="shared" si="1"/>
        <v>117043</v>
      </c>
      <c r="H34" s="942">
        <f t="shared" si="2"/>
        <v>223860</v>
      </c>
      <c r="I34" s="281"/>
      <c r="J34" s="940">
        <v>183425</v>
      </c>
      <c r="K34" s="941">
        <v>33733</v>
      </c>
      <c r="L34" s="941">
        <v>55810</v>
      </c>
      <c r="M34" s="942">
        <f t="shared" si="3"/>
        <v>272968</v>
      </c>
      <c r="N34" s="940">
        <v>520106</v>
      </c>
      <c r="O34" s="941">
        <v>76456</v>
      </c>
      <c r="P34" s="941">
        <v>149929</v>
      </c>
      <c r="Q34" s="942">
        <f t="shared" si="4"/>
        <v>746491</v>
      </c>
      <c r="R34" s="940">
        <v>91558</v>
      </c>
      <c r="S34" s="941">
        <v>6854</v>
      </c>
      <c r="T34" s="941">
        <v>18121</v>
      </c>
      <c r="U34" s="942">
        <f t="shared" si="5"/>
        <v>116533</v>
      </c>
      <c r="V34" s="281"/>
      <c r="W34" s="951">
        <f t="shared" si="6"/>
        <v>0.69990721765646235</v>
      </c>
      <c r="X34" s="952">
        <f t="shared" si="7"/>
        <v>0.10303153543334813</v>
      </c>
      <c r="Y34" s="953">
        <f t="shared" si="8"/>
        <v>0.1970612469101895</v>
      </c>
      <c r="Z34" s="951">
        <f t="shared" si="9"/>
        <v>0.2402904245804548</v>
      </c>
      <c r="AA34" s="952">
        <f t="shared" si="10"/>
        <v>0.65712698680976622</v>
      </c>
      <c r="AB34" s="953">
        <f t="shared" si="11"/>
        <v>0.10258258860977894</v>
      </c>
      <c r="AC34" s="281"/>
      <c r="AD34" s="940">
        <v>53519</v>
      </c>
      <c r="AE34" s="941">
        <v>2291</v>
      </c>
      <c r="AF34" s="942">
        <v>53198</v>
      </c>
      <c r="AG34" s="940">
        <v>144648</v>
      </c>
      <c r="AH34" s="941">
        <v>5281</v>
      </c>
      <c r="AI34" s="942">
        <v>118237</v>
      </c>
      <c r="AJ34" s="940">
        <v>17784</v>
      </c>
      <c r="AK34" s="941">
        <v>337</v>
      </c>
      <c r="AL34" s="942">
        <v>7248</v>
      </c>
      <c r="AM34" s="940">
        <f t="shared" si="12"/>
        <v>215951</v>
      </c>
      <c r="AN34" s="941">
        <f t="shared" si="13"/>
        <v>7909</v>
      </c>
      <c r="AO34" s="942">
        <f t="shared" si="14"/>
        <v>178683</v>
      </c>
      <c r="AQ34" s="282">
        <f t="shared" si="15"/>
        <v>0.15729248093296433</v>
      </c>
    </row>
    <row r="35" spans="1:43">
      <c r="A35" s="280" t="s">
        <v>77</v>
      </c>
      <c r="B35" s="280" t="s">
        <v>78</v>
      </c>
      <c r="C35" s="280" t="s">
        <v>274</v>
      </c>
      <c r="D35" s="280">
        <v>2</v>
      </c>
      <c r="E35" s="940">
        <v>66071</v>
      </c>
      <c r="F35" s="941">
        <f t="shared" si="0"/>
        <v>58450</v>
      </c>
      <c r="G35" s="941">
        <f t="shared" si="1"/>
        <v>6117</v>
      </c>
      <c r="H35" s="942">
        <f t="shared" si="2"/>
        <v>1504</v>
      </c>
      <c r="I35" s="281"/>
      <c r="J35" s="940">
        <v>14102</v>
      </c>
      <c r="K35" s="941">
        <v>1761</v>
      </c>
      <c r="L35" s="941">
        <v>425</v>
      </c>
      <c r="M35" s="942">
        <f t="shared" si="3"/>
        <v>16288</v>
      </c>
      <c r="N35" s="940">
        <v>36607</v>
      </c>
      <c r="O35" s="941">
        <v>3532</v>
      </c>
      <c r="P35" s="941">
        <v>936</v>
      </c>
      <c r="Q35" s="942">
        <f t="shared" si="4"/>
        <v>41075</v>
      </c>
      <c r="R35" s="940">
        <v>7741</v>
      </c>
      <c r="S35" s="941">
        <v>824</v>
      </c>
      <c r="T35" s="941">
        <v>143</v>
      </c>
      <c r="U35" s="942">
        <f t="shared" si="5"/>
        <v>8708</v>
      </c>
      <c r="V35" s="281"/>
      <c r="W35" s="951">
        <f t="shared" si="6"/>
        <v>0.88465438694737475</v>
      </c>
      <c r="X35" s="952">
        <f t="shared" si="7"/>
        <v>9.2582222154954513E-2</v>
      </c>
      <c r="Y35" s="953">
        <f t="shared" si="8"/>
        <v>2.2763390897670689E-2</v>
      </c>
      <c r="Z35" s="951">
        <f t="shared" si="9"/>
        <v>0.24652268014711448</v>
      </c>
      <c r="AA35" s="952">
        <f t="shared" si="10"/>
        <v>0.6216797081927018</v>
      </c>
      <c r="AB35" s="953">
        <f t="shared" si="11"/>
        <v>0.13179761166018375</v>
      </c>
      <c r="AC35" s="281"/>
      <c r="AD35" s="940">
        <v>336</v>
      </c>
      <c r="AE35" s="941">
        <v>89</v>
      </c>
      <c r="AF35" s="942">
        <v>1632</v>
      </c>
      <c r="AG35" s="940">
        <v>730</v>
      </c>
      <c r="AH35" s="941">
        <v>206</v>
      </c>
      <c r="AI35" s="942">
        <v>2532</v>
      </c>
      <c r="AJ35" s="940">
        <v>117</v>
      </c>
      <c r="AK35" s="941">
        <v>26</v>
      </c>
      <c r="AL35" s="942">
        <v>120</v>
      </c>
      <c r="AM35" s="940">
        <f t="shared" si="12"/>
        <v>1183</v>
      </c>
      <c r="AN35" s="941">
        <f t="shared" si="13"/>
        <v>321</v>
      </c>
      <c r="AO35" s="942">
        <f t="shared" si="14"/>
        <v>4284</v>
      </c>
      <c r="AQ35" s="282">
        <f t="shared" si="15"/>
        <v>6.4839339498418372E-2</v>
      </c>
    </row>
    <row r="36" spans="1:43">
      <c r="A36" s="280" t="s">
        <v>79</v>
      </c>
      <c r="B36" s="280" t="s">
        <v>80</v>
      </c>
      <c r="C36" s="280" t="s">
        <v>275</v>
      </c>
      <c r="D36" s="280">
        <v>1</v>
      </c>
      <c r="E36" s="940">
        <v>15378</v>
      </c>
      <c r="F36" s="941">
        <f t="shared" si="0"/>
        <v>14919</v>
      </c>
      <c r="G36" s="941">
        <f t="shared" si="1"/>
        <v>385</v>
      </c>
      <c r="H36" s="942">
        <f t="shared" si="2"/>
        <v>74</v>
      </c>
      <c r="I36" s="281"/>
      <c r="J36" s="940">
        <v>3183</v>
      </c>
      <c r="K36" s="941">
        <v>100</v>
      </c>
      <c r="L36" s="941">
        <v>20</v>
      </c>
      <c r="M36" s="942">
        <f t="shared" si="3"/>
        <v>3303</v>
      </c>
      <c r="N36" s="940">
        <v>9007</v>
      </c>
      <c r="O36" s="941">
        <v>223</v>
      </c>
      <c r="P36" s="941">
        <v>49</v>
      </c>
      <c r="Q36" s="942">
        <f t="shared" si="4"/>
        <v>9279</v>
      </c>
      <c r="R36" s="940">
        <v>2729</v>
      </c>
      <c r="S36" s="941">
        <v>62</v>
      </c>
      <c r="T36" s="941">
        <v>5</v>
      </c>
      <c r="U36" s="942">
        <f t="shared" si="5"/>
        <v>2796</v>
      </c>
      <c r="V36" s="281"/>
      <c r="W36" s="951">
        <f t="shared" si="6"/>
        <v>0.97015216543113536</v>
      </c>
      <c r="X36" s="952">
        <f t="shared" si="7"/>
        <v>2.503576537911302E-2</v>
      </c>
      <c r="Y36" s="953">
        <f t="shared" si="8"/>
        <v>4.8120691897515933E-3</v>
      </c>
      <c r="Z36" s="951">
        <f t="shared" si="9"/>
        <v>0.2147873585641826</v>
      </c>
      <c r="AA36" s="952">
        <f t="shared" si="10"/>
        <v>0.6033944596176356</v>
      </c>
      <c r="AB36" s="953">
        <f t="shared" si="11"/>
        <v>0.18181818181818182</v>
      </c>
      <c r="AC36" s="281"/>
      <c r="AD36" s="940">
        <v>15</v>
      </c>
      <c r="AE36" s="941">
        <v>5</v>
      </c>
      <c r="AF36" s="942">
        <v>142</v>
      </c>
      <c r="AG36" s="940">
        <v>34</v>
      </c>
      <c r="AH36" s="941">
        <v>15</v>
      </c>
      <c r="AI36" s="942">
        <v>251</v>
      </c>
      <c r="AJ36" s="940">
        <v>3</v>
      </c>
      <c r="AK36" s="941">
        <v>2</v>
      </c>
      <c r="AL36" s="942">
        <v>20</v>
      </c>
      <c r="AM36" s="940">
        <f t="shared" si="12"/>
        <v>52</v>
      </c>
      <c r="AN36" s="941">
        <f t="shared" si="13"/>
        <v>22</v>
      </c>
      <c r="AO36" s="942">
        <f t="shared" si="14"/>
        <v>413</v>
      </c>
      <c r="AQ36" s="282">
        <f t="shared" si="15"/>
        <v>2.6856548315775785E-2</v>
      </c>
    </row>
    <row r="37" spans="1:43">
      <c r="A37" s="280" t="s">
        <v>81</v>
      </c>
      <c r="B37" s="280" t="s">
        <v>82</v>
      </c>
      <c r="C37" s="280" t="s">
        <v>273</v>
      </c>
      <c r="D37" s="280">
        <v>2</v>
      </c>
      <c r="E37" s="940">
        <v>26061</v>
      </c>
      <c r="F37" s="941">
        <f t="shared" si="0"/>
        <v>21533</v>
      </c>
      <c r="G37" s="941">
        <f t="shared" si="1"/>
        <v>4264</v>
      </c>
      <c r="H37" s="942">
        <f t="shared" si="2"/>
        <v>264</v>
      </c>
      <c r="I37" s="281"/>
      <c r="J37" s="940">
        <v>4801</v>
      </c>
      <c r="K37" s="941">
        <v>985</v>
      </c>
      <c r="L37" s="941">
        <v>73</v>
      </c>
      <c r="M37" s="942">
        <f t="shared" si="3"/>
        <v>5859</v>
      </c>
      <c r="N37" s="940">
        <v>13061</v>
      </c>
      <c r="O37" s="941">
        <v>2775</v>
      </c>
      <c r="P37" s="941">
        <v>173</v>
      </c>
      <c r="Q37" s="942">
        <f t="shared" si="4"/>
        <v>16009</v>
      </c>
      <c r="R37" s="940">
        <v>3671</v>
      </c>
      <c r="S37" s="941">
        <v>504</v>
      </c>
      <c r="T37" s="941">
        <v>18</v>
      </c>
      <c r="U37" s="942">
        <f t="shared" si="5"/>
        <v>4193</v>
      </c>
      <c r="V37" s="281"/>
      <c r="W37" s="951">
        <f t="shared" si="6"/>
        <v>0.82625378918690762</v>
      </c>
      <c r="X37" s="952">
        <f t="shared" si="7"/>
        <v>0.16361613138406048</v>
      </c>
      <c r="Y37" s="953">
        <f t="shared" si="8"/>
        <v>1.0130079429031887E-2</v>
      </c>
      <c r="Z37" s="951">
        <f t="shared" si="9"/>
        <v>0.22481869460112813</v>
      </c>
      <c r="AA37" s="952">
        <f t="shared" si="10"/>
        <v>0.61428955143701314</v>
      </c>
      <c r="AB37" s="953">
        <f t="shared" si="11"/>
        <v>0.1608917539618587</v>
      </c>
      <c r="AC37" s="281"/>
      <c r="AD37" s="940">
        <v>50</v>
      </c>
      <c r="AE37" s="941">
        <v>23</v>
      </c>
      <c r="AF37" s="942">
        <v>296</v>
      </c>
      <c r="AG37" s="940">
        <v>141</v>
      </c>
      <c r="AH37" s="941">
        <v>32</v>
      </c>
      <c r="AI37" s="942">
        <v>453</v>
      </c>
      <c r="AJ37" s="940">
        <v>15</v>
      </c>
      <c r="AK37" s="941">
        <v>3</v>
      </c>
      <c r="AL37" s="942">
        <v>44</v>
      </c>
      <c r="AM37" s="940">
        <f t="shared" si="12"/>
        <v>206</v>
      </c>
      <c r="AN37" s="941">
        <f t="shared" si="13"/>
        <v>58</v>
      </c>
      <c r="AO37" s="942">
        <f t="shared" si="14"/>
        <v>793</v>
      </c>
      <c r="AQ37" s="282">
        <f t="shared" si="15"/>
        <v>3.0428609800084418E-2</v>
      </c>
    </row>
    <row r="38" spans="1:43">
      <c r="A38" s="280" t="s">
        <v>85</v>
      </c>
      <c r="B38" s="280" t="s">
        <v>330</v>
      </c>
      <c r="C38" s="280" t="s">
        <v>272</v>
      </c>
      <c r="D38" s="280">
        <v>2</v>
      </c>
      <c r="E38" s="940">
        <v>56419</v>
      </c>
      <c r="F38" s="941">
        <f t="shared" si="0"/>
        <v>50823</v>
      </c>
      <c r="G38" s="941">
        <f t="shared" si="1"/>
        <v>4980</v>
      </c>
      <c r="H38" s="942">
        <f t="shared" si="2"/>
        <v>616</v>
      </c>
      <c r="I38" s="281"/>
      <c r="J38" s="940">
        <v>10191</v>
      </c>
      <c r="K38" s="941">
        <v>1150</v>
      </c>
      <c r="L38" s="941">
        <v>182</v>
      </c>
      <c r="M38" s="942">
        <f t="shared" si="3"/>
        <v>11523</v>
      </c>
      <c r="N38" s="940">
        <v>31041</v>
      </c>
      <c r="O38" s="941">
        <v>3145</v>
      </c>
      <c r="P38" s="941">
        <v>395</v>
      </c>
      <c r="Q38" s="942">
        <f t="shared" si="4"/>
        <v>34581</v>
      </c>
      <c r="R38" s="940">
        <v>9591</v>
      </c>
      <c r="S38" s="941">
        <v>685</v>
      </c>
      <c r="T38" s="941">
        <v>39</v>
      </c>
      <c r="U38" s="942">
        <f t="shared" si="5"/>
        <v>10315</v>
      </c>
      <c r="V38" s="281"/>
      <c r="W38" s="951">
        <f t="shared" si="6"/>
        <v>0.90081355571704569</v>
      </c>
      <c r="X38" s="952">
        <f t="shared" si="7"/>
        <v>8.8268136620641979E-2</v>
      </c>
      <c r="Y38" s="953">
        <f t="shared" si="8"/>
        <v>1.0918307662312341E-2</v>
      </c>
      <c r="Z38" s="951">
        <f t="shared" si="9"/>
        <v>0.20423970648185893</v>
      </c>
      <c r="AA38" s="952">
        <f t="shared" si="10"/>
        <v>0.61293181375068684</v>
      </c>
      <c r="AB38" s="953">
        <f t="shared" si="11"/>
        <v>0.18282847976745423</v>
      </c>
      <c r="AC38" s="281"/>
      <c r="AD38" s="940">
        <v>101</v>
      </c>
      <c r="AE38" s="941">
        <v>81</v>
      </c>
      <c r="AF38" s="942">
        <v>592</v>
      </c>
      <c r="AG38" s="940">
        <v>218</v>
      </c>
      <c r="AH38" s="941">
        <v>177</v>
      </c>
      <c r="AI38" s="942">
        <v>850</v>
      </c>
      <c r="AJ38" s="940">
        <v>27</v>
      </c>
      <c r="AK38" s="941">
        <v>12</v>
      </c>
      <c r="AL38" s="942">
        <v>55</v>
      </c>
      <c r="AM38" s="940">
        <f t="shared" si="12"/>
        <v>346</v>
      </c>
      <c r="AN38" s="941">
        <f t="shared" si="13"/>
        <v>270</v>
      </c>
      <c r="AO38" s="942">
        <f t="shared" si="14"/>
        <v>1497</v>
      </c>
      <c r="AQ38" s="282">
        <f t="shared" si="15"/>
        <v>2.6533614562470088E-2</v>
      </c>
    </row>
    <row r="39" spans="1:43">
      <c r="A39" s="280" t="s">
        <v>87</v>
      </c>
      <c r="B39" s="280" t="s">
        <v>88</v>
      </c>
      <c r="C39" s="280" t="s">
        <v>274</v>
      </c>
      <c r="D39" s="280">
        <v>2</v>
      </c>
      <c r="E39" s="940">
        <v>79666</v>
      </c>
      <c r="F39" s="941">
        <f t="shared" si="0"/>
        <v>74001</v>
      </c>
      <c r="G39" s="941">
        <f t="shared" si="1"/>
        <v>4088</v>
      </c>
      <c r="H39" s="942">
        <f t="shared" si="2"/>
        <v>1577</v>
      </c>
      <c r="I39" s="281"/>
      <c r="J39" s="940">
        <v>17689</v>
      </c>
      <c r="K39" s="941">
        <v>1510</v>
      </c>
      <c r="L39" s="941">
        <v>468</v>
      </c>
      <c r="M39" s="942">
        <f t="shared" si="3"/>
        <v>19667</v>
      </c>
      <c r="N39" s="940">
        <v>46181</v>
      </c>
      <c r="O39" s="941">
        <v>2377</v>
      </c>
      <c r="P39" s="941">
        <v>1006</v>
      </c>
      <c r="Q39" s="942">
        <f t="shared" si="4"/>
        <v>49564</v>
      </c>
      <c r="R39" s="940">
        <v>10131</v>
      </c>
      <c r="S39" s="941">
        <v>201</v>
      </c>
      <c r="T39" s="941">
        <v>103</v>
      </c>
      <c r="U39" s="942">
        <f t="shared" si="5"/>
        <v>10435</v>
      </c>
      <c r="V39" s="281"/>
      <c r="W39" s="951">
        <f t="shared" si="6"/>
        <v>0.92889061833153419</v>
      </c>
      <c r="X39" s="952">
        <f t="shared" si="7"/>
        <v>5.1314236939221249E-2</v>
      </c>
      <c r="Y39" s="953">
        <f t="shared" si="8"/>
        <v>1.9795144729244596E-2</v>
      </c>
      <c r="Z39" s="951">
        <f t="shared" si="9"/>
        <v>0.2468681746290764</v>
      </c>
      <c r="AA39" s="952">
        <f t="shared" si="10"/>
        <v>0.62214746566916879</v>
      </c>
      <c r="AB39" s="953">
        <f t="shared" si="11"/>
        <v>0.13098435970175482</v>
      </c>
      <c r="AC39" s="281"/>
      <c r="AD39" s="940">
        <v>343</v>
      </c>
      <c r="AE39" s="941">
        <v>125</v>
      </c>
      <c r="AF39" s="942">
        <v>2215</v>
      </c>
      <c r="AG39" s="940">
        <v>785</v>
      </c>
      <c r="AH39" s="941">
        <v>221</v>
      </c>
      <c r="AI39" s="942">
        <v>3136</v>
      </c>
      <c r="AJ39" s="940">
        <v>78</v>
      </c>
      <c r="AK39" s="941">
        <v>25</v>
      </c>
      <c r="AL39" s="942">
        <v>129</v>
      </c>
      <c r="AM39" s="940">
        <f t="shared" si="12"/>
        <v>1206</v>
      </c>
      <c r="AN39" s="941">
        <f t="shared" si="13"/>
        <v>371</v>
      </c>
      <c r="AO39" s="942">
        <f t="shared" si="14"/>
        <v>5480</v>
      </c>
      <c r="AQ39" s="282">
        <f t="shared" si="15"/>
        <v>6.8787186503652745E-2</v>
      </c>
    </row>
    <row r="40" spans="1:43">
      <c r="A40" s="280" t="s">
        <v>93</v>
      </c>
      <c r="B40" s="280" t="s">
        <v>94</v>
      </c>
      <c r="C40" s="280" t="s">
        <v>275</v>
      </c>
      <c r="D40" s="280">
        <v>2</v>
      </c>
      <c r="E40" s="940">
        <v>17124</v>
      </c>
      <c r="F40" s="941">
        <f t="shared" si="0"/>
        <v>16687</v>
      </c>
      <c r="G40" s="941">
        <f t="shared" si="1"/>
        <v>345</v>
      </c>
      <c r="H40" s="942">
        <f t="shared" si="2"/>
        <v>92</v>
      </c>
      <c r="I40" s="281"/>
      <c r="J40" s="940">
        <v>3460</v>
      </c>
      <c r="K40" s="941">
        <v>122</v>
      </c>
      <c r="L40" s="941">
        <v>18</v>
      </c>
      <c r="M40" s="942">
        <f t="shared" si="3"/>
        <v>3600</v>
      </c>
      <c r="N40" s="940">
        <v>10115</v>
      </c>
      <c r="O40" s="941">
        <v>173</v>
      </c>
      <c r="P40" s="941">
        <v>68</v>
      </c>
      <c r="Q40" s="942">
        <f t="shared" si="4"/>
        <v>10356</v>
      </c>
      <c r="R40" s="940">
        <v>3112</v>
      </c>
      <c r="S40" s="941">
        <v>50</v>
      </c>
      <c r="T40" s="941">
        <v>6</v>
      </c>
      <c r="U40" s="942">
        <f t="shared" si="5"/>
        <v>3168</v>
      </c>
      <c r="V40" s="281"/>
      <c r="W40" s="951">
        <f t="shared" si="6"/>
        <v>0.97448026162111656</v>
      </c>
      <c r="X40" s="952">
        <f t="shared" si="7"/>
        <v>2.0147161878065874E-2</v>
      </c>
      <c r="Y40" s="953">
        <f t="shared" si="8"/>
        <v>5.3725765008175658E-3</v>
      </c>
      <c r="Z40" s="951">
        <f t="shared" si="9"/>
        <v>0.21023125437981779</v>
      </c>
      <c r="AA40" s="952">
        <f t="shared" si="10"/>
        <v>0.60476524176594249</v>
      </c>
      <c r="AB40" s="953">
        <f t="shared" si="11"/>
        <v>0.18500350385423966</v>
      </c>
      <c r="AC40" s="281"/>
      <c r="AD40" s="940">
        <v>13</v>
      </c>
      <c r="AE40" s="941">
        <v>5</v>
      </c>
      <c r="AF40" s="942">
        <v>87</v>
      </c>
      <c r="AG40" s="940">
        <v>47</v>
      </c>
      <c r="AH40" s="941">
        <v>21</v>
      </c>
      <c r="AI40" s="942">
        <v>107</v>
      </c>
      <c r="AJ40" s="940">
        <v>4</v>
      </c>
      <c r="AK40" s="941">
        <v>2</v>
      </c>
      <c r="AL40" s="942">
        <v>19</v>
      </c>
      <c r="AM40" s="940">
        <f t="shared" si="12"/>
        <v>64</v>
      </c>
      <c r="AN40" s="941">
        <f t="shared" si="13"/>
        <v>28</v>
      </c>
      <c r="AO40" s="942">
        <f t="shared" si="14"/>
        <v>213</v>
      </c>
      <c r="AQ40" s="282">
        <f t="shared" si="15"/>
        <v>1.2438682550805887E-2</v>
      </c>
    </row>
    <row r="41" spans="1:43">
      <c r="A41" s="280" t="s">
        <v>95</v>
      </c>
      <c r="B41" s="280" t="s">
        <v>96</v>
      </c>
      <c r="C41" s="280" t="s">
        <v>271</v>
      </c>
      <c r="D41" s="280">
        <v>2</v>
      </c>
      <c r="E41" s="940">
        <v>36901</v>
      </c>
      <c r="F41" s="941">
        <f t="shared" si="0"/>
        <v>32849</v>
      </c>
      <c r="G41" s="941">
        <f t="shared" si="1"/>
        <v>3434</v>
      </c>
      <c r="H41" s="942">
        <f t="shared" si="2"/>
        <v>618</v>
      </c>
      <c r="I41" s="281"/>
      <c r="J41" s="940">
        <v>6974</v>
      </c>
      <c r="K41" s="941">
        <v>759</v>
      </c>
      <c r="L41" s="941">
        <v>156</v>
      </c>
      <c r="M41" s="942">
        <f t="shared" si="3"/>
        <v>7889</v>
      </c>
      <c r="N41" s="940">
        <v>20895</v>
      </c>
      <c r="O41" s="941">
        <v>2077</v>
      </c>
      <c r="P41" s="941">
        <v>410</v>
      </c>
      <c r="Q41" s="942">
        <f t="shared" si="4"/>
        <v>23382</v>
      </c>
      <c r="R41" s="940">
        <v>4980</v>
      </c>
      <c r="S41" s="941">
        <v>598</v>
      </c>
      <c r="T41" s="941">
        <v>52</v>
      </c>
      <c r="U41" s="942">
        <f t="shared" si="5"/>
        <v>5630</v>
      </c>
      <c r="V41" s="281"/>
      <c r="W41" s="951">
        <f t="shared" si="6"/>
        <v>0.89019267770521127</v>
      </c>
      <c r="X41" s="952">
        <f t="shared" si="7"/>
        <v>9.3059808677271622E-2</v>
      </c>
      <c r="Y41" s="953">
        <f t="shared" si="8"/>
        <v>1.674751361751714E-2</v>
      </c>
      <c r="Z41" s="951">
        <f t="shared" si="9"/>
        <v>0.21378824422102383</v>
      </c>
      <c r="AA41" s="952">
        <f t="shared" si="10"/>
        <v>0.63364136473266308</v>
      </c>
      <c r="AB41" s="953">
        <f t="shared" si="11"/>
        <v>0.15257039104631312</v>
      </c>
      <c r="AC41" s="281"/>
      <c r="AD41" s="940">
        <v>120</v>
      </c>
      <c r="AE41" s="941">
        <v>36</v>
      </c>
      <c r="AF41" s="942">
        <v>335</v>
      </c>
      <c r="AG41" s="940">
        <v>277</v>
      </c>
      <c r="AH41" s="941">
        <v>133</v>
      </c>
      <c r="AI41" s="942">
        <v>588</v>
      </c>
      <c r="AJ41" s="940">
        <v>37</v>
      </c>
      <c r="AK41" s="941">
        <v>15</v>
      </c>
      <c r="AL41" s="942">
        <v>55</v>
      </c>
      <c r="AM41" s="940">
        <f t="shared" si="12"/>
        <v>434</v>
      </c>
      <c r="AN41" s="941">
        <f t="shared" si="13"/>
        <v>184</v>
      </c>
      <c r="AO41" s="942">
        <f t="shared" si="14"/>
        <v>978</v>
      </c>
      <c r="AQ41" s="282">
        <f t="shared" si="15"/>
        <v>2.6503346792769843E-2</v>
      </c>
    </row>
    <row r="42" spans="1:43">
      <c r="A42" s="280" t="s">
        <v>97</v>
      </c>
      <c r="B42" s="280" t="s">
        <v>98</v>
      </c>
      <c r="C42" s="280" t="s">
        <v>273</v>
      </c>
      <c r="D42" s="280">
        <v>1</v>
      </c>
      <c r="E42" s="940">
        <v>21883</v>
      </c>
      <c r="F42" s="941">
        <f t="shared" si="0"/>
        <v>17206</v>
      </c>
      <c r="G42" s="941">
        <f t="shared" si="1"/>
        <v>4330</v>
      </c>
      <c r="H42" s="942">
        <f t="shared" si="2"/>
        <v>347</v>
      </c>
      <c r="I42" s="281"/>
      <c r="J42" s="940">
        <v>3435</v>
      </c>
      <c r="K42" s="941">
        <v>746</v>
      </c>
      <c r="L42" s="941">
        <v>75</v>
      </c>
      <c r="M42" s="942">
        <f t="shared" si="3"/>
        <v>4256</v>
      </c>
      <c r="N42" s="940">
        <v>11019</v>
      </c>
      <c r="O42" s="941">
        <v>2900</v>
      </c>
      <c r="P42" s="941">
        <v>237</v>
      </c>
      <c r="Q42" s="942">
        <f t="shared" si="4"/>
        <v>14156</v>
      </c>
      <c r="R42" s="940">
        <v>2752</v>
      </c>
      <c r="S42" s="941">
        <v>684</v>
      </c>
      <c r="T42" s="941">
        <v>35</v>
      </c>
      <c r="U42" s="942">
        <f t="shared" si="5"/>
        <v>3471</v>
      </c>
      <c r="V42" s="281"/>
      <c r="W42" s="951">
        <f t="shared" si="6"/>
        <v>0.78627244893296167</v>
      </c>
      <c r="X42" s="952">
        <f t="shared" si="7"/>
        <v>0.19787049307681762</v>
      </c>
      <c r="Y42" s="953">
        <f t="shared" si="8"/>
        <v>1.5857057990220719E-2</v>
      </c>
      <c r="Z42" s="951">
        <f t="shared" si="9"/>
        <v>0.19448887264086276</v>
      </c>
      <c r="AA42" s="952">
        <f t="shared" si="10"/>
        <v>0.64689484988347123</v>
      </c>
      <c r="AB42" s="953">
        <f t="shared" si="11"/>
        <v>0.15861627747566603</v>
      </c>
      <c r="AC42" s="281"/>
      <c r="AD42" s="940">
        <v>61</v>
      </c>
      <c r="AE42" s="941">
        <v>14</v>
      </c>
      <c r="AF42" s="942">
        <v>160</v>
      </c>
      <c r="AG42" s="940">
        <v>195</v>
      </c>
      <c r="AH42" s="941">
        <v>42</v>
      </c>
      <c r="AI42" s="942">
        <v>281</v>
      </c>
      <c r="AJ42" s="940">
        <v>30</v>
      </c>
      <c r="AK42" s="941">
        <v>5</v>
      </c>
      <c r="AL42" s="942">
        <v>17</v>
      </c>
      <c r="AM42" s="940">
        <f t="shared" si="12"/>
        <v>286</v>
      </c>
      <c r="AN42" s="941">
        <f t="shared" si="13"/>
        <v>61</v>
      </c>
      <c r="AO42" s="942">
        <f t="shared" si="14"/>
        <v>458</v>
      </c>
      <c r="AQ42" s="282">
        <f t="shared" si="15"/>
        <v>2.0929488644152994E-2</v>
      </c>
    </row>
    <row r="43" spans="1:43">
      <c r="A43" s="280" t="s">
        <v>99</v>
      </c>
      <c r="B43" s="280" t="s">
        <v>100</v>
      </c>
      <c r="C43" s="280" t="s">
        <v>275</v>
      </c>
      <c r="D43" s="280">
        <v>2</v>
      </c>
      <c r="E43" s="940">
        <v>15328</v>
      </c>
      <c r="F43" s="941">
        <f t="shared" si="0"/>
        <v>14858</v>
      </c>
      <c r="G43" s="941">
        <f t="shared" si="1"/>
        <v>401</v>
      </c>
      <c r="H43" s="942">
        <f t="shared" si="2"/>
        <v>69</v>
      </c>
      <c r="I43" s="281"/>
      <c r="J43" s="940">
        <v>2725</v>
      </c>
      <c r="K43" s="941">
        <v>113</v>
      </c>
      <c r="L43" s="941">
        <v>11</v>
      </c>
      <c r="M43" s="942">
        <f t="shared" si="3"/>
        <v>2849</v>
      </c>
      <c r="N43" s="940">
        <v>8938</v>
      </c>
      <c r="O43" s="941">
        <v>221</v>
      </c>
      <c r="P43" s="941">
        <v>50</v>
      </c>
      <c r="Q43" s="942">
        <f t="shared" si="4"/>
        <v>9209</v>
      </c>
      <c r="R43" s="940">
        <v>3195</v>
      </c>
      <c r="S43" s="941">
        <v>67</v>
      </c>
      <c r="T43" s="941">
        <v>8</v>
      </c>
      <c r="U43" s="942">
        <f t="shared" si="5"/>
        <v>3270</v>
      </c>
      <c r="V43" s="281"/>
      <c r="W43" s="951">
        <f t="shared" si="6"/>
        <v>0.96933716075156573</v>
      </c>
      <c r="X43" s="952">
        <f t="shared" si="7"/>
        <v>2.6161273486430062E-2</v>
      </c>
      <c r="Y43" s="953">
        <f t="shared" si="8"/>
        <v>4.5015657620041749E-3</v>
      </c>
      <c r="Z43" s="951">
        <f t="shared" si="9"/>
        <v>0.18586899791231734</v>
      </c>
      <c r="AA43" s="952">
        <f t="shared" si="10"/>
        <v>0.6007959290187892</v>
      </c>
      <c r="AB43" s="953">
        <f t="shared" si="11"/>
        <v>0.21333507306889352</v>
      </c>
      <c r="AC43" s="281"/>
      <c r="AD43" s="940">
        <v>4</v>
      </c>
      <c r="AE43" s="941">
        <v>7</v>
      </c>
      <c r="AF43" s="942">
        <v>162</v>
      </c>
      <c r="AG43" s="940">
        <v>27</v>
      </c>
      <c r="AH43" s="941">
        <v>23</v>
      </c>
      <c r="AI43" s="942">
        <v>252</v>
      </c>
      <c r="AJ43" s="940">
        <v>4</v>
      </c>
      <c r="AK43" s="941">
        <v>4</v>
      </c>
      <c r="AL43" s="942">
        <v>10</v>
      </c>
      <c r="AM43" s="940">
        <f t="shared" si="12"/>
        <v>35</v>
      </c>
      <c r="AN43" s="941">
        <f t="shared" si="13"/>
        <v>34</v>
      </c>
      <c r="AO43" s="942">
        <f t="shared" si="14"/>
        <v>424</v>
      </c>
      <c r="AQ43" s="282">
        <f t="shared" si="15"/>
        <v>2.7661795407098122E-2</v>
      </c>
    </row>
    <row r="44" spans="1:43">
      <c r="A44" s="280" t="s">
        <v>101</v>
      </c>
      <c r="B44" s="280" t="s">
        <v>102</v>
      </c>
      <c r="C44" s="280" t="s">
        <v>274</v>
      </c>
      <c r="D44" s="280">
        <v>1</v>
      </c>
      <c r="E44" s="940">
        <v>18660</v>
      </c>
      <c r="F44" s="941">
        <f t="shared" si="0"/>
        <v>16881</v>
      </c>
      <c r="G44" s="941">
        <f t="shared" si="1"/>
        <v>1423</v>
      </c>
      <c r="H44" s="942">
        <f t="shared" si="2"/>
        <v>356</v>
      </c>
      <c r="I44" s="281"/>
      <c r="J44" s="940">
        <v>4059</v>
      </c>
      <c r="K44" s="941">
        <v>479</v>
      </c>
      <c r="L44" s="941">
        <v>92</v>
      </c>
      <c r="M44" s="942">
        <f t="shared" si="3"/>
        <v>4630</v>
      </c>
      <c r="N44" s="940">
        <v>10480</v>
      </c>
      <c r="O44" s="941">
        <v>829</v>
      </c>
      <c r="P44" s="941">
        <v>240</v>
      </c>
      <c r="Q44" s="942">
        <f t="shared" si="4"/>
        <v>11549</v>
      </c>
      <c r="R44" s="940">
        <v>2342</v>
      </c>
      <c r="S44" s="941">
        <v>115</v>
      </c>
      <c r="T44" s="941">
        <v>24</v>
      </c>
      <c r="U44" s="942">
        <f t="shared" si="5"/>
        <v>2481</v>
      </c>
      <c r="V44" s="281"/>
      <c r="W44" s="951">
        <f t="shared" si="6"/>
        <v>0.90466237942122185</v>
      </c>
      <c r="X44" s="952">
        <f t="shared" si="7"/>
        <v>7.6259378349410503E-2</v>
      </c>
      <c r="Y44" s="953">
        <f t="shared" si="8"/>
        <v>1.9078242229367631E-2</v>
      </c>
      <c r="Z44" s="951">
        <f t="shared" si="9"/>
        <v>0.24812433011789925</v>
      </c>
      <c r="AA44" s="952">
        <f t="shared" si="10"/>
        <v>0.61891747052518753</v>
      </c>
      <c r="AB44" s="953">
        <f t="shared" si="11"/>
        <v>0.13295819935691319</v>
      </c>
      <c r="AC44" s="281"/>
      <c r="AD44" s="940">
        <v>80</v>
      </c>
      <c r="AE44" s="941">
        <v>12</v>
      </c>
      <c r="AF44" s="942">
        <v>344</v>
      </c>
      <c r="AG44" s="940">
        <v>206</v>
      </c>
      <c r="AH44" s="941">
        <v>34</v>
      </c>
      <c r="AI44" s="942">
        <v>482</v>
      </c>
      <c r="AJ44" s="940">
        <v>20</v>
      </c>
      <c r="AK44" s="941">
        <v>4</v>
      </c>
      <c r="AL44" s="942">
        <v>21</v>
      </c>
      <c r="AM44" s="940">
        <f t="shared" si="12"/>
        <v>306</v>
      </c>
      <c r="AN44" s="941">
        <f t="shared" si="13"/>
        <v>50</v>
      </c>
      <c r="AO44" s="942">
        <f t="shared" si="14"/>
        <v>847</v>
      </c>
      <c r="AQ44" s="282">
        <f t="shared" si="15"/>
        <v>4.5391211146838154E-2</v>
      </c>
    </row>
    <row r="45" spans="1:43">
      <c r="A45" s="280" t="s">
        <v>103</v>
      </c>
      <c r="B45" s="280" t="s">
        <v>104</v>
      </c>
      <c r="C45" s="280" t="s">
        <v>271</v>
      </c>
      <c r="D45" s="280">
        <v>2</v>
      </c>
      <c r="E45" s="940">
        <v>17983</v>
      </c>
      <c r="F45" s="941">
        <f t="shared" si="0"/>
        <v>6779</v>
      </c>
      <c r="G45" s="941">
        <f t="shared" si="1"/>
        <v>11025</v>
      </c>
      <c r="H45" s="942">
        <f t="shared" si="2"/>
        <v>179</v>
      </c>
      <c r="I45" s="281"/>
      <c r="J45" s="940">
        <v>1086</v>
      </c>
      <c r="K45" s="941">
        <v>2303</v>
      </c>
      <c r="L45" s="941">
        <v>50</v>
      </c>
      <c r="M45" s="942">
        <f t="shared" si="3"/>
        <v>3439</v>
      </c>
      <c r="N45" s="940">
        <v>4353</v>
      </c>
      <c r="O45" s="941">
        <v>7501</v>
      </c>
      <c r="P45" s="941">
        <v>108</v>
      </c>
      <c r="Q45" s="942">
        <f t="shared" si="4"/>
        <v>11962</v>
      </c>
      <c r="R45" s="940">
        <v>1340</v>
      </c>
      <c r="S45" s="941">
        <v>1221</v>
      </c>
      <c r="T45" s="941">
        <v>21</v>
      </c>
      <c r="U45" s="942">
        <f t="shared" si="5"/>
        <v>2582</v>
      </c>
      <c r="V45" s="281"/>
      <c r="W45" s="951">
        <f t="shared" si="6"/>
        <v>0.3769671356280932</v>
      </c>
      <c r="X45" s="952">
        <f t="shared" si="7"/>
        <v>0.61307901907356943</v>
      </c>
      <c r="Y45" s="953">
        <f t="shared" si="8"/>
        <v>9.9538452983373178E-3</v>
      </c>
      <c r="Z45" s="951">
        <f t="shared" si="9"/>
        <v>0.19123616749151978</v>
      </c>
      <c r="AA45" s="952">
        <f t="shared" si="10"/>
        <v>0.66518378468553629</v>
      </c>
      <c r="AB45" s="953">
        <f t="shared" si="11"/>
        <v>0.1435800478229439</v>
      </c>
      <c r="AC45" s="281"/>
      <c r="AD45" s="940">
        <v>33</v>
      </c>
      <c r="AE45" s="941">
        <v>17</v>
      </c>
      <c r="AF45" s="942">
        <v>143</v>
      </c>
      <c r="AG45" s="940">
        <v>68</v>
      </c>
      <c r="AH45" s="941">
        <v>40</v>
      </c>
      <c r="AI45" s="942">
        <v>328</v>
      </c>
      <c r="AJ45" s="940">
        <v>16</v>
      </c>
      <c r="AK45" s="941">
        <v>5</v>
      </c>
      <c r="AL45" s="942">
        <v>12</v>
      </c>
      <c r="AM45" s="940">
        <f t="shared" si="12"/>
        <v>117</v>
      </c>
      <c r="AN45" s="941">
        <f t="shared" si="13"/>
        <v>62</v>
      </c>
      <c r="AO45" s="942">
        <f t="shared" si="14"/>
        <v>483</v>
      </c>
      <c r="AQ45" s="282">
        <f t="shared" si="15"/>
        <v>2.6858699883223043E-2</v>
      </c>
    </row>
    <row r="46" spans="1:43">
      <c r="A46" s="280" t="s">
        <v>105</v>
      </c>
      <c r="B46" s="280" t="s">
        <v>851</v>
      </c>
      <c r="C46" s="280" t="s">
        <v>272</v>
      </c>
      <c r="D46" s="280">
        <v>2</v>
      </c>
      <c r="E46" s="940">
        <v>36056</v>
      </c>
      <c r="F46" s="941">
        <f t="shared" si="0"/>
        <v>22305</v>
      </c>
      <c r="G46" s="941">
        <f t="shared" si="1"/>
        <v>13456</v>
      </c>
      <c r="H46" s="942">
        <f t="shared" si="2"/>
        <v>295</v>
      </c>
      <c r="I46" s="281"/>
      <c r="J46" s="940">
        <v>4539</v>
      </c>
      <c r="K46" s="941">
        <v>3223</v>
      </c>
      <c r="L46" s="941">
        <v>66</v>
      </c>
      <c r="M46" s="942">
        <f t="shared" si="3"/>
        <v>7828</v>
      </c>
      <c r="N46" s="940">
        <v>12893</v>
      </c>
      <c r="O46" s="941">
        <v>8000</v>
      </c>
      <c r="P46" s="941">
        <v>188</v>
      </c>
      <c r="Q46" s="942">
        <f t="shared" si="4"/>
        <v>21081</v>
      </c>
      <c r="R46" s="940">
        <v>4873</v>
      </c>
      <c r="S46" s="941">
        <v>2233</v>
      </c>
      <c r="T46" s="941">
        <v>41</v>
      </c>
      <c r="U46" s="942">
        <f t="shared" si="5"/>
        <v>7147</v>
      </c>
      <c r="V46" s="281"/>
      <c r="W46" s="951">
        <f t="shared" si="6"/>
        <v>0.61862103394719326</v>
      </c>
      <c r="X46" s="952">
        <f t="shared" si="7"/>
        <v>0.37319724872420679</v>
      </c>
      <c r="Y46" s="953">
        <f t="shared" si="8"/>
        <v>8.1817173285999561E-3</v>
      </c>
      <c r="Z46" s="951">
        <f t="shared" si="9"/>
        <v>0.21710672287552696</v>
      </c>
      <c r="AA46" s="952">
        <f t="shared" si="10"/>
        <v>0.58467384069225647</v>
      </c>
      <c r="AB46" s="953">
        <f t="shared" si="11"/>
        <v>0.19821943643221654</v>
      </c>
      <c r="AC46" s="281"/>
      <c r="AD46" s="940">
        <v>47</v>
      </c>
      <c r="AE46" s="941">
        <v>19</v>
      </c>
      <c r="AF46" s="942">
        <v>235</v>
      </c>
      <c r="AG46" s="940">
        <v>110</v>
      </c>
      <c r="AH46" s="941">
        <v>78</v>
      </c>
      <c r="AI46" s="942">
        <v>344</v>
      </c>
      <c r="AJ46" s="940">
        <v>21</v>
      </c>
      <c r="AK46" s="941">
        <v>20</v>
      </c>
      <c r="AL46" s="942">
        <v>41</v>
      </c>
      <c r="AM46" s="940">
        <f t="shared" si="12"/>
        <v>178</v>
      </c>
      <c r="AN46" s="941">
        <f t="shared" si="13"/>
        <v>117</v>
      </c>
      <c r="AO46" s="942">
        <f t="shared" si="14"/>
        <v>620</v>
      </c>
      <c r="AQ46" s="282">
        <f t="shared" si="15"/>
        <v>1.7195473707566009E-2</v>
      </c>
    </row>
    <row r="47" spans="1:43">
      <c r="A47" s="280" t="s">
        <v>109</v>
      </c>
      <c r="B47" s="280" t="s">
        <v>110</v>
      </c>
      <c r="C47" s="280" t="s">
        <v>273</v>
      </c>
      <c r="D47" s="280">
        <v>2</v>
      </c>
      <c r="E47" s="940">
        <v>100342</v>
      </c>
      <c r="F47" s="941">
        <f t="shared" si="0"/>
        <v>88114</v>
      </c>
      <c r="G47" s="941">
        <f t="shared" si="1"/>
        <v>10139</v>
      </c>
      <c r="H47" s="942">
        <f t="shared" si="2"/>
        <v>2089</v>
      </c>
      <c r="I47" s="281"/>
      <c r="J47" s="940">
        <v>21132</v>
      </c>
      <c r="K47" s="941">
        <v>2614</v>
      </c>
      <c r="L47" s="941">
        <v>598</v>
      </c>
      <c r="M47" s="942">
        <f t="shared" si="3"/>
        <v>24344</v>
      </c>
      <c r="N47" s="940">
        <v>54775</v>
      </c>
      <c r="O47" s="941">
        <v>6127</v>
      </c>
      <c r="P47" s="941">
        <v>1340</v>
      </c>
      <c r="Q47" s="942">
        <f t="shared" si="4"/>
        <v>62242</v>
      </c>
      <c r="R47" s="940">
        <v>12207</v>
      </c>
      <c r="S47" s="941">
        <v>1398</v>
      </c>
      <c r="T47" s="941">
        <v>151</v>
      </c>
      <c r="U47" s="942">
        <f t="shared" si="5"/>
        <v>13756</v>
      </c>
      <c r="V47" s="281"/>
      <c r="W47" s="951">
        <f t="shared" si="6"/>
        <v>0.87813677223894282</v>
      </c>
      <c r="X47" s="952">
        <f t="shared" si="7"/>
        <v>0.10104442805604831</v>
      </c>
      <c r="Y47" s="953">
        <f t="shared" si="8"/>
        <v>2.081879970500887E-2</v>
      </c>
      <c r="Z47" s="951">
        <f t="shared" si="9"/>
        <v>0.24261027286679557</v>
      </c>
      <c r="AA47" s="952">
        <f t="shared" si="10"/>
        <v>0.62029857886029782</v>
      </c>
      <c r="AB47" s="953">
        <f t="shared" si="11"/>
        <v>0.13709114827290667</v>
      </c>
      <c r="AC47" s="281"/>
      <c r="AD47" s="940">
        <v>477</v>
      </c>
      <c r="AE47" s="941">
        <v>121</v>
      </c>
      <c r="AF47" s="942">
        <v>821</v>
      </c>
      <c r="AG47" s="940">
        <v>1068</v>
      </c>
      <c r="AH47" s="941">
        <v>272</v>
      </c>
      <c r="AI47" s="942">
        <v>1392</v>
      </c>
      <c r="AJ47" s="940">
        <v>119</v>
      </c>
      <c r="AK47" s="941">
        <v>32</v>
      </c>
      <c r="AL47" s="942">
        <v>92</v>
      </c>
      <c r="AM47" s="940">
        <f t="shared" si="12"/>
        <v>1664</v>
      </c>
      <c r="AN47" s="941">
        <f t="shared" si="13"/>
        <v>425</v>
      </c>
      <c r="AO47" s="942">
        <f t="shared" si="14"/>
        <v>2305</v>
      </c>
      <c r="AQ47" s="282">
        <f t="shared" si="15"/>
        <v>2.2971437683123718E-2</v>
      </c>
    </row>
    <row r="48" spans="1:43">
      <c r="A48" s="280" t="s">
        <v>111</v>
      </c>
      <c r="B48" s="280" t="s">
        <v>112</v>
      </c>
      <c r="C48" s="280" t="s">
        <v>273</v>
      </c>
      <c r="D48" s="280">
        <v>3</v>
      </c>
      <c r="E48" s="940">
        <v>310445</v>
      </c>
      <c r="F48" s="941">
        <f t="shared" si="0"/>
        <v>191750</v>
      </c>
      <c r="G48" s="941">
        <f t="shared" si="1"/>
        <v>95316</v>
      </c>
      <c r="H48" s="942">
        <f t="shared" si="2"/>
        <v>23379</v>
      </c>
      <c r="I48" s="281"/>
      <c r="J48" s="940">
        <v>41347</v>
      </c>
      <c r="K48" s="941">
        <v>26268</v>
      </c>
      <c r="L48" s="941">
        <v>6398</v>
      </c>
      <c r="M48" s="942">
        <f t="shared" si="3"/>
        <v>74013</v>
      </c>
      <c r="N48" s="940">
        <v>120495</v>
      </c>
      <c r="O48" s="941">
        <v>61004</v>
      </c>
      <c r="P48" s="941">
        <v>15732</v>
      </c>
      <c r="Q48" s="942">
        <f t="shared" si="4"/>
        <v>197231</v>
      </c>
      <c r="R48" s="940">
        <v>29908</v>
      </c>
      <c r="S48" s="941">
        <v>8044</v>
      </c>
      <c r="T48" s="941">
        <v>1249</v>
      </c>
      <c r="U48" s="942">
        <f t="shared" si="5"/>
        <v>39201</v>
      </c>
      <c r="V48" s="281"/>
      <c r="W48" s="951">
        <f t="shared" si="6"/>
        <v>0.61766174362608517</v>
      </c>
      <c r="X48" s="952">
        <f t="shared" si="7"/>
        <v>0.30703023079772584</v>
      </c>
      <c r="Y48" s="953">
        <f t="shared" si="8"/>
        <v>7.5308025576189014E-2</v>
      </c>
      <c r="Z48" s="951">
        <f t="shared" si="9"/>
        <v>0.23840938008342863</v>
      </c>
      <c r="AA48" s="952">
        <f t="shared" si="10"/>
        <v>0.63531704488717811</v>
      </c>
      <c r="AB48" s="953">
        <f t="shared" si="11"/>
        <v>0.12627357502939329</v>
      </c>
      <c r="AC48" s="281"/>
      <c r="AD48" s="940">
        <v>6033</v>
      </c>
      <c r="AE48" s="941">
        <v>365</v>
      </c>
      <c r="AF48" s="942">
        <v>5298</v>
      </c>
      <c r="AG48" s="940">
        <v>14870</v>
      </c>
      <c r="AH48" s="941">
        <v>862</v>
      </c>
      <c r="AI48" s="942">
        <v>9871</v>
      </c>
      <c r="AJ48" s="940">
        <v>1142</v>
      </c>
      <c r="AK48" s="941">
        <v>107</v>
      </c>
      <c r="AL48" s="942">
        <v>547</v>
      </c>
      <c r="AM48" s="940">
        <f t="shared" si="12"/>
        <v>22045</v>
      </c>
      <c r="AN48" s="941">
        <f t="shared" si="13"/>
        <v>1334</v>
      </c>
      <c r="AO48" s="942">
        <f t="shared" si="14"/>
        <v>15716</v>
      </c>
      <c r="AQ48" s="282">
        <f t="shared" si="15"/>
        <v>5.0624104108618277E-2</v>
      </c>
    </row>
    <row r="49" spans="1:43">
      <c r="A49" s="280" t="s">
        <v>113</v>
      </c>
      <c r="B49" s="280" t="s">
        <v>114</v>
      </c>
      <c r="C49" s="280" t="s">
        <v>272</v>
      </c>
      <c r="D49" s="280">
        <v>3</v>
      </c>
      <c r="E49" s="940">
        <v>67300</v>
      </c>
      <c r="F49" s="941">
        <f t="shared" si="0"/>
        <v>48111</v>
      </c>
      <c r="G49" s="941">
        <f t="shared" si="1"/>
        <v>18495</v>
      </c>
      <c r="H49" s="942">
        <f t="shared" si="2"/>
        <v>694</v>
      </c>
      <c r="I49" s="281"/>
      <c r="J49" s="940">
        <v>9271</v>
      </c>
      <c r="K49" s="941">
        <v>4356</v>
      </c>
      <c r="L49" s="941">
        <v>209</v>
      </c>
      <c r="M49" s="942">
        <f t="shared" si="3"/>
        <v>13836</v>
      </c>
      <c r="N49" s="940">
        <v>28136</v>
      </c>
      <c r="O49" s="941">
        <v>11391</v>
      </c>
      <c r="P49" s="941">
        <v>431</v>
      </c>
      <c r="Q49" s="942">
        <f t="shared" si="4"/>
        <v>39958</v>
      </c>
      <c r="R49" s="940">
        <v>10704</v>
      </c>
      <c r="S49" s="941">
        <v>2748</v>
      </c>
      <c r="T49" s="941">
        <v>54</v>
      </c>
      <c r="U49" s="942">
        <f t="shared" si="5"/>
        <v>13506</v>
      </c>
      <c r="V49" s="281"/>
      <c r="W49" s="951">
        <f t="shared" si="6"/>
        <v>0.71487369985141158</v>
      </c>
      <c r="X49" s="952">
        <f t="shared" si="7"/>
        <v>0.27481426448737001</v>
      </c>
      <c r="Y49" s="953">
        <f t="shared" si="8"/>
        <v>1.0312035661218424E-2</v>
      </c>
      <c r="Z49" s="951">
        <f t="shared" si="9"/>
        <v>0.20558692421991084</v>
      </c>
      <c r="AA49" s="952">
        <f t="shared" si="10"/>
        <v>0.59372956909361074</v>
      </c>
      <c r="AB49" s="953">
        <f t="shared" si="11"/>
        <v>0.20068350668647844</v>
      </c>
      <c r="AC49" s="281"/>
      <c r="AD49" s="940">
        <v>136</v>
      </c>
      <c r="AE49" s="941">
        <v>73</v>
      </c>
      <c r="AF49" s="942">
        <v>1356</v>
      </c>
      <c r="AG49" s="940">
        <v>297</v>
      </c>
      <c r="AH49" s="941">
        <v>134</v>
      </c>
      <c r="AI49" s="942">
        <v>1798</v>
      </c>
      <c r="AJ49" s="940">
        <v>39</v>
      </c>
      <c r="AK49" s="941">
        <v>15</v>
      </c>
      <c r="AL49" s="942">
        <v>61</v>
      </c>
      <c r="AM49" s="940">
        <f t="shared" si="12"/>
        <v>472</v>
      </c>
      <c r="AN49" s="941">
        <f t="shared" si="13"/>
        <v>222</v>
      </c>
      <c r="AO49" s="942">
        <f t="shared" si="14"/>
        <v>3215</v>
      </c>
      <c r="AQ49" s="282">
        <f t="shared" si="15"/>
        <v>4.7771173848439819E-2</v>
      </c>
    </row>
    <row r="50" spans="1:43">
      <c r="A50" s="280" t="s">
        <v>115</v>
      </c>
      <c r="B50" s="280" t="s">
        <v>116</v>
      </c>
      <c r="C50" s="280" t="s">
        <v>272</v>
      </c>
      <c r="D50" s="280">
        <v>1</v>
      </c>
      <c r="E50" s="940">
        <v>2267</v>
      </c>
      <c r="F50" s="941">
        <f t="shared" si="0"/>
        <v>2245</v>
      </c>
      <c r="G50" s="941">
        <f t="shared" si="1"/>
        <v>12</v>
      </c>
      <c r="H50" s="942">
        <f t="shared" si="2"/>
        <v>10</v>
      </c>
      <c r="I50" s="281"/>
      <c r="J50" s="940">
        <v>316</v>
      </c>
      <c r="K50" s="941">
        <v>5</v>
      </c>
      <c r="L50" s="941">
        <v>0</v>
      </c>
      <c r="M50" s="942">
        <f t="shared" si="3"/>
        <v>321</v>
      </c>
      <c r="N50" s="940">
        <v>1331</v>
      </c>
      <c r="O50" s="941">
        <v>6</v>
      </c>
      <c r="P50" s="941">
        <v>7</v>
      </c>
      <c r="Q50" s="942">
        <f t="shared" si="4"/>
        <v>1344</v>
      </c>
      <c r="R50" s="940">
        <v>598</v>
      </c>
      <c r="S50" s="941">
        <v>1</v>
      </c>
      <c r="T50" s="941">
        <v>3</v>
      </c>
      <c r="U50" s="942">
        <f t="shared" si="5"/>
        <v>602</v>
      </c>
      <c r="V50" s="281"/>
      <c r="W50" s="951">
        <f t="shared" si="6"/>
        <v>0.99029554477282755</v>
      </c>
      <c r="X50" s="952">
        <f t="shared" si="7"/>
        <v>5.2933392148213501E-3</v>
      </c>
      <c r="Y50" s="953">
        <f t="shared" si="8"/>
        <v>4.411116012351125E-3</v>
      </c>
      <c r="Z50" s="951">
        <f t="shared" si="9"/>
        <v>0.14159682399647111</v>
      </c>
      <c r="AA50" s="952">
        <f t="shared" si="10"/>
        <v>0.59285399205999123</v>
      </c>
      <c r="AB50" s="953">
        <f t="shared" si="11"/>
        <v>0.26554918394353771</v>
      </c>
      <c r="AC50" s="281"/>
      <c r="AD50" s="940">
        <v>0</v>
      </c>
      <c r="AE50" s="941">
        <v>0</v>
      </c>
      <c r="AF50" s="942">
        <v>5</v>
      </c>
      <c r="AG50" s="940">
        <v>4</v>
      </c>
      <c r="AH50" s="941">
        <v>3</v>
      </c>
      <c r="AI50" s="942">
        <v>12</v>
      </c>
      <c r="AJ50" s="940">
        <v>0</v>
      </c>
      <c r="AK50" s="941">
        <v>3</v>
      </c>
      <c r="AL50" s="942">
        <v>4</v>
      </c>
      <c r="AM50" s="940">
        <f t="shared" si="12"/>
        <v>4</v>
      </c>
      <c r="AN50" s="941">
        <f t="shared" si="13"/>
        <v>6</v>
      </c>
      <c r="AO50" s="942">
        <f t="shared" si="14"/>
        <v>21</v>
      </c>
      <c r="AQ50" s="282">
        <f t="shared" si="15"/>
        <v>9.263343625937363E-3</v>
      </c>
    </row>
    <row r="51" spans="1:43">
      <c r="A51" s="280" t="s">
        <v>119</v>
      </c>
      <c r="B51" s="280" t="s">
        <v>120</v>
      </c>
      <c r="C51" s="280" t="s">
        <v>271</v>
      </c>
      <c r="D51" s="280">
        <v>2</v>
      </c>
      <c r="E51" s="940">
        <v>35356</v>
      </c>
      <c r="F51" s="941">
        <f t="shared" si="0"/>
        <v>25884</v>
      </c>
      <c r="G51" s="941">
        <f t="shared" si="1"/>
        <v>8929</v>
      </c>
      <c r="H51" s="942">
        <f t="shared" si="2"/>
        <v>543</v>
      </c>
      <c r="I51" s="281"/>
      <c r="J51" s="940">
        <v>5495</v>
      </c>
      <c r="K51" s="941">
        <v>2173</v>
      </c>
      <c r="L51" s="941">
        <v>140</v>
      </c>
      <c r="M51" s="942">
        <f t="shared" si="3"/>
        <v>7808</v>
      </c>
      <c r="N51" s="940">
        <v>16372</v>
      </c>
      <c r="O51" s="941">
        <v>5384</v>
      </c>
      <c r="P51" s="941">
        <v>355</v>
      </c>
      <c r="Q51" s="942">
        <f t="shared" si="4"/>
        <v>22111</v>
      </c>
      <c r="R51" s="940">
        <v>4017</v>
      </c>
      <c r="S51" s="941">
        <v>1372</v>
      </c>
      <c r="T51" s="941">
        <v>48</v>
      </c>
      <c r="U51" s="942">
        <f t="shared" si="5"/>
        <v>5437</v>
      </c>
      <c r="V51" s="281"/>
      <c r="W51" s="951">
        <f t="shared" si="6"/>
        <v>0.73209639099445634</v>
      </c>
      <c r="X51" s="952">
        <f t="shared" si="7"/>
        <v>0.25254553682543274</v>
      </c>
      <c r="Y51" s="953">
        <f t="shared" si="8"/>
        <v>1.5358072180110873E-2</v>
      </c>
      <c r="Z51" s="951">
        <f t="shared" si="9"/>
        <v>0.22083946147754271</v>
      </c>
      <c r="AA51" s="952">
        <f t="shared" si="10"/>
        <v>0.62538183052381491</v>
      </c>
      <c r="AB51" s="953">
        <f t="shared" si="11"/>
        <v>0.15377870799864238</v>
      </c>
      <c r="AC51" s="281"/>
      <c r="AD51" s="940">
        <v>107</v>
      </c>
      <c r="AE51" s="941">
        <v>33</v>
      </c>
      <c r="AF51" s="942">
        <v>293</v>
      </c>
      <c r="AG51" s="940">
        <v>259</v>
      </c>
      <c r="AH51" s="941">
        <v>96</v>
      </c>
      <c r="AI51" s="942">
        <v>396</v>
      </c>
      <c r="AJ51" s="940">
        <v>31</v>
      </c>
      <c r="AK51" s="941">
        <v>17</v>
      </c>
      <c r="AL51" s="942">
        <v>33</v>
      </c>
      <c r="AM51" s="940">
        <f t="shared" si="12"/>
        <v>397</v>
      </c>
      <c r="AN51" s="941">
        <f t="shared" si="13"/>
        <v>146</v>
      </c>
      <c r="AO51" s="942">
        <f t="shared" si="14"/>
        <v>722</v>
      </c>
      <c r="AQ51" s="282">
        <f t="shared" si="15"/>
        <v>2.0420862088471547E-2</v>
      </c>
    </row>
    <row r="52" spans="1:43">
      <c r="A52" s="280" t="s">
        <v>121</v>
      </c>
      <c r="B52" s="280" t="s">
        <v>122</v>
      </c>
      <c r="C52" s="280" t="s">
        <v>271</v>
      </c>
      <c r="D52" s="280">
        <v>2</v>
      </c>
      <c r="E52" s="940">
        <v>68200</v>
      </c>
      <c r="F52" s="941">
        <f t="shared" si="0"/>
        <v>56370</v>
      </c>
      <c r="G52" s="941">
        <f t="shared" si="1"/>
        <v>9653</v>
      </c>
      <c r="H52" s="942">
        <f t="shared" si="2"/>
        <v>2177</v>
      </c>
      <c r="I52" s="281"/>
      <c r="J52" s="940">
        <v>11265</v>
      </c>
      <c r="K52" s="941">
        <v>2522</v>
      </c>
      <c r="L52" s="941">
        <v>548</v>
      </c>
      <c r="M52" s="942">
        <f t="shared" si="3"/>
        <v>14335</v>
      </c>
      <c r="N52" s="940">
        <v>31831</v>
      </c>
      <c r="O52" s="941">
        <v>5948</v>
      </c>
      <c r="P52" s="941">
        <v>1434</v>
      </c>
      <c r="Q52" s="942">
        <f t="shared" si="4"/>
        <v>39213</v>
      </c>
      <c r="R52" s="940">
        <v>13274</v>
      </c>
      <c r="S52" s="941">
        <v>1183</v>
      </c>
      <c r="T52" s="941">
        <v>195</v>
      </c>
      <c r="U52" s="942">
        <f t="shared" si="5"/>
        <v>14652</v>
      </c>
      <c r="V52" s="281"/>
      <c r="W52" s="951">
        <f t="shared" si="6"/>
        <v>0.82653958944281525</v>
      </c>
      <c r="X52" s="952">
        <f t="shared" si="7"/>
        <v>0.14153958944281525</v>
      </c>
      <c r="Y52" s="953">
        <f t="shared" si="8"/>
        <v>3.1920821114369502E-2</v>
      </c>
      <c r="Z52" s="951">
        <f t="shared" si="9"/>
        <v>0.21019061583577714</v>
      </c>
      <c r="AA52" s="952">
        <f t="shared" si="10"/>
        <v>0.5749706744868035</v>
      </c>
      <c r="AB52" s="953">
        <f t="shared" si="11"/>
        <v>0.21483870967741936</v>
      </c>
      <c r="AC52" s="281"/>
      <c r="AD52" s="940">
        <v>479</v>
      </c>
      <c r="AE52" s="941">
        <v>69</v>
      </c>
      <c r="AF52" s="942">
        <v>1122</v>
      </c>
      <c r="AG52" s="940">
        <v>1267</v>
      </c>
      <c r="AH52" s="941">
        <v>167</v>
      </c>
      <c r="AI52" s="942">
        <v>1980</v>
      </c>
      <c r="AJ52" s="940">
        <v>176</v>
      </c>
      <c r="AK52" s="941">
        <v>19</v>
      </c>
      <c r="AL52" s="942">
        <v>159</v>
      </c>
      <c r="AM52" s="940">
        <f t="shared" si="12"/>
        <v>1922</v>
      </c>
      <c r="AN52" s="941">
        <f t="shared" si="13"/>
        <v>255</v>
      </c>
      <c r="AO52" s="942">
        <f t="shared" si="14"/>
        <v>3261</v>
      </c>
      <c r="AQ52" s="282">
        <f t="shared" si="15"/>
        <v>4.7815249266862168E-2</v>
      </c>
    </row>
    <row r="53" spans="1:43">
      <c r="A53" s="280" t="s">
        <v>123</v>
      </c>
      <c r="B53" s="280" t="s">
        <v>278</v>
      </c>
      <c r="C53" s="280" t="s">
        <v>273</v>
      </c>
      <c r="D53" s="280">
        <v>1</v>
      </c>
      <c r="E53" s="940">
        <v>6997</v>
      </c>
      <c r="F53" s="941">
        <f t="shared" si="0"/>
        <v>4836</v>
      </c>
      <c r="G53" s="941">
        <f t="shared" si="1"/>
        <v>2009</v>
      </c>
      <c r="H53" s="942">
        <f t="shared" si="2"/>
        <v>152</v>
      </c>
      <c r="I53" s="281"/>
      <c r="J53" s="940">
        <v>940</v>
      </c>
      <c r="K53" s="941">
        <v>408</v>
      </c>
      <c r="L53" s="941">
        <v>34</v>
      </c>
      <c r="M53" s="942">
        <f t="shared" si="3"/>
        <v>1382</v>
      </c>
      <c r="N53" s="940">
        <v>3018</v>
      </c>
      <c r="O53" s="941">
        <v>1226</v>
      </c>
      <c r="P53" s="941">
        <v>89</v>
      </c>
      <c r="Q53" s="942">
        <f t="shared" si="4"/>
        <v>4333</v>
      </c>
      <c r="R53" s="940">
        <v>878</v>
      </c>
      <c r="S53" s="941">
        <v>375</v>
      </c>
      <c r="T53" s="941">
        <v>29</v>
      </c>
      <c r="U53" s="942">
        <f t="shared" si="5"/>
        <v>1282</v>
      </c>
      <c r="V53" s="281"/>
      <c r="W53" s="951">
        <f t="shared" si="6"/>
        <v>0.69115335143632983</v>
      </c>
      <c r="X53" s="952">
        <f t="shared" si="7"/>
        <v>0.28712305273688726</v>
      </c>
      <c r="Y53" s="953">
        <f t="shared" si="8"/>
        <v>2.1723595826782908E-2</v>
      </c>
      <c r="Z53" s="951">
        <f t="shared" si="9"/>
        <v>0.19751321995140775</v>
      </c>
      <c r="AA53" s="952">
        <f t="shared" si="10"/>
        <v>0.61926539945691006</v>
      </c>
      <c r="AB53" s="953">
        <f t="shared" si="11"/>
        <v>0.18322138059168214</v>
      </c>
      <c r="AC53" s="281"/>
      <c r="AD53" s="940">
        <v>7</v>
      </c>
      <c r="AE53" s="941">
        <v>27</v>
      </c>
      <c r="AF53" s="942">
        <v>78</v>
      </c>
      <c r="AG53" s="940">
        <v>13</v>
      </c>
      <c r="AH53" s="941">
        <v>76</v>
      </c>
      <c r="AI53" s="942">
        <v>121</v>
      </c>
      <c r="AJ53" s="940">
        <v>6</v>
      </c>
      <c r="AK53" s="941">
        <v>23</v>
      </c>
      <c r="AL53" s="942">
        <v>3</v>
      </c>
      <c r="AM53" s="940">
        <f t="shared" si="12"/>
        <v>26</v>
      </c>
      <c r="AN53" s="941">
        <f t="shared" si="13"/>
        <v>126</v>
      </c>
      <c r="AO53" s="942">
        <f t="shared" si="14"/>
        <v>202</v>
      </c>
      <c r="AQ53" s="282">
        <f t="shared" si="15"/>
        <v>2.8869515506645706E-2</v>
      </c>
    </row>
    <row r="54" spans="1:43">
      <c r="A54" s="280" t="s">
        <v>125</v>
      </c>
      <c r="B54" s="280" t="s">
        <v>126</v>
      </c>
      <c r="C54" s="280" t="s">
        <v>274</v>
      </c>
      <c r="D54" s="280">
        <v>1</v>
      </c>
      <c r="E54" s="940">
        <v>24161</v>
      </c>
      <c r="F54" s="941">
        <f t="shared" si="0"/>
        <v>18992</v>
      </c>
      <c r="G54" s="941">
        <f t="shared" si="1"/>
        <v>4623</v>
      </c>
      <c r="H54" s="942">
        <f t="shared" si="2"/>
        <v>546</v>
      </c>
      <c r="I54" s="281"/>
      <c r="J54" s="940">
        <v>4969</v>
      </c>
      <c r="K54" s="941">
        <v>1397</v>
      </c>
      <c r="L54" s="941">
        <v>164</v>
      </c>
      <c r="M54" s="942">
        <f t="shared" si="3"/>
        <v>6530</v>
      </c>
      <c r="N54" s="940">
        <v>11971</v>
      </c>
      <c r="O54" s="941">
        <v>2790</v>
      </c>
      <c r="P54" s="941">
        <v>350</v>
      </c>
      <c r="Q54" s="942">
        <f t="shared" si="4"/>
        <v>15111</v>
      </c>
      <c r="R54" s="940">
        <v>2052</v>
      </c>
      <c r="S54" s="941">
        <v>436</v>
      </c>
      <c r="T54" s="941">
        <v>32</v>
      </c>
      <c r="U54" s="942">
        <f t="shared" si="5"/>
        <v>2520</v>
      </c>
      <c r="V54" s="281"/>
      <c r="W54" s="951">
        <f t="shared" si="6"/>
        <v>0.78606017962832664</v>
      </c>
      <c r="X54" s="952">
        <f t="shared" si="7"/>
        <v>0.19134141798766607</v>
      </c>
      <c r="Y54" s="953">
        <f t="shared" si="8"/>
        <v>2.2598402384007284E-2</v>
      </c>
      <c r="Z54" s="951">
        <f t="shared" si="9"/>
        <v>0.27027027027027029</v>
      </c>
      <c r="AA54" s="952">
        <f t="shared" si="10"/>
        <v>0.62542941103431149</v>
      </c>
      <c r="AB54" s="953">
        <f t="shared" si="11"/>
        <v>0.10430031869541824</v>
      </c>
      <c r="AC54" s="281"/>
      <c r="AD54" s="940">
        <v>119</v>
      </c>
      <c r="AE54" s="941">
        <v>45</v>
      </c>
      <c r="AF54" s="942">
        <v>308</v>
      </c>
      <c r="AG54" s="940">
        <v>260</v>
      </c>
      <c r="AH54" s="941">
        <v>90</v>
      </c>
      <c r="AI54" s="942">
        <v>530</v>
      </c>
      <c r="AJ54" s="940">
        <v>24</v>
      </c>
      <c r="AK54" s="941">
        <v>8</v>
      </c>
      <c r="AL54" s="942">
        <v>25</v>
      </c>
      <c r="AM54" s="940">
        <f t="shared" si="12"/>
        <v>403</v>
      </c>
      <c r="AN54" s="941">
        <f t="shared" si="13"/>
        <v>143</v>
      </c>
      <c r="AO54" s="942">
        <f t="shared" si="14"/>
        <v>863</v>
      </c>
      <c r="AQ54" s="282">
        <f t="shared" si="15"/>
        <v>3.5718720251645214E-2</v>
      </c>
    </row>
    <row r="55" spans="1:43">
      <c r="A55" s="280" t="s">
        <v>127</v>
      </c>
      <c r="B55" s="280" t="s">
        <v>128</v>
      </c>
      <c r="C55" s="280" t="s">
        <v>273</v>
      </c>
      <c r="D55" s="280">
        <v>1</v>
      </c>
      <c r="E55" s="940">
        <v>15981</v>
      </c>
      <c r="F55" s="941">
        <f t="shared" si="0"/>
        <v>12546</v>
      </c>
      <c r="G55" s="941">
        <f t="shared" si="1"/>
        <v>3022</v>
      </c>
      <c r="H55" s="942">
        <f t="shared" si="2"/>
        <v>413</v>
      </c>
      <c r="I55" s="281"/>
      <c r="J55" s="940">
        <v>3059</v>
      </c>
      <c r="K55" s="941">
        <v>717</v>
      </c>
      <c r="L55" s="941">
        <v>111</v>
      </c>
      <c r="M55" s="942">
        <f t="shared" si="3"/>
        <v>3887</v>
      </c>
      <c r="N55" s="940">
        <v>7984</v>
      </c>
      <c r="O55" s="941">
        <v>1861</v>
      </c>
      <c r="P55" s="941">
        <v>248</v>
      </c>
      <c r="Q55" s="942">
        <f t="shared" si="4"/>
        <v>10093</v>
      </c>
      <c r="R55" s="940">
        <v>1503</v>
      </c>
      <c r="S55" s="941">
        <v>444</v>
      </c>
      <c r="T55" s="941">
        <v>54</v>
      </c>
      <c r="U55" s="942">
        <f t="shared" si="5"/>
        <v>2001</v>
      </c>
      <c r="V55" s="281"/>
      <c r="W55" s="951">
        <f t="shared" si="6"/>
        <v>0.78505725549089544</v>
      </c>
      <c r="X55" s="952">
        <f t="shared" si="7"/>
        <v>0.18909955572242038</v>
      </c>
      <c r="Y55" s="953">
        <f t="shared" si="8"/>
        <v>2.5843188786684186E-2</v>
      </c>
      <c r="Z55" s="951">
        <f t="shared" si="9"/>
        <v>0.2432263312683812</v>
      </c>
      <c r="AA55" s="952">
        <f t="shared" si="10"/>
        <v>0.6315624804455291</v>
      </c>
      <c r="AB55" s="953">
        <f t="shared" si="11"/>
        <v>0.12521118828608974</v>
      </c>
      <c r="AC55" s="281"/>
      <c r="AD55" s="940">
        <v>46</v>
      </c>
      <c r="AE55" s="941">
        <v>65</v>
      </c>
      <c r="AF55" s="942">
        <v>140</v>
      </c>
      <c r="AG55" s="940">
        <v>93</v>
      </c>
      <c r="AH55" s="941">
        <v>155</v>
      </c>
      <c r="AI55" s="942">
        <v>204</v>
      </c>
      <c r="AJ55" s="940">
        <v>11</v>
      </c>
      <c r="AK55" s="941">
        <v>43</v>
      </c>
      <c r="AL55" s="942">
        <v>12</v>
      </c>
      <c r="AM55" s="940">
        <f t="shared" si="12"/>
        <v>150</v>
      </c>
      <c r="AN55" s="941">
        <f t="shared" si="13"/>
        <v>263</v>
      </c>
      <c r="AO55" s="942">
        <f t="shared" si="14"/>
        <v>356</v>
      </c>
      <c r="AQ55" s="282">
        <f t="shared" si="15"/>
        <v>2.2276453288279832E-2</v>
      </c>
    </row>
    <row r="56" spans="1:43">
      <c r="A56" s="280" t="s">
        <v>129</v>
      </c>
      <c r="B56" s="280" t="s">
        <v>130</v>
      </c>
      <c r="C56" s="280" t="s">
        <v>273</v>
      </c>
      <c r="D56" s="280">
        <v>1</v>
      </c>
      <c r="E56" s="940">
        <v>11282</v>
      </c>
      <c r="F56" s="941">
        <f t="shared" si="0"/>
        <v>7965</v>
      </c>
      <c r="G56" s="941">
        <f t="shared" si="1"/>
        <v>3205</v>
      </c>
      <c r="H56" s="942">
        <f t="shared" si="2"/>
        <v>112</v>
      </c>
      <c r="I56" s="281"/>
      <c r="J56" s="940">
        <v>985</v>
      </c>
      <c r="K56" s="941">
        <v>765</v>
      </c>
      <c r="L56" s="941">
        <v>31</v>
      </c>
      <c r="M56" s="942">
        <f t="shared" si="3"/>
        <v>1781</v>
      </c>
      <c r="N56" s="940">
        <v>3984</v>
      </c>
      <c r="O56" s="941">
        <v>1904</v>
      </c>
      <c r="P56" s="941">
        <v>66</v>
      </c>
      <c r="Q56" s="942">
        <f t="shared" si="4"/>
        <v>5954</v>
      </c>
      <c r="R56" s="940">
        <v>2996</v>
      </c>
      <c r="S56" s="941">
        <v>536</v>
      </c>
      <c r="T56" s="941">
        <v>15</v>
      </c>
      <c r="U56" s="942">
        <f t="shared" si="5"/>
        <v>3547</v>
      </c>
      <c r="V56" s="281"/>
      <c r="W56" s="951">
        <f t="shared" si="6"/>
        <v>0.70599184541747917</v>
      </c>
      <c r="X56" s="952">
        <f t="shared" si="7"/>
        <v>0.28408083673107604</v>
      </c>
      <c r="Y56" s="953">
        <f t="shared" si="8"/>
        <v>9.927317851444779E-3</v>
      </c>
      <c r="Z56" s="951">
        <f t="shared" si="9"/>
        <v>0.15786208119127815</v>
      </c>
      <c r="AA56" s="952">
        <f t="shared" si="10"/>
        <v>0.52774330792412694</v>
      </c>
      <c r="AB56" s="953">
        <f t="shared" si="11"/>
        <v>0.31439461088459492</v>
      </c>
      <c r="AC56" s="281"/>
      <c r="AD56" s="940">
        <v>26</v>
      </c>
      <c r="AE56" s="941">
        <v>5</v>
      </c>
      <c r="AF56" s="942">
        <v>49</v>
      </c>
      <c r="AG56" s="940">
        <v>48</v>
      </c>
      <c r="AH56" s="941">
        <v>18</v>
      </c>
      <c r="AI56" s="942">
        <v>70</v>
      </c>
      <c r="AJ56" s="940">
        <v>12</v>
      </c>
      <c r="AK56" s="941">
        <v>3</v>
      </c>
      <c r="AL56" s="942">
        <v>22</v>
      </c>
      <c r="AM56" s="940">
        <f t="shared" si="12"/>
        <v>86</v>
      </c>
      <c r="AN56" s="941">
        <f t="shared" si="13"/>
        <v>26</v>
      </c>
      <c r="AO56" s="942">
        <f t="shared" si="14"/>
        <v>141</v>
      </c>
      <c r="AQ56" s="282">
        <f t="shared" si="15"/>
        <v>1.2497784080836731E-2</v>
      </c>
    </row>
    <row r="57" spans="1:43">
      <c r="A57" s="280" t="s">
        <v>131</v>
      </c>
      <c r="B57" s="280" t="s">
        <v>132</v>
      </c>
      <c r="C57" s="280" t="s">
        <v>275</v>
      </c>
      <c r="D57" s="280">
        <v>2</v>
      </c>
      <c r="E57" s="940">
        <v>25146</v>
      </c>
      <c r="F57" s="941">
        <f t="shared" si="0"/>
        <v>23873</v>
      </c>
      <c r="G57" s="941">
        <f t="shared" si="1"/>
        <v>1081</v>
      </c>
      <c r="H57" s="942">
        <f t="shared" si="2"/>
        <v>192</v>
      </c>
      <c r="I57" s="281"/>
      <c r="J57" s="940">
        <v>4996</v>
      </c>
      <c r="K57" s="941">
        <v>73</v>
      </c>
      <c r="L57" s="941">
        <v>20</v>
      </c>
      <c r="M57" s="942">
        <f t="shared" si="3"/>
        <v>5089</v>
      </c>
      <c r="N57" s="940">
        <v>15030</v>
      </c>
      <c r="O57" s="941">
        <v>986</v>
      </c>
      <c r="P57" s="941">
        <v>159</v>
      </c>
      <c r="Q57" s="942">
        <f t="shared" si="4"/>
        <v>16175</v>
      </c>
      <c r="R57" s="940">
        <v>3847</v>
      </c>
      <c r="S57" s="941">
        <v>22</v>
      </c>
      <c r="T57" s="941">
        <v>13</v>
      </c>
      <c r="U57" s="942">
        <f t="shared" si="5"/>
        <v>3882</v>
      </c>
      <c r="V57" s="281"/>
      <c r="W57" s="951">
        <f t="shared" si="6"/>
        <v>0.94937564622603998</v>
      </c>
      <c r="X57" s="952">
        <f t="shared" si="7"/>
        <v>4.2988944563747716E-2</v>
      </c>
      <c r="Y57" s="953">
        <f t="shared" si="8"/>
        <v>7.6354092102123598E-3</v>
      </c>
      <c r="Z57" s="951">
        <f t="shared" si="9"/>
        <v>0.20237811182693072</v>
      </c>
      <c r="AA57" s="952">
        <f t="shared" si="10"/>
        <v>0.64324345820408813</v>
      </c>
      <c r="AB57" s="953">
        <f t="shared" si="11"/>
        <v>0.15437842996898116</v>
      </c>
      <c r="AC57" s="281"/>
      <c r="AD57" s="940">
        <v>7</v>
      </c>
      <c r="AE57" s="941">
        <v>13</v>
      </c>
      <c r="AF57" s="942">
        <v>70</v>
      </c>
      <c r="AG57" s="940">
        <v>69</v>
      </c>
      <c r="AH57" s="941">
        <v>90</v>
      </c>
      <c r="AI57" s="942">
        <v>345</v>
      </c>
      <c r="AJ57" s="940">
        <v>6</v>
      </c>
      <c r="AK57" s="941">
        <v>7</v>
      </c>
      <c r="AL57" s="942">
        <v>11</v>
      </c>
      <c r="AM57" s="940">
        <f t="shared" si="12"/>
        <v>82</v>
      </c>
      <c r="AN57" s="941">
        <f t="shared" si="13"/>
        <v>110</v>
      </c>
      <c r="AO57" s="942">
        <f t="shared" si="14"/>
        <v>426</v>
      </c>
      <c r="AQ57" s="282">
        <f t="shared" si="15"/>
        <v>1.6941064185158672E-2</v>
      </c>
    </row>
    <row r="58" spans="1:43">
      <c r="A58" s="280" t="s">
        <v>133</v>
      </c>
      <c r="B58" s="280" t="s">
        <v>134</v>
      </c>
      <c r="C58" s="280" t="s">
        <v>274</v>
      </c>
      <c r="D58" s="280">
        <v>3</v>
      </c>
      <c r="E58" s="940">
        <v>325405</v>
      </c>
      <c r="F58" s="941">
        <f t="shared" si="0"/>
        <v>242738</v>
      </c>
      <c r="G58" s="941">
        <f t="shared" si="1"/>
        <v>28357</v>
      </c>
      <c r="H58" s="942">
        <f t="shared" si="2"/>
        <v>54310</v>
      </c>
      <c r="I58" s="281"/>
      <c r="J58" s="940">
        <v>71428</v>
      </c>
      <c r="K58" s="941">
        <v>9598</v>
      </c>
      <c r="L58" s="941">
        <v>17223</v>
      </c>
      <c r="M58" s="942">
        <f t="shared" si="3"/>
        <v>98249</v>
      </c>
      <c r="N58" s="940">
        <v>153211</v>
      </c>
      <c r="O58" s="941">
        <v>17252</v>
      </c>
      <c r="P58" s="941">
        <v>34273</v>
      </c>
      <c r="Q58" s="942">
        <f t="shared" si="4"/>
        <v>204736</v>
      </c>
      <c r="R58" s="940">
        <v>18099</v>
      </c>
      <c r="S58" s="941">
        <v>1507</v>
      </c>
      <c r="T58" s="941">
        <v>2814</v>
      </c>
      <c r="U58" s="942">
        <f t="shared" si="5"/>
        <v>22420</v>
      </c>
      <c r="V58" s="281"/>
      <c r="W58" s="951">
        <f t="shared" si="6"/>
        <v>0.74595657718842678</v>
      </c>
      <c r="X58" s="952">
        <f t="shared" si="7"/>
        <v>8.7143713218911817E-2</v>
      </c>
      <c r="Y58" s="953">
        <f t="shared" si="8"/>
        <v>0.16689970959266145</v>
      </c>
      <c r="Z58" s="951">
        <f t="shared" si="9"/>
        <v>0.30192836618982499</v>
      </c>
      <c r="AA58" s="952">
        <f t="shared" si="10"/>
        <v>0.62917287687650769</v>
      </c>
      <c r="AB58" s="953">
        <f t="shared" si="11"/>
        <v>6.8898756933667274E-2</v>
      </c>
      <c r="AC58" s="281"/>
      <c r="AD58" s="940">
        <v>16594</v>
      </c>
      <c r="AE58" s="941">
        <v>629</v>
      </c>
      <c r="AF58" s="942">
        <v>13833</v>
      </c>
      <c r="AG58" s="940">
        <v>33246</v>
      </c>
      <c r="AH58" s="941">
        <v>1027</v>
      </c>
      <c r="AI58" s="942">
        <v>25826</v>
      </c>
      <c r="AJ58" s="940">
        <v>2761</v>
      </c>
      <c r="AK58" s="941">
        <v>53</v>
      </c>
      <c r="AL58" s="942">
        <v>1182</v>
      </c>
      <c r="AM58" s="940">
        <f t="shared" si="12"/>
        <v>52601</v>
      </c>
      <c r="AN58" s="941">
        <f t="shared" si="13"/>
        <v>1709</v>
      </c>
      <c r="AO58" s="942">
        <f t="shared" si="14"/>
        <v>40841</v>
      </c>
      <c r="AQ58" s="282">
        <f t="shared" si="15"/>
        <v>0.12550821284245786</v>
      </c>
    </row>
    <row r="59" spans="1:43">
      <c r="A59" s="280" t="s">
        <v>135</v>
      </c>
      <c r="B59" s="280" t="s">
        <v>136</v>
      </c>
      <c r="C59" s="280" t="s">
        <v>274</v>
      </c>
      <c r="D59" s="280">
        <v>2</v>
      </c>
      <c r="E59" s="940">
        <v>33395</v>
      </c>
      <c r="F59" s="941">
        <f t="shared" si="0"/>
        <v>26795</v>
      </c>
      <c r="G59" s="941">
        <f t="shared" si="1"/>
        <v>6239</v>
      </c>
      <c r="H59" s="942">
        <f t="shared" si="2"/>
        <v>361</v>
      </c>
      <c r="I59" s="281"/>
      <c r="J59" s="940">
        <v>5689</v>
      </c>
      <c r="K59" s="941">
        <v>1455</v>
      </c>
      <c r="L59" s="941">
        <v>93</v>
      </c>
      <c r="M59" s="942">
        <f t="shared" si="3"/>
        <v>7237</v>
      </c>
      <c r="N59" s="940">
        <v>17015</v>
      </c>
      <c r="O59" s="941">
        <v>3877</v>
      </c>
      <c r="P59" s="941">
        <v>236</v>
      </c>
      <c r="Q59" s="942">
        <f t="shared" si="4"/>
        <v>21128</v>
      </c>
      <c r="R59" s="940">
        <v>4091</v>
      </c>
      <c r="S59" s="941">
        <v>907</v>
      </c>
      <c r="T59" s="941">
        <v>32</v>
      </c>
      <c r="U59" s="942">
        <f t="shared" si="5"/>
        <v>5030</v>
      </c>
      <c r="V59" s="281"/>
      <c r="W59" s="951">
        <f t="shared" si="6"/>
        <v>0.80236562359634678</v>
      </c>
      <c r="X59" s="952">
        <f t="shared" si="7"/>
        <v>0.18682437490642312</v>
      </c>
      <c r="Y59" s="953">
        <f t="shared" si="8"/>
        <v>1.0810001497230125E-2</v>
      </c>
      <c r="Z59" s="951">
        <f t="shared" si="9"/>
        <v>0.21670908818685433</v>
      </c>
      <c r="AA59" s="952">
        <f t="shared" si="10"/>
        <v>0.63266956131157359</v>
      </c>
      <c r="AB59" s="953">
        <f t="shared" si="11"/>
        <v>0.1506213505015721</v>
      </c>
      <c r="AC59" s="281"/>
      <c r="AD59" s="940">
        <v>58</v>
      </c>
      <c r="AE59" s="941">
        <v>35</v>
      </c>
      <c r="AF59" s="942">
        <v>283</v>
      </c>
      <c r="AG59" s="940">
        <v>142</v>
      </c>
      <c r="AH59" s="941">
        <v>94</v>
      </c>
      <c r="AI59" s="942">
        <v>465</v>
      </c>
      <c r="AJ59" s="940">
        <v>17</v>
      </c>
      <c r="AK59" s="941">
        <v>15</v>
      </c>
      <c r="AL59" s="942">
        <v>39</v>
      </c>
      <c r="AM59" s="940">
        <f t="shared" si="12"/>
        <v>217</v>
      </c>
      <c r="AN59" s="941">
        <f t="shared" si="13"/>
        <v>144</v>
      </c>
      <c r="AO59" s="942">
        <f t="shared" si="14"/>
        <v>787</v>
      </c>
      <c r="AQ59" s="282">
        <f t="shared" si="15"/>
        <v>2.3566402156011378E-2</v>
      </c>
    </row>
    <row r="60" spans="1:43">
      <c r="A60" s="280" t="s">
        <v>137</v>
      </c>
      <c r="B60" s="280" t="s">
        <v>138</v>
      </c>
      <c r="C60" s="280" t="s">
        <v>273</v>
      </c>
      <c r="D60" s="280">
        <v>1</v>
      </c>
      <c r="E60" s="940">
        <v>12874</v>
      </c>
      <c r="F60" s="941">
        <f t="shared" si="0"/>
        <v>8187</v>
      </c>
      <c r="G60" s="941">
        <f t="shared" si="1"/>
        <v>4580</v>
      </c>
      <c r="H60" s="942">
        <f t="shared" si="2"/>
        <v>107</v>
      </c>
      <c r="I60" s="281"/>
      <c r="J60" s="940">
        <v>1606</v>
      </c>
      <c r="K60" s="941">
        <v>836</v>
      </c>
      <c r="L60" s="941">
        <v>29</v>
      </c>
      <c r="M60" s="942">
        <f t="shared" si="3"/>
        <v>2471</v>
      </c>
      <c r="N60" s="940">
        <v>5064</v>
      </c>
      <c r="O60" s="941">
        <v>3020</v>
      </c>
      <c r="P60" s="941">
        <v>74</v>
      </c>
      <c r="Q60" s="942">
        <f t="shared" si="4"/>
        <v>8158</v>
      </c>
      <c r="R60" s="940">
        <v>1517</v>
      </c>
      <c r="S60" s="941">
        <v>724</v>
      </c>
      <c r="T60" s="941">
        <v>4</v>
      </c>
      <c r="U60" s="942">
        <f t="shared" si="5"/>
        <v>2245</v>
      </c>
      <c r="V60" s="281"/>
      <c r="W60" s="951">
        <f t="shared" si="6"/>
        <v>0.63593288799130032</v>
      </c>
      <c r="X60" s="952">
        <f t="shared" si="7"/>
        <v>0.35575578685723164</v>
      </c>
      <c r="Y60" s="953">
        <f t="shared" si="8"/>
        <v>8.3113251514680755E-3</v>
      </c>
      <c r="Z60" s="951">
        <f t="shared" si="9"/>
        <v>0.19193723784371602</v>
      </c>
      <c r="AA60" s="952">
        <f t="shared" si="10"/>
        <v>0.63368028584744451</v>
      </c>
      <c r="AB60" s="953">
        <f t="shared" si="11"/>
        <v>0.17438247630883952</v>
      </c>
      <c r="AC60" s="281"/>
      <c r="AD60" s="940">
        <v>12</v>
      </c>
      <c r="AE60" s="941">
        <v>17</v>
      </c>
      <c r="AF60" s="942">
        <v>173</v>
      </c>
      <c r="AG60" s="940">
        <v>45</v>
      </c>
      <c r="AH60" s="941">
        <v>29</v>
      </c>
      <c r="AI60" s="942">
        <v>316</v>
      </c>
      <c r="AJ60" s="940">
        <v>0</v>
      </c>
      <c r="AK60" s="941">
        <v>4</v>
      </c>
      <c r="AL60" s="942">
        <v>15</v>
      </c>
      <c r="AM60" s="940">
        <f t="shared" si="12"/>
        <v>57</v>
      </c>
      <c r="AN60" s="941">
        <f t="shared" si="13"/>
        <v>50</v>
      </c>
      <c r="AO60" s="942">
        <f t="shared" si="14"/>
        <v>504</v>
      </c>
      <c r="AQ60" s="282">
        <f t="shared" si="15"/>
        <v>3.9148671741494487E-2</v>
      </c>
    </row>
    <row r="61" spans="1:43">
      <c r="A61" s="280" t="s">
        <v>141</v>
      </c>
      <c r="B61" s="280" t="s">
        <v>142</v>
      </c>
      <c r="C61" s="280" t="s">
        <v>274</v>
      </c>
      <c r="D61" s="280">
        <v>1</v>
      </c>
      <c r="E61" s="940">
        <v>13169</v>
      </c>
      <c r="F61" s="941">
        <f t="shared" si="0"/>
        <v>11620</v>
      </c>
      <c r="G61" s="941">
        <f t="shared" si="1"/>
        <v>1421</v>
      </c>
      <c r="H61" s="942">
        <f t="shared" si="2"/>
        <v>128</v>
      </c>
      <c r="I61" s="281"/>
      <c r="J61" s="940">
        <v>2479</v>
      </c>
      <c r="K61" s="941">
        <v>339</v>
      </c>
      <c r="L61" s="941">
        <v>21</v>
      </c>
      <c r="M61" s="942">
        <f t="shared" si="3"/>
        <v>2839</v>
      </c>
      <c r="N61" s="940">
        <v>6989</v>
      </c>
      <c r="O61" s="941">
        <v>824</v>
      </c>
      <c r="P61" s="941">
        <v>96</v>
      </c>
      <c r="Q61" s="942">
        <f t="shared" si="4"/>
        <v>7909</v>
      </c>
      <c r="R61" s="940">
        <v>2152</v>
      </c>
      <c r="S61" s="941">
        <v>258</v>
      </c>
      <c r="T61" s="941">
        <v>11</v>
      </c>
      <c r="U61" s="942">
        <f t="shared" si="5"/>
        <v>2421</v>
      </c>
      <c r="V61" s="281"/>
      <c r="W61" s="951">
        <f t="shared" si="6"/>
        <v>0.88237527526767412</v>
      </c>
      <c r="X61" s="952">
        <f t="shared" si="7"/>
        <v>0.10790492824056497</v>
      </c>
      <c r="Y61" s="953">
        <f t="shared" si="8"/>
        <v>9.7197964917609542E-3</v>
      </c>
      <c r="Z61" s="951">
        <f t="shared" si="9"/>
        <v>0.21558204875085427</v>
      </c>
      <c r="AA61" s="952">
        <f t="shared" si="10"/>
        <v>0.60057711291669835</v>
      </c>
      <c r="AB61" s="953">
        <f t="shared" si="11"/>
        <v>0.18384083833244741</v>
      </c>
      <c r="AC61" s="281"/>
      <c r="AD61" s="940">
        <v>21</v>
      </c>
      <c r="AE61" s="941">
        <v>0</v>
      </c>
      <c r="AF61" s="942">
        <v>97</v>
      </c>
      <c r="AG61" s="940">
        <v>69</v>
      </c>
      <c r="AH61" s="941">
        <v>27</v>
      </c>
      <c r="AI61" s="942">
        <v>133</v>
      </c>
      <c r="AJ61" s="940">
        <v>8</v>
      </c>
      <c r="AK61" s="941">
        <v>3</v>
      </c>
      <c r="AL61" s="942">
        <v>12</v>
      </c>
      <c r="AM61" s="940">
        <f t="shared" si="12"/>
        <v>98</v>
      </c>
      <c r="AN61" s="941">
        <f t="shared" si="13"/>
        <v>30</v>
      </c>
      <c r="AO61" s="942">
        <f t="shared" si="14"/>
        <v>242</v>
      </c>
      <c r="AQ61" s="282">
        <f t="shared" si="15"/>
        <v>1.8376490242235553E-2</v>
      </c>
    </row>
    <row r="62" spans="1:43">
      <c r="A62" s="280" t="s">
        <v>147</v>
      </c>
      <c r="B62" s="280" t="s">
        <v>148</v>
      </c>
      <c r="C62" s="280" t="s">
        <v>271</v>
      </c>
      <c r="D62" s="280">
        <v>1</v>
      </c>
      <c r="E62" s="940">
        <v>8962</v>
      </c>
      <c r="F62" s="941">
        <f t="shared" si="0"/>
        <v>8015</v>
      </c>
      <c r="G62" s="941">
        <f t="shared" si="1"/>
        <v>856</v>
      </c>
      <c r="H62" s="942">
        <f t="shared" si="2"/>
        <v>91</v>
      </c>
      <c r="I62" s="281"/>
      <c r="J62" s="940">
        <v>1413</v>
      </c>
      <c r="K62" s="941">
        <v>175</v>
      </c>
      <c r="L62" s="941">
        <v>20</v>
      </c>
      <c r="M62" s="942">
        <f t="shared" si="3"/>
        <v>1608</v>
      </c>
      <c r="N62" s="940">
        <v>4478</v>
      </c>
      <c r="O62" s="941">
        <v>476</v>
      </c>
      <c r="P62" s="941">
        <v>60</v>
      </c>
      <c r="Q62" s="942">
        <f t="shared" si="4"/>
        <v>5014</v>
      </c>
      <c r="R62" s="940">
        <v>2124</v>
      </c>
      <c r="S62" s="941">
        <v>205</v>
      </c>
      <c r="T62" s="941">
        <v>11</v>
      </c>
      <c r="U62" s="942">
        <f t="shared" si="5"/>
        <v>2340</v>
      </c>
      <c r="V62" s="281"/>
      <c r="W62" s="951">
        <f t="shared" si="6"/>
        <v>0.89433162240571296</v>
      </c>
      <c r="X62" s="952">
        <f t="shared" si="7"/>
        <v>9.551439410845794E-2</v>
      </c>
      <c r="Y62" s="953">
        <f t="shared" si="8"/>
        <v>1.0153983485829056E-2</v>
      </c>
      <c r="Z62" s="951">
        <f t="shared" si="9"/>
        <v>0.17942423566168267</v>
      </c>
      <c r="AA62" s="952">
        <f t="shared" si="10"/>
        <v>0.55947333184557013</v>
      </c>
      <c r="AB62" s="953">
        <f t="shared" si="11"/>
        <v>0.26110243249274717</v>
      </c>
      <c r="AC62" s="281"/>
      <c r="AD62" s="940">
        <v>17</v>
      </c>
      <c r="AE62" s="941">
        <v>3</v>
      </c>
      <c r="AF62" s="942">
        <v>46</v>
      </c>
      <c r="AG62" s="940">
        <v>43</v>
      </c>
      <c r="AH62" s="941">
        <v>17</v>
      </c>
      <c r="AI62" s="942">
        <v>84</v>
      </c>
      <c r="AJ62" s="940">
        <v>8</v>
      </c>
      <c r="AK62" s="941">
        <v>3</v>
      </c>
      <c r="AL62" s="942">
        <v>8</v>
      </c>
      <c r="AM62" s="940">
        <f t="shared" si="12"/>
        <v>68</v>
      </c>
      <c r="AN62" s="941">
        <f t="shared" si="13"/>
        <v>23</v>
      </c>
      <c r="AO62" s="942">
        <f t="shared" si="14"/>
        <v>138</v>
      </c>
      <c r="AQ62" s="282">
        <f t="shared" si="15"/>
        <v>1.5398348582905601E-2</v>
      </c>
    </row>
    <row r="63" spans="1:43">
      <c r="A63" s="280" t="s">
        <v>149</v>
      </c>
      <c r="B63" s="280" t="s">
        <v>150</v>
      </c>
      <c r="C63" s="280" t="s">
        <v>272</v>
      </c>
      <c r="D63" s="280">
        <v>2</v>
      </c>
      <c r="E63" s="940">
        <v>32622</v>
      </c>
      <c r="F63" s="941">
        <f t="shared" si="0"/>
        <v>20053</v>
      </c>
      <c r="G63" s="941">
        <f t="shared" si="1"/>
        <v>12187</v>
      </c>
      <c r="H63" s="942">
        <f t="shared" si="2"/>
        <v>382</v>
      </c>
      <c r="I63" s="281"/>
      <c r="J63" s="940">
        <v>3439</v>
      </c>
      <c r="K63" s="941">
        <v>2713</v>
      </c>
      <c r="L63" s="941">
        <v>111</v>
      </c>
      <c r="M63" s="942">
        <f t="shared" si="3"/>
        <v>6263</v>
      </c>
      <c r="N63" s="940">
        <v>11718</v>
      </c>
      <c r="O63" s="941">
        <v>7492</v>
      </c>
      <c r="P63" s="941">
        <v>227</v>
      </c>
      <c r="Q63" s="942">
        <f t="shared" si="4"/>
        <v>19437</v>
      </c>
      <c r="R63" s="940">
        <v>4896</v>
      </c>
      <c r="S63" s="941">
        <v>1982</v>
      </c>
      <c r="T63" s="941">
        <v>44</v>
      </c>
      <c r="U63" s="942">
        <f t="shared" si="5"/>
        <v>6922</v>
      </c>
      <c r="V63" s="281"/>
      <c r="W63" s="951">
        <f t="shared" si="6"/>
        <v>0.6147078658573969</v>
      </c>
      <c r="X63" s="952">
        <f t="shared" si="7"/>
        <v>0.37358224511066151</v>
      </c>
      <c r="Y63" s="953">
        <f t="shared" si="8"/>
        <v>1.1709889031941634E-2</v>
      </c>
      <c r="Z63" s="951">
        <f t="shared" si="9"/>
        <v>0.19198700263625773</v>
      </c>
      <c r="AA63" s="952">
        <f t="shared" si="10"/>
        <v>0.59582490343939676</v>
      </c>
      <c r="AB63" s="953">
        <f t="shared" si="11"/>
        <v>0.21218809392434554</v>
      </c>
      <c r="AC63" s="281"/>
      <c r="AD63" s="940">
        <v>83</v>
      </c>
      <c r="AE63" s="941">
        <v>28</v>
      </c>
      <c r="AF63" s="942">
        <v>256</v>
      </c>
      <c r="AG63" s="940">
        <v>175</v>
      </c>
      <c r="AH63" s="941">
        <v>52</v>
      </c>
      <c r="AI63" s="942">
        <v>550</v>
      </c>
      <c r="AJ63" s="940">
        <v>28</v>
      </c>
      <c r="AK63" s="941">
        <v>16</v>
      </c>
      <c r="AL63" s="942">
        <v>65</v>
      </c>
      <c r="AM63" s="940">
        <f t="shared" si="12"/>
        <v>286</v>
      </c>
      <c r="AN63" s="941">
        <f t="shared" si="13"/>
        <v>96</v>
      </c>
      <c r="AO63" s="942">
        <f t="shared" si="14"/>
        <v>871</v>
      </c>
      <c r="AQ63" s="282">
        <f t="shared" si="15"/>
        <v>2.6699773159217705E-2</v>
      </c>
    </row>
    <row r="64" spans="1:43">
      <c r="A64" s="280" t="s">
        <v>151</v>
      </c>
      <c r="B64" s="280" t="s">
        <v>152</v>
      </c>
      <c r="C64" s="280" t="s">
        <v>273</v>
      </c>
      <c r="D64" s="280">
        <v>1</v>
      </c>
      <c r="E64" s="940">
        <v>10854</v>
      </c>
      <c r="F64" s="941">
        <f t="shared" si="0"/>
        <v>8716</v>
      </c>
      <c r="G64" s="941">
        <f t="shared" si="1"/>
        <v>2046</v>
      </c>
      <c r="H64" s="942">
        <f t="shared" si="2"/>
        <v>92</v>
      </c>
      <c r="I64" s="281"/>
      <c r="J64" s="940">
        <v>1320</v>
      </c>
      <c r="K64" s="941">
        <v>352</v>
      </c>
      <c r="L64" s="941">
        <v>17</v>
      </c>
      <c r="M64" s="942">
        <f t="shared" si="3"/>
        <v>1689</v>
      </c>
      <c r="N64" s="940">
        <v>4987</v>
      </c>
      <c r="O64" s="941">
        <v>1253</v>
      </c>
      <c r="P64" s="941">
        <v>62</v>
      </c>
      <c r="Q64" s="942">
        <f t="shared" si="4"/>
        <v>6302</v>
      </c>
      <c r="R64" s="940">
        <v>2409</v>
      </c>
      <c r="S64" s="941">
        <v>441</v>
      </c>
      <c r="T64" s="941">
        <v>13</v>
      </c>
      <c r="U64" s="942">
        <f t="shared" si="5"/>
        <v>2863</v>
      </c>
      <c r="V64" s="281"/>
      <c r="W64" s="951">
        <f t="shared" si="6"/>
        <v>0.80302192740003686</v>
      </c>
      <c r="X64" s="952">
        <f t="shared" si="7"/>
        <v>0.18850193477059149</v>
      </c>
      <c r="Y64" s="953">
        <f t="shared" si="8"/>
        <v>8.4761378293716598E-3</v>
      </c>
      <c r="Z64" s="951">
        <f t="shared" si="9"/>
        <v>0.15561083471531234</v>
      </c>
      <c r="AA64" s="952">
        <f t="shared" si="10"/>
        <v>0.58061544131195875</v>
      </c>
      <c r="AB64" s="953">
        <f t="shared" si="11"/>
        <v>0.26377372397272897</v>
      </c>
      <c r="AC64" s="281"/>
      <c r="AD64" s="940">
        <v>9</v>
      </c>
      <c r="AE64" s="941">
        <v>8</v>
      </c>
      <c r="AF64" s="942">
        <v>49</v>
      </c>
      <c r="AG64" s="940">
        <v>36</v>
      </c>
      <c r="AH64" s="941">
        <v>26</v>
      </c>
      <c r="AI64" s="942">
        <v>113</v>
      </c>
      <c r="AJ64" s="940">
        <v>10</v>
      </c>
      <c r="AK64" s="941">
        <v>3</v>
      </c>
      <c r="AL64" s="942">
        <v>8</v>
      </c>
      <c r="AM64" s="940">
        <f t="shared" si="12"/>
        <v>55</v>
      </c>
      <c r="AN64" s="941">
        <f t="shared" si="13"/>
        <v>37</v>
      </c>
      <c r="AO64" s="942">
        <f t="shared" si="14"/>
        <v>170</v>
      </c>
      <c r="AQ64" s="282">
        <f t="shared" si="15"/>
        <v>1.5662428597751982E-2</v>
      </c>
    </row>
    <row r="65" spans="1:43">
      <c r="A65" s="280" t="s">
        <v>153</v>
      </c>
      <c r="B65" s="280" t="s">
        <v>154</v>
      </c>
      <c r="C65" s="280" t="s">
        <v>275</v>
      </c>
      <c r="D65" s="280">
        <v>2</v>
      </c>
      <c r="E65" s="940">
        <v>94342</v>
      </c>
      <c r="F65" s="941">
        <f t="shared" si="0"/>
        <v>83919</v>
      </c>
      <c r="G65" s="941">
        <f t="shared" si="1"/>
        <v>4428</v>
      </c>
      <c r="H65" s="942">
        <f t="shared" si="2"/>
        <v>5995</v>
      </c>
      <c r="I65" s="281"/>
      <c r="J65" s="940">
        <v>12772</v>
      </c>
      <c r="K65" s="941">
        <v>908</v>
      </c>
      <c r="L65" s="941">
        <v>740</v>
      </c>
      <c r="M65" s="942">
        <f t="shared" si="3"/>
        <v>14420</v>
      </c>
      <c r="N65" s="940">
        <v>61980</v>
      </c>
      <c r="O65" s="941">
        <v>3281</v>
      </c>
      <c r="P65" s="941">
        <v>5129</v>
      </c>
      <c r="Q65" s="942">
        <f t="shared" si="4"/>
        <v>70390</v>
      </c>
      <c r="R65" s="940">
        <v>9167</v>
      </c>
      <c r="S65" s="941">
        <v>239</v>
      </c>
      <c r="T65" s="941">
        <v>126</v>
      </c>
      <c r="U65" s="942">
        <f t="shared" si="5"/>
        <v>9532</v>
      </c>
      <c r="V65" s="281"/>
      <c r="W65" s="951">
        <f t="shared" si="6"/>
        <v>0.88951898412160013</v>
      </c>
      <c r="X65" s="952">
        <f t="shared" si="7"/>
        <v>4.6935617222445991E-2</v>
      </c>
      <c r="Y65" s="953">
        <f t="shared" si="8"/>
        <v>6.3545398655953864E-2</v>
      </c>
      <c r="Z65" s="951">
        <f t="shared" si="9"/>
        <v>0.15284814822666468</v>
      </c>
      <c r="AA65" s="952">
        <f t="shared" si="10"/>
        <v>0.74611519789701297</v>
      </c>
      <c r="AB65" s="953">
        <f t="shared" si="11"/>
        <v>0.10103665387632231</v>
      </c>
      <c r="AC65" s="281"/>
      <c r="AD65" s="940">
        <v>681</v>
      </c>
      <c r="AE65" s="941">
        <v>59</v>
      </c>
      <c r="AF65" s="942">
        <v>540</v>
      </c>
      <c r="AG65" s="940">
        <v>4897</v>
      </c>
      <c r="AH65" s="941">
        <v>232</v>
      </c>
      <c r="AI65" s="942">
        <v>2075</v>
      </c>
      <c r="AJ65" s="940">
        <v>113</v>
      </c>
      <c r="AK65" s="941">
        <v>13</v>
      </c>
      <c r="AL65" s="942">
        <v>74</v>
      </c>
      <c r="AM65" s="940">
        <f t="shared" si="12"/>
        <v>5691</v>
      </c>
      <c r="AN65" s="941">
        <f t="shared" si="13"/>
        <v>304</v>
      </c>
      <c r="AO65" s="942">
        <f t="shared" si="14"/>
        <v>2689</v>
      </c>
      <c r="AQ65" s="282">
        <f t="shared" si="15"/>
        <v>2.8502681732420342E-2</v>
      </c>
    </row>
    <row r="66" spans="1:43">
      <c r="A66" s="280" t="s">
        <v>155</v>
      </c>
      <c r="B66" s="280" t="s">
        <v>156</v>
      </c>
      <c r="C66" s="280" t="s">
        <v>272</v>
      </c>
      <c r="D66" s="280">
        <v>1</v>
      </c>
      <c r="E66" s="940">
        <v>15097</v>
      </c>
      <c r="F66" s="941">
        <f t="shared" si="0"/>
        <v>12796</v>
      </c>
      <c r="G66" s="941">
        <f t="shared" si="1"/>
        <v>2142</v>
      </c>
      <c r="H66" s="942">
        <f t="shared" si="2"/>
        <v>159</v>
      </c>
      <c r="I66" s="281"/>
      <c r="J66" s="940">
        <v>2352</v>
      </c>
      <c r="K66" s="941">
        <v>480</v>
      </c>
      <c r="L66" s="941">
        <v>50</v>
      </c>
      <c r="M66" s="942">
        <f t="shared" si="3"/>
        <v>2882</v>
      </c>
      <c r="N66" s="940">
        <v>7808</v>
      </c>
      <c r="O66" s="941">
        <v>1215</v>
      </c>
      <c r="P66" s="941">
        <v>103</v>
      </c>
      <c r="Q66" s="942">
        <f t="shared" si="4"/>
        <v>9126</v>
      </c>
      <c r="R66" s="940">
        <v>2636</v>
      </c>
      <c r="S66" s="941">
        <v>447</v>
      </c>
      <c r="T66" s="941">
        <v>6</v>
      </c>
      <c r="U66" s="942">
        <f t="shared" si="5"/>
        <v>3089</v>
      </c>
      <c r="V66" s="281"/>
      <c r="W66" s="951">
        <f t="shared" si="6"/>
        <v>0.84758561303570246</v>
      </c>
      <c r="X66" s="952">
        <f t="shared" si="7"/>
        <v>0.14188249321057164</v>
      </c>
      <c r="Y66" s="953">
        <f t="shared" si="8"/>
        <v>1.0531893753725905E-2</v>
      </c>
      <c r="Z66" s="951">
        <f t="shared" si="9"/>
        <v>0.19089885407696894</v>
      </c>
      <c r="AA66" s="952">
        <f t="shared" si="10"/>
        <v>0.60449095846856993</v>
      </c>
      <c r="AB66" s="953">
        <f t="shared" si="11"/>
        <v>0.20461018745446116</v>
      </c>
      <c r="AC66" s="281"/>
      <c r="AD66" s="940">
        <v>33</v>
      </c>
      <c r="AE66" s="941">
        <v>17</v>
      </c>
      <c r="AF66" s="942">
        <v>187</v>
      </c>
      <c r="AG66" s="940">
        <v>53</v>
      </c>
      <c r="AH66" s="941">
        <v>50</v>
      </c>
      <c r="AI66" s="942">
        <v>297</v>
      </c>
      <c r="AJ66" s="940">
        <v>4</v>
      </c>
      <c r="AK66" s="941">
        <v>2</v>
      </c>
      <c r="AL66" s="942">
        <v>23</v>
      </c>
      <c r="AM66" s="940">
        <f t="shared" si="12"/>
        <v>90</v>
      </c>
      <c r="AN66" s="941">
        <f t="shared" si="13"/>
        <v>69</v>
      </c>
      <c r="AO66" s="942">
        <f t="shared" si="14"/>
        <v>507</v>
      </c>
      <c r="AQ66" s="282">
        <f t="shared" si="15"/>
        <v>3.3582831026031663E-2</v>
      </c>
    </row>
    <row r="67" spans="1:43">
      <c r="A67" s="280" t="s">
        <v>157</v>
      </c>
      <c r="B67" s="280" t="s">
        <v>158</v>
      </c>
      <c r="C67" s="280" t="s">
        <v>273</v>
      </c>
      <c r="D67" s="280">
        <v>1</v>
      </c>
      <c r="E67" s="940">
        <v>18822</v>
      </c>
      <c r="F67" s="941">
        <f t="shared" si="0"/>
        <v>15669</v>
      </c>
      <c r="G67" s="941">
        <f t="shared" si="1"/>
        <v>2719</v>
      </c>
      <c r="H67" s="942">
        <f t="shared" si="2"/>
        <v>434</v>
      </c>
      <c r="I67" s="281"/>
      <c r="J67" s="940">
        <v>3392</v>
      </c>
      <c r="K67" s="941">
        <v>589</v>
      </c>
      <c r="L67" s="941">
        <v>115</v>
      </c>
      <c r="M67" s="942">
        <f t="shared" si="3"/>
        <v>4096</v>
      </c>
      <c r="N67" s="940">
        <v>10278</v>
      </c>
      <c r="O67" s="941">
        <v>1751</v>
      </c>
      <c r="P67" s="941">
        <v>273</v>
      </c>
      <c r="Q67" s="942">
        <f t="shared" si="4"/>
        <v>12302</v>
      </c>
      <c r="R67" s="940">
        <v>1999</v>
      </c>
      <c r="S67" s="941">
        <v>379</v>
      </c>
      <c r="T67" s="941">
        <v>46</v>
      </c>
      <c r="U67" s="942">
        <f t="shared" si="5"/>
        <v>2424</v>
      </c>
      <c r="V67" s="281"/>
      <c r="W67" s="951">
        <f t="shared" si="6"/>
        <v>0.83248326426522157</v>
      </c>
      <c r="X67" s="952">
        <f t="shared" si="7"/>
        <v>0.14445861226224629</v>
      </c>
      <c r="Y67" s="953">
        <f t="shared" si="8"/>
        <v>2.3058123472532142E-2</v>
      </c>
      <c r="Z67" s="951">
        <f t="shared" si="9"/>
        <v>0.21761768143661672</v>
      </c>
      <c r="AA67" s="952">
        <f t="shared" si="10"/>
        <v>0.65359685474444795</v>
      </c>
      <c r="AB67" s="953">
        <f t="shared" si="11"/>
        <v>0.1287854638189353</v>
      </c>
      <c r="AC67" s="281"/>
      <c r="AD67" s="940">
        <v>67</v>
      </c>
      <c r="AE67" s="941">
        <v>48</v>
      </c>
      <c r="AF67" s="942">
        <v>165</v>
      </c>
      <c r="AG67" s="940">
        <v>138</v>
      </c>
      <c r="AH67" s="941">
        <v>135</v>
      </c>
      <c r="AI67" s="942">
        <v>230</v>
      </c>
      <c r="AJ67" s="940">
        <v>25</v>
      </c>
      <c r="AK67" s="941">
        <v>21</v>
      </c>
      <c r="AL67" s="942">
        <v>15</v>
      </c>
      <c r="AM67" s="940">
        <f t="shared" si="12"/>
        <v>230</v>
      </c>
      <c r="AN67" s="941">
        <f t="shared" si="13"/>
        <v>204</v>
      </c>
      <c r="AO67" s="942">
        <f t="shared" si="14"/>
        <v>410</v>
      </c>
      <c r="AQ67" s="282">
        <f t="shared" si="15"/>
        <v>2.1783019870364469E-2</v>
      </c>
    </row>
    <row r="68" spans="1:43">
      <c r="A68" s="280" t="s">
        <v>163</v>
      </c>
      <c r="B68" s="280" t="s">
        <v>164</v>
      </c>
      <c r="C68" s="280" t="s">
        <v>271</v>
      </c>
      <c r="D68" s="280">
        <v>2</v>
      </c>
      <c r="E68" s="940">
        <v>12377</v>
      </c>
      <c r="F68" s="941">
        <f t="shared" si="0"/>
        <v>7583</v>
      </c>
      <c r="G68" s="941">
        <f t="shared" si="1"/>
        <v>4636</v>
      </c>
      <c r="H68" s="942">
        <f t="shared" si="2"/>
        <v>158</v>
      </c>
      <c r="I68" s="281"/>
      <c r="J68" s="940">
        <v>1353</v>
      </c>
      <c r="K68" s="941">
        <v>1033</v>
      </c>
      <c r="L68" s="941">
        <v>35</v>
      </c>
      <c r="M68" s="942">
        <f t="shared" si="3"/>
        <v>2421</v>
      </c>
      <c r="N68" s="940">
        <v>4408</v>
      </c>
      <c r="O68" s="941">
        <v>2692</v>
      </c>
      <c r="P68" s="941">
        <v>104</v>
      </c>
      <c r="Q68" s="942">
        <f t="shared" si="4"/>
        <v>7204</v>
      </c>
      <c r="R68" s="940">
        <v>1822</v>
      </c>
      <c r="S68" s="941">
        <v>911</v>
      </c>
      <c r="T68" s="941">
        <v>19</v>
      </c>
      <c r="U68" s="942">
        <f t="shared" si="5"/>
        <v>2752</v>
      </c>
      <c r="V68" s="281"/>
      <c r="W68" s="951">
        <f t="shared" si="6"/>
        <v>0.61266865961056793</v>
      </c>
      <c r="X68" s="952">
        <f t="shared" si="7"/>
        <v>0.37456572675123212</v>
      </c>
      <c r="Y68" s="953">
        <f t="shared" si="8"/>
        <v>1.2765613638199887E-2</v>
      </c>
      <c r="Z68" s="951">
        <f t="shared" si="9"/>
        <v>0.19560475074735395</v>
      </c>
      <c r="AA68" s="952">
        <f t="shared" si="10"/>
        <v>0.58204734588349361</v>
      </c>
      <c r="AB68" s="953">
        <f t="shared" si="11"/>
        <v>0.22234790336915247</v>
      </c>
      <c r="AC68" s="281"/>
      <c r="AD68" s="940">
        <v>31</v>
      </c>
      <c r="AE68" s="941">
        <v>4</v>
      </c>
      <c r="AF68" s="942">
        <v>336</v>
      </c>
      <c r="AG68" s="940">
        <v>85</v>
      </c>
      <c r="AH68" s="941">
        <v>19</v>
      </c>
      <c r="AI68" s="942">
        <v>545</v>
      </c>
      <c r="AJ68" s="940">
        <v>12</v>
      </c>
      <c r="AK68" s="941">
        <v>7</v>
      </c>
      <c r="AL68" s="942">
        <v>32</v>
      </c>
      <c r="AM68" s="940">
        <f t="shared" si="12"/>
        <v>128</v>
      </c>
      <c r="AN68" s="941">
        <f t="shared" si="13"/>
        <v>30</v>
      </c>
      <c r="AO68" s="942">
        <f t="shared" si="14"/>
        <v>913</v>
      </c>
      <c r="AQ68" s="282">
        <f t="shared" si="15"/>
        <v>7.3765856023268961E-2</v>
      </c>
    </row>
    <row r="69" spans="1:43">
      <c r="A69" s="280" t="s">
        <v>165</v>
      </c>
      <c r="B69" s="280" t="s">
        <v>166</v>
      </c>
      <c r="C69" s="280" t="s">
        <v>273</v>
      </c>
      <c r="D69" s="280">
        <v>1</v>
      </c>
      <c r="E69" s="940">
        <v>12461</v>
      </c>
      <c r="F69" s="941">
        <f t="shared" si="0"/>
        <v>9184</v>
      </c>
      <c r="G69" s="941">
        <f t="shared" si="1"/>
        <v>3188</v>
      </c>
      <c r="H69" s="942">
        <f t="shared" si="2"/>
        <v>89</v>
      </c>
      <c r="I69" s="281"/>
      <c r="J69" s="940">
        <v>1230</v>
      </c>
      <c r="K69" s="941">
        <v>756</v>
      </c>
      <c r="L69" s="941">
        <v>21</v>
      </c>
      <c r="M69" s="942">
        <f t="shared" si="3"/>
        <v>2007</v>
      </c>
      <c r="N69" s="940">
        <v>4723</v>
      </c>
      <c r="O69" s="941">
        <v>1802</v>
      </c>
      <c r="P69" s="941">
        <v>63</v>
      </c>
      <c r="Q69" s="942">
        <f t="shared" si="4"/>
        <v>6588</v>
      </c>
      <c r="R69" s="940">
        <v>3231</v>
      </c>
      <c r="S69" s="941">
        <v>630</v>
      </c>
      <c r="T69" s="941">
        <v>5</v>
      </c>
      <c r="U69" s="942">
        <f t="shared" si="5"/>
        <v>3866</v>
      </c>
      <c r="V69" s="281"/>
      <c r="W69" s="951">
        <f t="shared" si="6"/>
        <v>0.73701950084262902</v>
      </c>
      <c r="X69" s="952">
        <f t="shared" si="7"/>
        <v>0.25583821523152234</v>
      </c>
      <c r="Y69" s="953">
        <f t="shared" si="8"/>
        <v>7.1422839258486479E-3</v>
      </c>
      <c r="Z69" s="951">
        <f t="shared" si="9"/>
        <v>0.16106251504694646</v>
      </c>
      <c r="AA69" s="952">
        <f t="shared" si="10"/>
        <v>0.5286895112751786</v>
      </c>
      <c r="AB69" s="953">
        <f t="shared" si="11"/>
        <v>0.31024797367787499</v>
      </c>
      <c r="AC69" s="281"/>
      <c r="AD69" s="940">
        <v>13</v>
      </c>
      <c r="AE69" s="941">
        <v>8</v>
      </c>
      <c r="AF69" s="942">
        <v>130</v>
      </c>
      <c r="AG69" s="940">
        <v>43</v>
      </c>
      <c r="AH69" s="941">
        <v>20</v>
      </c>
      <c r="AI69" s="942">
        <v>250</v>
      </c>
      <c r="AJ69" s="940">
        <v>0</v>
      </c>
      <c r="AK69" s="941">
        <v>5</v>
      </c>
      <c r="AL69" s="942">
        <v>20</v>
      </c>
      <c r="AM69" s="940">
        <f t="shared" si="12"/>
        <v>56</v>
      </c>
      <c r="AN69" s="941">
        <f t="shared" si="13"/>
        <v>33</v>
      </c>
      <c r="AO69" s="942">
        <f t="shared" si="14"/>
        <v>400</v>
      </c>
      <c r="AQ69" s="282">
        <f t="shared" si="15"/>
        <v>3.2100152475724258E-2</v>
      </c>
    </row>
    <row r="70" spans="1:43">
      <c r="A70" s="280" t="s">
        <v>169</v>
      </c>
      <c r="B70" s="280" t="s">
        <v>170</v>
      </c>
      <c r="C70" s="280" t="s">
        <v>273</v>
      </c>
      <c r="D70" s="280">
        <v>1</v>
      </c>
      <c r="E70" s="940">
        <v>15840</v>
      </c>
      <c r="F70" s="941">
        <f t="shared" ref="F70:F125" si="16">J70+N70+R70</f>
        <v>9271</v>
      </c>
      <c r="G70" s="941">
        <f t="shared" ref="G70:G125" si="17">K70+O70+S70</f>
        <v>6383</v>
      </c>
      <c r="H70" s="942">
        <f t="shared" ref="H70:H125" si="18">L70+P70+T70</f>
        <v>186</v>
      </c>
      <c r="I70" s="281"/>
      <c r="J70" s="940">
        <v>1904</v>
      </c>
      <c r="K70" s="941">
        <v>1310</v>
      </c>
      <c r="L70" s="941">
        <v>51</v>
      </c>
      <c r="M70" s="942">
        <f t="shared" ref="M70:M125" si="19">SUM(J70:L70)</f>
        <v>3265</v>
      </c>
      <c r="N70" s="940">
        <v>5645</v>
      </c>
      <c r="O70" s="941">
        <v>4113</v>
      </c>
      <c r="P70" s="941">
        <v>126</v>
      </c>
      <c r="Q70" s="942">
        <f t="shared" ref="Q70:Q125" si="20">SUM(N70:P70)</f>
        <v>9884</v>
      </c>
      <c r="R70" s="940">
        <v>1722</v>
      </c>
      <c r="S70" s="941">
        <v>960</v>
      </c>
      <c r="T70" s="941">
        <v>9</v>
      </c>
      <c r="U70" s="942">
        <f t="shared" ref="U70:U125" si="21">SUM(R70:T70)</f>
        <v>2691</v>
      </c>
      <c r="V70" s="281"/>
      <c r="W70" s="951">
        <f t="shared" ref="W70:W125" si="22">F70/E70</f>
        <v>0.585290404040404</v>
      </c>
      <c r="X70" s="952">
        <f t="shared" ref="X70:X125" si="23">G70/E70</f>
        <v>0.40296717171717172</v>
      </c>
      <c r="Y70" s="953">
        <f t="shared" ref="Y70:Y125" si="24">H70/E70</f>
        <v>1.1742424242424242E-2</v>
      </c>
      <c r="Z70" s="951">
        <f t="shared" ref="Z70:Z125" si="25">M70/E70</f>
        <v>0.20612373737373738</v>
      </c>
      <c r="AA70" s="952">
        <f t="shared" ref="AA70:AA125" si="26">Q70/E70</f>
        <v>0.62398989898989898</v>
      </c>
      <c r="AB70" s="953">
        <f t="shared" ref="AB70:AB125" si="27">U70/E70</f>
        <v>0.16988636363636364</v>
      </c>
      <c r="AC70" s="281"/>
      <c r="AD70" s="940">
        <v>17</v>
      </c>
      <c r="AE70" s="941">
        <v>34</v>
      </c>
      <c r="AF70" s="942">
        <v>215</v>
      </c>
      <c r="AG70" s="940">
        <v>59</v>
      </c>
      <c r="AH70" s="941">
        <v>67</v>
      </c>
      <c r="AI70" s="942">
        <v>415</v>
      </c>
      <c r="AJ70" s="940">
        <v>5</v>
      </c>
      <c r="AK70" s="941">
        <v>4</v>
      </c>
      <c r="AL70" s="942">
        <v>25</v>
      </c>
      <c r="AM70" s="940">
        <f t="shared" ref="AM70:AM125" si="28">AD70+AG70+AJ70</f>
        <v>81</v>
      </c>
      <c r="AN70" s="941">
        <f t="shared" ref="AN70:AN125" si="29">AE70+AH70+AK70</f>
        <v>105</v>
      </c>
      <c r="AO70" s="942">
        <f t="shared" ref="AO70:AO125" si="30">AF70+AI70+AL70</f>
        <v>655</v>
      </c>
      <c r="AQ70" s="282">
        <f t="shared" ref="AQ70:AQ125" si="31">AO70/E70</f>
        <v>4.1351010101010104E-2</v>
      </c>
    </row>
    <row r="71" spans="1:43">
      <c r="A71" s="280" t="s">
        <v>171</v>
      </c>
      <c r="B71" s="280" t="s">
        <v>172</v>
      </c>
      <c r="C71" s="280" t="s">
        <v>274</v>
      </c>
      <c r="D71" s="280">
        <v>2</v>
      </c>
      <c r="E71" s="940">
        <v>33938</v>
      </c>
      <c r="F71" s="941">
        <f t="shared" si="16"/>
        <v>28750</v>
      </c>
      <c r="G71" s="941">
        <f t="shared" si="17"/>
        <v>4730</v>
      </c>
      <c r="H71" s="942">
        <f t="shared" si="18"/>
        <v>458</v>
      </c>
      <c r="I71" s="281"/>
      <c r="J71" s="940">
        <v>6252</v>
      </c>
      <c r="K71" s="941">
        <v>1262</v>
      </c>
      <c r="L71" s="941">
        <v>106</v>
      </c>
      <c r="M71" s="942">
        <f t="shared" si="19"/>
        <v>7620</v>
      </c>
      <c r="N71" s="940">
        <v>16895</v>
      </c>
      <c r="O71" s="941">
        <v>2882</v>
      </c>
      <c r="P71" s="941">
        <v>312</v>
      </c>
      <c r="Q71" s="942">
        <f t="shared" si="20"/>
        <v>20089</v>
      </c>
      <c r="R71" s="940">
        <v>5603</v>
      </c>
      <c r="S71" s="941">
        <v>586</v>
      </c>
      <c r="T71" s="941">
        <v>40</v>
      </c>
      <c r="U71" s="942">
        <f t="shared" si="21"/>
        <v>6229</v>
      </c>
      <c r="V71" s="281"/>
      <c r="W71" s="951">
        <f t="shared" si="22"/>
        <v>0.84713300724851204</v>
      </c>
      <c r="X71" s="952">
        <f t="shared" si="23"/>
        <v>0.13937179562732041</v>
      </c>
      <c r="Y71" s="953">
        <f t="shared" si="24"/>
        <v>1.34951971241676E-2</v>
      </c>
      <c r="Z71" s="951">
        <f t="shared" si="25"/>
        <v>0.22452707879073605</v>
      </c>
      <c r="AA71" s="952">
        <f t="shared" si="26"/>
        <v>0.59193234722140375</v>
      </c>
      <c r="AB71" s="953">
        <f t="shared" si="27"/>
        <v>0.18354057398786022</v>
      </c>
      <c r="AC71" s="281"/>
      <c r="AD71" s="940">
        <v>84</v>
      </c>
      <c r="AE71" s="941">
        <v>22</v>
      </c>
      <c r="AF71" s="942">
        <v>432</v>
      </c>
      <c r="AG71" s="940">
        <v>222</v>
      </c>
      <c r="AH71" s="941">
        <v>90</v>
      </c>
      <c r="AI71" s="942">
        <v>690</v>
      </c>
      <c r="AJ71" s="940">
        <v>33</v>
      </c>
      <c r="AK71" s="941">
        <v>7</v>
      </c>
      <c r="AL71" s="942">
        <v>74</v>
      </c>
      <c r="AM71" s="940">
        <f t="shared" si="28"/>
        <v>339</v>
      </c>
      <c r="AN71" s="941">
        <f t="shared" si="29"/>
        <v>119</v>
      </c>
      <c r="AO71" s="942">
        <f t="shared" si="30"/>
        <v>1196</v>
      </c>
      <c r="AQ71" s="282">
        <f t="shared" si="31"/>
        <v>3.5240733101538101E-2</v>
      </c>
    </row>
    <row r="72" spans="1:43">
      <c r="A72" s="280" t="s">
        <v>173</v>
      </c>
      <c r="B72" s="280" t="s">
        <v>174</v>
      </c>
      <c r="C72" s="280" t="s">
        <v>274</v>
      </c>
      <c r="D72" s="280">
        <v>2</v>
      </c>
      <c r="E72" s="940">
        <v>23958</v>
      </c>
      <c r="F72" s="941">
        <f t="shared" si="16"/>
        <v>23185</v>
      </c>
      <c r="G72" s="941">
        <f t="shared" si="17"/>
        <v>611</v>
      </c>
      <c r="H72" s="942">
        <f t="shared" si="18"/>
        <v>162</v>
      </c>
      <c r="I72" s="281"/>
      <c r="J72" s="940">
        <v>4826</v>
      </c>
      <c r="K72" s="941">
        <v>179</v>
      </c>
      <c r="L72" s="941">
        <v>40</v>
      </c>
      <c r="M72" s="942">
        <f t="shared" si="19"/>
        <v>5045</v>
      </c>
      <c r="N72" s="940">
        <v>14164</v>
      </c>
      <c r="O72" s="941">
        <v>331</v>
      </c>
      <c r="P72" s="941">
        <v>115</v>
      </c>
      <c r="Q72" s="942">
        <f t="shared" si="20"/>
        <v>14610</v>
      </c>
      <c r="R72" s="940">
        <v>4195</v>
      </c>
      <c r="S72" s="941">
        <v>101</v>
      </c>
      <c r="T72" s="941">
        <v>7</v>
      </c>
      <c r="U72" s="942">
        <f t="shared" si="21"/>
        <v>4303</v>
      </c>
      <c r="V72" s="281"/>
      <c r="W72" s="951">
        <f t="shared" si="22"/>
        <v>0.96773520327239337</v>
      </c>
      <c r="X72" s="952">
        <f t="shared" si="23"/>
        <v>2.5502963519492446E-2</v>
      </c>
      <c r="Y72" s="953">
        <f t="shared" si="24"/>
        <v>6.7618332081141996E-3</v>
      </c>
      <c r="Z72" s="951">
        <f t="shared" si="25"/>
        <v>0.21057684280824776</v>
      </c>
      <c r="AA72" s="952">
        <f t="shared" si="26"/>
        <v>0.60981718006511398</v>
      </c>
      <c r="AB72" s="953">
        <f t="shared" si="27"/>
        <v>0.17960597712663828</v>
      </c>
      <c r="AC72" s="281"/>
      <c r="AD72" s="940">
        <v>32</v>
      </c>
      <c r="AE72" s="941">
        <v>8</v>
      </c>
      <c r="AF72" s="942">
        <v>144</v>
      </c>
      <c r="AG72" s="940">
        <v>80</v>
      </c>
      <c r="AH72" s="941">
        <v>35</v>
      </c>
      <c r="AI72" s="942">
        <v>217</v>
      </c>
      <c r="AJ72" s="940">
        <v>3</v>
      </c>
      <c r="AK72" s="941">
        <v>4</v>
      </c>
      <c r="AL72" s="942">
        <v>27</v>
      </c>
      <c r="AM72" s="940">
        <f t="shared" si="28"/>
        <v>115</v>
      </c>
      <c r="AN72" s="941">
        <f t="shared" si="29"/>
        <v>47</v>
      </c>
      <c r="AO72" s="942">
        <f t="shared" si="30"/>
        <v>388</v>
      </c>
      <c r="AQ72" s="282">
        <f t="shared" si="31"/>
        <v>1.6195007930545121E-2</v>
      </c>
    </row>
    <row r="73" spans="1:43">
      <c r="A73" s="280" t="s">
        <v>175</v>
      </c>
      <c r="B73" s="280" t="s">
        <v>176</v>
      </c>
      <c r="C73" s="280" t="s">
        <v>275</v>
      </c>
      <c r="D73" s="280">
        <v>2</v>
      </c>
      <c r="E73" s="940">
        <v>18390</v>
      </c>
      <c r="F73" s="941">
        <f t="shared" si="16"/>
        <v>17027</v>
      </c>
      <c r="G73" s="941">
        <f t="shared" si="17"/>
        <v>1220</v>
      </c>
      <c r="H73" s="942">
        <f t="shared" si="18"/>
        <v>143</v>
      </c>
      <c r="I73" s="281"/>
      <c r="J73" s="940">
        <v>3124</v>
      </c>
      <c r="K73" s="941">
        <v>297</v>
      </c>
      <c r="L73" s="941">
        <v>39</v>
      </c>
      <c r="M73" s="942">
        <f t="shared" si="19"/>
        <v>3460</v>
      </c>
      <c r="N73" s="940">
        <v>10034</v>
      </c>
      <c r="O73" s="941">
        <v>733</v>
      </c>
      <c r="P73" s="941">
        <v>85</v>
      </c>
      <c r="Q73" s="942">
        <f t="shared" si="20"/>
        <v>10852</v>
      </c>
      <c r="R73" s="940">
        <v>3869</v>
      </c>
      <c r="S73" s="941">
        <v>190</v>
      </c>
      <c r="T73" s="941">
        <v>19</v>
      </c>
      <c r="U73" s="942">
        <f t="shared" si="21"/>
        <v>4078</v>
      </c>
      <c r="V73" s="281"/>
      <c r="W73" s="951">
        <f t="shared" si="22"/>
        <v>0.92588363240891791</v>
      </c>
      <c r="X73" s="952">
        <f t="shared" si="23"/>
        <v>6.6340402392604678E-2</v>
      </c>
      <c r="Y73" s="953">
        <f t="shared" si="24"/>
        <v>7.7759651984774334E-3</v>
      </c>
      <c r="Z73" s="951">
        <f t="shared" si="25"/>
        <v>0.18814573137574769</v>
      </c>
      <c r="AA73" s="952">
        <f t="shared" si="26"/>
        <v>0.59010331702011964</v>
      </c>
      <c r="AB73" s="953">
        <f t="shared" si="27"/>
        <v>0.22175095160413269</v>
      </c>
      <c r="AC73" s="281"/>
      <c r="AD73" s="940">
        <v>22</v>
      </c>
      <c r="AE73" s="941">
        <v>17</v>
      </c>
      <c r="AF73" s="942">
        <v>170</v>
      </c>
      <c r="AG73" s="940">
        <v>40</v>
      </c>
      <c r="AH73" s="941">
        <v>45</v>
      </c>
      <c r="AI73" s="942">
        <v>270</v>
      </c>
      <c r="AJ73" s="940">
        <v>6</v>
      </c>
      <c r="AK73" s="941">
        <v>13</v>
      </c>
      <c r="AL73" s="942">
        <v>28</v>
      </c>
      <c r="AM73" s="940">
        <f t="shared" si="28"/>
        <v>68</v>
      </c>
      <c r="AN73" s="941">
        <f t="shared" si="29"/>
        <v>75</v>
      </c>
      <c r="AO73" s="942">
        <f t="shared" si="30"/>
        <v>468</v>
      </c>
      <c r="AQ73" s="282">
        <f t="shared" si="31"/>
        <v>2.5448613376835235E-2</v>
      </c>
    </row>
    <row r="74" spans="1:43">
      <c r="A74" s="280" t="s">
        <v>179</v>
      </c>
      <c r="B74" s="280" t="s">
        <v>180</v>
      </c>
      <c r="C74" s="280" t="s">
        <v>272</v>
      </c>
      <c r="D74" s="280">
        <v>2</v>
      </c>
      <c r="E74" s="940">
        <v>62844</v>
      </c>
      <c r="F74" s="941">
        <f t="shared" si="16"/>
        <v>48239</v>
      </c>
      <c r="G74" s="941">
        <f t="shared" si="17"/>
        <v>14152</v>
      </c>
      <c r="H74" s="942">
        <f t="shared" si="18"/>
        <v>453</v>
      </c>
      <c r="I74" s="281"/>
      <c r="J74" s="940">
        <v>9943</v>
      </c>
      <c r="K74" s="941">
        <v>3003</v>
      </c>
      <c r="L74" s="941">
        <v>132</v>
      </c>
      <c r="M74" s="942">
        <f t="shared" si="19"/>
        <v>13078</v>
      </c>
      <c r="N74" s="940">
        <v>29493</v>
      </c>
      <c r="O74" s="941">
        <v>8871</v>
      </c>
      <c r="P74" s="941">
        <v>281</v>
      </c>
      <c r="Q74" s="942">
        <f t="shared" si="20"/>
        <v>38645</v>
      </c>
      <c r="R74" s="940">
        <v>8803</v>
      </c>
      <c r="S74" s="941">
        <v>2278</v>
      </c>
      <c r="T74" s="941">
        <v>40</v>
      </c>
      <c r="U74" s="942">
        <f t="shared" si="21"/>
        <v>11121</v>
      </c>
      <c r="V74" s="281"/>
      <c r="W74" s="951">
        <f t="shared" si="22"/>
        <v>0.76759913436445804</v>
      </c>
      <c r="X74" s="952">
        <f t="shared" si="23"/>
        <v>0.22519254025841767</v>
      </c>
      <c r="Y74" s="953">
        <f t="shared" si="24"/>
        <v>7.2083253771243081E-3</v>
      </c>
      <c r="Z74" s="951">
        <f t="shared" si="25"/>
        <v>0.20810260327159316</v>
      </c>
      <c r="AA74" s="952">
        <f t="shared" si="26"/>
        <v>0.61493539558271271</v>
      </c>
      <c r="AB74" s="953">
        <f t="shared" si="27"/>
        <v>0.1769620011456941</v>
      </c>
      <c r="AC74" s="281"/>
      <c r="AD74" s="940">
        <v>82</v>
      </c>
      <c r="AE74" s="941">
        <v>50</v>
      </c>
      <c r="AF74" s="942">
        <v>541</v>
      </c>
      <c r="AG74" s="940">
        <v>176</v>
      </c>
      <c r="AH74" s="941">
        <v>105</v>
      </c>
      <c r="AI74" s="942">
        <v>807</v>
      </c>
      <c r="AJ74" s="940">
        <v>22</v>
      </c>
      <c r="AK74" s="941">
        <v>18</v>
      </c>
      <c r="AL74" s="942">
        <v>65</v>
      </c>
      <c r="AM74" s="940">
        <f t="shared" si="28"/>
        <v>280</v>
      </c>
      <c r="AN74" s="941">
        <f t="shared" si="29"/>
        <v>173</v>
      </c>
      <c r="AO74" s="942">
        <f t="shared" si="30"/>
        <v>1413</v>
      </c>
      <c r="AQ74" s="282">
        <f t="shared" si="31"/>
        <v>2.2484246706129463E-2</v>
      </c>
    </row>
    <row r="75" spans="1:43">
      <c r="A75" s="280" t="s">
        <v>183</v>
      </c>
      <c r="B75" s="280" t="s">
        <v>184</v>
      </c>
      <c r="C75" s="280" t="s">
        <v>273</v>
      </c>
      <c r="D75" s="280">
        <v>1</v>
      </c>
      <c r="E75" s="940">
        <v>28110</v>
      </c>
      <c r="F75" s="941">
        <f t="shared" si="16"/>
        <v>23892</v>
      </c>
      <c r="G75" s="941">
        <f t="shared" si="17"/>
        <v>3964</v>
      </c>
      <c r="H75" s="942">
        <f t="shared" si="18"/>
        <v>254</v>
      </c>
      <c r="I75" s="281"/>
      <c r="J75" s="940">
        <v>5418</v>
      </c>
      <c r="K75" s="941">
        <v>680</v>
      </c>
      <c r="L75" s="941">
        <v>64</v>
      </c>
      <c r="M75" s="942">
        <f t="shared" si="19"/>
        <v>6162</v>
      </c>
      <c r="N75" s="940">
        <v>15289</v>
      </c>
      <c r="O75" s="941">
        <v>2822</v>
      </c>
      <c r="P75" s="941">
        <v>174</v>
      </c>
      <c r="Q75" s="942">
        <f t="shared" si="20"/>
        <v>18285</v>
      </c>
      <c r="R75" s="940">
        <v>3185</v>
      </c>
      <c r="S75" s="941">
        <v>462</v>
      </c>
      <c r="T75" s="941">
        <v>16</v>
      </c>
      <c r="U75" s="942">
        <f t="shared" si="21"/>
        <v>3663</v>
      </c>
      <c r="V75" s="281"/>
      <c r="W75" s="951">
        <f t="shared" si="22"/>
        <v>0.84994663820704375</v>
      </c>
      <c r="X75" s="952">
        <f t="shared" si="23"/>
        <v>0.14101743151903237</v>
      </c>
      <c r="Y75" s="953">
        <f t="shared" si="24"/>
        <v>9.0359302739238707E-3</v>
      </c>
      <c r="Z75" s="951">
        <f t="shared" si="25"/>
        <v>0.21921024546424761</v>
      </c>
      <c r="AA75" s="952">
        <f t="shared" si="26"/>
        <v>0.65048025613660621</v>
      </c>
      <c r="AB75" s="953">
        <f t="shared" si="27"/>
        <v>0.13030949839914621</v>
      </c>
      <c r="AC75" s="281"/>
      <c r="AD75" s="940">
        <v>48</v>
      </c>
      <c r="AE75" s="941">
        <v>16</v>
      </c>
      <c r="AF75" s="942">
        <v>159</v>
      </c>
      <c r="AG75" s="940">
        <v>112</v>
      </c>
      <c r="AH75" s="941">
        <v>62</v>
      </c>
      <c r="AI75" s="942">
        <v>340</v>
      </c>
      <c r="AJ75" s="940">
        <v>11</v>
      </c>
      <c r="AK75" s="941">
        <v>5</v>
      </c>
      <c r="AL75" s="942">
        <v>25</v>
      </c>
      <c r="AM75" s="940">
        <f t="shared" si="28"/>
        <v>171</v>
      </c>
      <c r="AN75" s="941">
        <f t="shared" si="29"/>
        <v>83</v>
      </c>
      <c r="AO75" s="942">
        <f t="shared" si="30"/>
        <v>524</v>
      </c>
      <c r="AQ75" s="282">
        <f t="shared" si="31"/>
        <v>1.864105300604767E-2</v>
      </c>
    </row>
    <row r="76" spans="1:43">
      <c r="A76" s="280" t="s">
        <v>185</v>
      </c>
      <c r="B76" s="280" t="s">
        <v>186</v>
      </c>
      <c r="C76" s="280" t="s">
        <v>273</v>
      </c>
      <c r="D76" s="280">
        <v>2</v>
      </c>
      <c r="E76" s="940">
        <v>23343</v>
      </c>
      <c r="F76" s="941">
        <f t="shared" si="16"/>
        <v>15089</v>
      </c>
      <c r="G76" s="941">
        <f t="shared" si="17"/>
        <v>7894</v>
      </c>
      <c r="H76" s="942">
        <f t="shared" si="18"/>
        <v>360</v>
      </c>
      <c r="I76" s="281"/>
      <c r="J76" s="940">
        <v>2143</v>
      </c>
      <c r="K76" s="941">
        <v>1773</v>
      </c>
      <c r="L76" s="941">
        <v>76</v>
      </c>
      <c r="M76" s="942">
        <f t="shared" si="19"/>
        <v>3992</v>
      </c>
      <c r="N76" s="940">
        <v>10760</v>
      </c>
      <c r="O76" s="941">
        <v>5010</v>
      </c>
      <c r="P76" s="941">
        <v>266</v>
      </c>
      <c r="Q76" s="942">
        <f t="shared" si="20"/>
        <v>16036</v>
      </c>
      <c r="R76" s="940">
        <v>2186</v>
      </c>
      <c r="S76" s="941">
        <v>1111</v>
      </c>
      <c r="T76" s="941">
        <v>18</v>
      </c>
      <c r="U76" s="942">
        <f t="shared" si="21"/>
        <v>3315</v>
      </c>
      <c r="V76" s="281"/>
      <c r="W76" s="951">
        <f t="shared" si="22"/>
        <v>0.64640363278070512</v>
      </c>
      <c r="X76" s="952">
        <f t="shared" si="23"/>
        <v>0.33817418498050805</v>
      </c>
      <c r="Y76" s="953">
        <f t="shared" si="24"/>
        <v>1.5422182238786789E-2</v>
      </c>
      <c r="Z76" s="951">
        <f t="shared" si="25"/>
        <v>0.17101486527010237</v>
      </c>
      <c r="AA76" s="952">
        <f t="shared" si="26"/>
        <v>0.68697253994773588</v>
      </c>
      <c r="AB76" s="953">
        <f t="shared" si="27"/>
        <v>0.14201259478216169</v>
      </c>
      <c r="AC76" s="281"/>
      <c r="AD76" s="940">
        <v>67</v>
      </c>
      <c r="AE76" s="941">
        <v>9</v>
      </c>
      <c r="AF76" s="942">
        <v>138</v>
      </c>
      <c r="AG76" s="940">
        <v>200</v>
      </c>
      <c r="AH76" s="941">
        <v>66</v>
      </c>
      <c r="AI76" s="942">
        <v>387</v>
      </c>
      <c r="AJ76" s="940">
        <v>12</v>
      </c>
      <c r="AK76" s="941">
        <v>6</v>
      </c>
      <c r="AL76" s="942">
        <v>19</v>
      </c>
      <c r="AM76" s="940">
        <f t="shared" si="28"/>
        <v>279</v>
      </c>
      <c r="AN76" s="941">
        <f t="shared" si="29"/>
        <v>81</v>
      </c>
      <c r="AO76" s="942">
        <f t="shared" si="30"/>
        <v>544</v>
      </c>
      <c r="AQ76" s="282">
        <f t="shared" si="31"/>
        <v>2.3304630938611147E-2</v>
      </c>
    </row>
    <row r="77" spans="1:43">
      <c r="A77" s="280" t="s">
        <v>187</v>
      </c>
      <c r="B77" s="280" t="s">
        <v>188</v>
      </c>
      <c r="C77" s="280" t="s">
        <v>271</v>
      </c>
      <c r="D77" s="280">
        <v>2</v>
      </c>
      <c r="E77" s="940">
        <v>36555</v>
      </c>
      <c r="F77" s="941">
        <f t="shared" si="16"/>
        <v>23223</v>
      </c>
      <c r="G77" s="941">
        <f t="shared" si="17"/>
        <v>12207</v>
      </c>
      <c r="H77" s="942">
        <f t="shared" si="18"/>
        <v>1125</v>
      </c>
      <c r="I77" s="281"/>
      <c r="J77" s="940">
        <v>5201</v>
      </c>
      <c r="K77" s="941">
        <v>2736</v>
      </c>
      <c r="L77" s="941">
        <v>284</v>
      </c>
      <c r="M77" s="942">
        <f t="shared" si="19"/>
        <v>8221</v>
      </c>
      <c r="N77" s="940">
        <v>15052</v>
      </c>
      <c r="O77" s="941">
        <v>8650</v>
      </c>
      <c r="P77" s="941">
        <v>748</v>
      </c>
      <c r="Q77" s="942">
        <f t="shared" si="20"/>
        <v>24450</v>
      </c>
      <c r="R77" s="940">
        <v>2970</v>
      </c>
      <c r="S77" s="941">
        <v>821</v>
      </c>
      <c r="T77" s="941">
        <v>93</v>
      </c>
      <c r="U77" s="942">
        <f t="shared" si="21"/>
        <v>3884</v>
      </c>
      <c r="V77" s="281"/>
      <c r="W77" s="951">
        <f t="shared" si="22"/>
        <v>0.63528929011079194</v>
      </c>
      <c r="X77" s="952">
        <f t="shared" si="23"/>
        <v>0.33393516618793601</v>
      </c>
      <c r="Y77" s="953">
        <f t="shared" si="24"/>
        <v>3.0775543701272057E-2</v>
      </c>
      <c r="Z77" s="951">
        <f t="shared" si="25"/>
        <v>0.22489399534947341</v>
      </c>
      <c r="AA77" s="952">
        <f t="shared" si="26"/>
        <v>0.66885514977431271</v>
      </c>
      <c r="AB77" s="953">
        <f t="shared" si="27"/>
        <v>0.10625085487621393</v>
      </c>
      <c r="AC77" s="281"/>
      <c r="AD77" s="940">
        <v>222</v>
      </c>
      <c r="AE77" s="941">
        <v>62</v>
      </c>
      <c r="AF77" s="942">
        <v>739</v>
      </c>
      <c r="AG77" s="940">
        <v>551</v>
      </c>
      <c r="AH77" s="941">
        <v>197</v>
      </c>
      <c r="AI77" s="942">
        <v>1603</v>
      </c>
      <c r="AJ77" s="940">
        <v>83</v>
      </c>
      <c r="AK77" s="941">
        <v>10</v>
      </c>
      <c r="AL77" s="942">
        <v>42</v>
      </c>
      <c r="AM77" s="940">
        <f t="shared" si="28"/>
        <v>856</v>
      </c>
      <c r="AN77" s="941">
        <f t="shared" si="29"/>
        <v>269</v>
      </c>
      <c r="AO77" s="942">
        <f t="shared" si="30"/>
        <v>2384</v>
      </c>
      <c r="AQ77" s="282">
        <f t="shared" si="31"/>
        <v>6.521679660785118E-2</v>
      </c>
    </row>
    <row r="78" spans="1:43">
      <c r="A78" s="280" t="s">
        <v>189</v>
      </c>
      <c r="B78" s="280" t="s">
        <v>190</v>
      </c>
      <c r="C78" s="280" t="s">
        <v>274</v>
      </c>
      <c r="D78" s="280">
        <v>3</v>
      </c>
      <c r="E78" s="940">
        <v>419006</v>
      </c>
      <c r="F78" s="941">
        <f t="shared" si="16"/>
        <v>282465</v>
      </c>
      <c r="G78" s="941">
        <f t="shared" si="17"/>
        <v>94536</v>
      </c>
      <c r="H78" s="942">
        <f t="shared" si="18"/>
        <v>42005</v>
      </c>
      <c r="I78" s="281"/>
      <c r="J78" s="940">
        <v>77438</v>
      </c>
      <c r="K78" s="941">
        <v>29816</v>
      </c>
      <c r="L78" s="941">
        <v>12151</v>
      </c>
      <c r="M78" s="942">
        <f t="shared" si="19"/>
        <v>119405</v>
      </c>
      <c r="N78" s="940">
        <v>181856</v>
      </c>
      <c r="O78" s="941">
        <v>60770</v>
      </c>
      <c r="P78" s="941">
        <v>27139</v>
      </c>
      <c r="Q78" s="942">
        <f t="shared" si="20"/>
        <v>269765</v>
      </c>
      <c r="R78" s="940">
        <v>23171</v>
      </c>
      <c r="S78" s="941">
        <v>3950</v>
      </c>
      <c r="T78" s="941">
        <v>2715</v>
      </c>
      <c r="U78" s="942">
        <f t="shared" si="21"/>
        <v>29836</v>
      </c>
      <c r="V78" s="281"/>
      <c r="W78" s="951">
        <f t="shared" si="22"/>
        <v>0.67413115802637669</v>
      </c>
      <c r="X78" s="952">
        <f t="shared" si="23"/>
        <v>0.22561968086375853</v>
      </c>
      <c r="Y78" s="953">
        <f t="shared" si="24"/>
        <v>0.10024916110986477</v>
      </c>
      <c r="Z78" s="951">
        <f t="shared" si="25"/>
        <v>0.28497205290616362</v>
      </c>
      <c r="AA78" s="952">
        <f t="shared" si="26"/>
        <v>0.64382132952750082</v>
      </c>
      <c r="AB78" s="953">
        <f t="shared" si="27"/>
        <v>7.1206617566335562E-2</v>
      </c>
      <c r="AC78" s="281"/>
      <c r="AD78" s="940">
        <v>10444</v>
      </c>
      <c r="AE78" s="941">
        <v>1707</v>
      </c>
      <c r="AF78" s="942">
        <v>30044</v>
      </c>
      <c r="AG78" s="940">
        <v>23933</v>
      </c>
      <c r="AH78" s="941">
        <v>3206</v>
      </c>
      <c r="AI78" s="942">
        <v>53586</v>
      </c>
      <c r="AJ78" s="940">
        <v>2557</v>
      </c>
      <c r="AK78" s="941">
        <v>158</v>
      </c>
      <c r="AL78" s="942">
        <v>2113</v>
      </c>
      <c r="AM78" s="940">
        <f t="shared" si="28"/>
        <v>36934</v>
      </c>
      <c r="AN78" s="941">
        <f t="shared" si="29"/>
        <v>5071</v>
      </c>
      <c r="AO78" s="942">
        <f t="shared" si="30"/>
        <v>85743</v>
      </c>
      <c r="AQ78" s="282">
        <f t="shared" si="31"/>
        <v>0.20463430117945805</v>
      </c>
    </row>
    <row r="79" spans="1:43">
      <c r="A79" s="280" t="s">
        <v>191</v>
      </c>
      <c r="B79" s="280" t="s">
        <v>192</v>
      </c>
      <c r="C79" s="280" t="s">
        <v>275</v>
      </c>
      <c r="D79" s="280">
        <v>2</v>
      </c>
      <c r="E79" s="940">
        <v>34607</v>
      </c>
      <c r="F79" s="941">
        <f t="shared" si="16"/>
        <v>32347</v>
      </c>
      <c r="G79" s="941">
        <f t="shared" si="17"/>
        <v>1986</v>
      </c>
      <c r="H79" s="942">
        <f t="shared" si="18"/>
        <v>274</v>
      </c>
      <c r="I79" s="281"/>
      <c r="J79" s="940">
        <v>6080</v>
      </c>
      <c r="K79" s="941">
        <v>513</v>
      </c>
      <c r="L79" s="941">
        <v>62</v>
      </c>
      <c r="M79" s="942">
        <f t="shared" si="19"/>
        <v>6655</v>
      </c>
      <c r="N79" s="940">
        <v>20204</v>
      </c>
      <c r="O79" s="941">
        <v>1213</v>
      </c>
      <c r="P79" s="941">
        <v>179</v>
      </c>
      <c r="Q79" s="942">
        <f t="shared" si="20"/>
        <v>21596</v>
      </c>
      <c r="R79" s="940">
        <v>6063</v>
      </c>
      <c r="S79" s="941">
        <v>260</v>
      </c>
      <c r="T79" s="941">
        <v>33</v>
      </c>
      <c r="U79" s="942">
        <f t="shared" si="21"/>
        <v>6356</v>
      </c>
      <c r="V79" s="281"/>
      <c r="W79" s="951">
        <f t="shared" si="22"/>
        <v>0.934695292859826</v>
      </c>
      <c r="X79" s="952">
        <f t="shared" si="23"/>
        <v>5.7387233796630736E-2</v>
      </c>
      <c r="Y79" s="953">
        <f t="shared" si="24"/>
        <v>7.9174733435432142E-3</v>
      </c>
      <c r="Z79" s="951">
        <f t="shared" si="25"/>
        <v>0.1923021354061317</v>
      </c>
      <c r="AA79" s="952">
        <f t="shared" si="26"/>
        <v>0.62403559973415779</v>
      </c>
      <c r="AB79" s="953">
        <f t="shared" si="27"/>
        <v>0.18366226485971046</v>
      </c>
      <c r="AC79" s="281"/>
      <c r="AD79" s="940">
        <v>47</v>
      </c>
      <c r="AE79" s="941">
        <v>15</v>
      </c>
      <c r="AF79" s="942">
        <v>175</v>
      </c>
      <c r="AG79" s="940">
        <v>131</v>
      </c>
      <c r="AH79" s="941">
        <v>48</v>
      </c>
      <c r="AI79" s="942">
        <v>264</v>
      </c>
      <c r="AJ79" s="940">
        <v>24</v>
      </c>
      <c r="AK79" s="941">
        <v>9</v>
      </c>
      <c r="AL79" s="942">
        <v>32</v>
      </c>
      <c r="AM79" s="940">
        <f t="shared" si="28"/>
        <v>202</v>
      </c>
      <c r="AN79" s="941">
        <f t="shared" si="29"/>
        <v>72</v>
      </c>
      <c r="AO79" s="942">
        <f t="shared" si="30"/>
        <v>471</v>
      </c>
      <c r="AQ79" s="282">
        <f t="shared" si="31"/>
        <v>1.3609963302222094E-2</v>
      </c>
    </row>
    <row r="80" spans="1:43">
      <c r="A80" s="280" t="s">
        <v>195</v>
      </c>
      <c r="B80" s="280" t="s">
        <v>196</v>
      </c>
      <c r="C80" s="280" t="s">
        <v>274</v>
      </c>
      <c r="D80" s="280">
        <v>1</v>
      </c>
      <c r="E80" s="940">
        <v>7444</v>
      </c>
      <c r="F80" s="941">
        <f t="shared" si="16"/>
        <v>6963</v>
      </c>
      <c r="G80" s="941">
        <f t="shared" si="17"/>
        <v>414</v>
      </c>
      <c r="H80" s="942">
        <f t="shared" si="18"/>
        <v>67</v>
      </c>
      <c r="I80" s="281"/>
      <c r="J80" s="940">
        <v>1327</v>
      </c>
      <c r="K80" s="941">
        <v>109</v>
      </c>
      <c r="L80" s="941">
        <v>8</v>
      </c>
      <c r="M80" s="942">
        <f t="shared" si="19"/>
        <v>1444</v>
      </c>
      <c r="N80" s="940">
        <v>4278</v>
      </c>
      <c r="O80" s="941">
        <v>223</v>
      </c>
      <c r="P80" s="941">
        <v>46</v>
      </c>
      <c r="Q80" s="942">
        <f t="shared" si="20"/>
        <v>4547</v>
      </c>
      <c r="R80" s="940">
        <v>1358</v>
      </c>
      <c r="S80" s="941">
        <v>82</v>
      </c>
      <c r="T80" s="941">
        <v>13</v>
      </c>
      <c r="U80" s="942">
        <f t="shared" si="21"/>
        <v>1453</v>
      </c>
      <c r="V80" s="281"/>
      <c r="W80" s="951">
        <f t="shared" si="22"/>
        <v>0.93538420204191297</v>
      </c>
      <c r="X80" s="952">
        <f t="shared" si="23"/>
        <v>5.5615260612573887E-2</v>
      </c>
      <c r="Y80" s="953">
        <f t="shared" si="24"/>
        <v>9.0005373455131644E-3</v>
      </c>
      <c r="Z80" s="951">
        <f t="shared" si="25"/>
        <v>0.19398173025255239</v>
      </c>
      <c r="AA80" s="952">
        <f t="shared" si="26"/>
        <v>0.61082751209027408</v>
      </c>
      <c r="AB80" s="953">
        <f t="shared" si="27"/>
        <v>0.19519075765717356</v>
      </c>
      <c r="AC80" s="281"/>
      <c r="AD80" s="940">
        <v>6</v>
      </c>
      <c r="AE80" s="941">
        <v>2</v>
      </c>
      <c r="AF80" s="942">
        <v>82</v>
      </c>
      <c r="AG80" s="940">
        <v>32</v>
      </c>
      <c r="AH80" s="941">
        <v>14</v>
      </c>
      <c r="AI80" s="942">
        <v>143</v>
      </c>
      <c r="AJ80" s="940">
        <v>11</v>
      </c>
      <c r="AK80" s="941">
        <v>2</v>
      </c>
      <c r="AL80" s="942">
        <v>18</v>
      </c>
      <c r="AM80" s="940">
        <f t="shared" si="28"/>
        <v>49</v>
      </c>
      <c r="AN80" s="941">
        <f t="shared" si="29"/>
        <v>18</v>
      </c>
      <c r="AO80" s="942">
        <f t="shared" si="30"/>
        <v>243</v>
      </c>
      <c r="AQ80" s="282">
        <f t="shared" si="31"/>
        <v>3.2643739924771625E-2</v>
      </c>
    </row>
    <row r="81" spans="1:43">
      <c r="A81" s="280" t="s">
        <v>199</v>
      </c>
      <c r="B81" s="280" t="s">
        <v>200</v>
      </c>
      <c r="C81" s="280" t="s">
        <v>273</v>
      </c>
      <c r="D81" s="280">
        <v>1</v>
      </c>
      <c r="E81" s="940">
        <v>9220</v>
      </c>
      <c r="F81" s="941">
        <f t="shared" si="16"/>
        <v>6225</v>
      </c>
      <c r="G81" s="941">
        <f t="shared" si="17"/>
        <v>2906</v>
      </c>
      <c r="H81" s="942">
        <f t="shared" si="18"/>
        <v>89</v>
      </c>
      <c r="I81" s="281"/>
      <c r="J81" s="940">
        <v>1085</v>
      </c>
      <c r="K81" s="941">
        <v>446</v>
      </c>
      <c r="L81" s="941">
        <v>23</v>
      </c>
      <c r="M81" s="942">
        <f t="shared" si="19"/>
        <v>1554</v>
      </c>
      <c r="N81" s="940">
        <v>3812</v>
      </c>
      <c r="O81" s="941">
        <v>2086</v>
      </c>
      <c r="P81" s="941">
        <v>56</v>
      </c>
      <c r="Q81" s="942">
        <f t="shared" si="20"/>
        <v>5954</v>
      </c>
      <c r="R81" s="940">
        <v>1328</v>
      </c>
      <c r="S81" s="941">
        <v>374</v>
      </c>
      <c r="T81" s="941">
        <v>10</v>
      </c>
      <c r="U81" s="942">
        <f t="shared" si="21"/>
        <v>1712</v>
      </c>
      <c r="V81" s="281"/>
      <c r="W81" s="951">
        <f t="shared" si="22"/>
        <v>0.67516268980477223</v>
      </c>
      <c r="X81" s="952">
        <f t="shared" si="23"/>
        <v>0.31518438177874186</v>
      </c>
      <c r="Y81" s="953">
        <f t="shared" si="24"/>
        <v>9.6529284164858994E-3</v>
      </c>
      <c r="Z81" s="951">
        <f t="shared" si="25"/>
        <v>0.16854663774403469</v>
      </c>
      <c r="AA81" s="952">
        <f t="shared" si="26"/>
        <v>0.64577006507592194</v>
      </c>
      <c r="AB81" s="953">
        <f t="shared" si="27"/>
        <v>0.18568329718004339</v>
      </c>
      <c r="AC81" s="281"/>
      <c r="AD81" s="940">
        <v>14</v>
      </c>
      <c r="AE81" s="941">
        <v>9</v>
      </c>
      <c r="AF81" s="942">
        <v>157</v>
      </c>
      <c r="AG81" s="940">
        <v>34</v>
      </c>
      <c r="AH81" s="941">
        <v>22</v>
      </c>
      <c r="AI81" s="942">
        <v>356</v>
      </c>
      <c r="AJ81" s="940">
        <v>5</v>
      </c>
      <c r="AK81" s="941">
        <v>5</v>
      </c>
      <c r="AL81" s="942">
        <v>20</v>
      </c>
      <c r="AM81" s="940">
        <f t="shared" si="28"/>
        <v>53</v>
      </c>
      <c r="AN81" s="941">
        <f t="shared" si="29"/>
        <v>36</v>
      </c>
      <c r="AO81" s="942">
        <f t="shared" si="30"/>
        <v>533</v>
      </c>
      <c r="AQ81" s="282">
        <f t="shared" si="31"/>
        <v>5.7809110629067247E-2</v>
      </c>
    </row>
    <row r="82" spans="1:43">
      <c r="A82" s="280" t="s">
        <v>203</v>
      </c>
      <c r="B82" s="280" t="s">
        <v>204</v>
      </c>
      <c r="C82" s="280" t="s">
        <v>272</v>
      </c>
      <c r="D82" s="280">
        <v>3</v>
      </c>
      <c r="E82" s="940">
        <v>117701</v>
      </c>
      <c r="F82" s="941">
        <f t="shared" si="16"/>
        <v>106819</v>
      </c>
      <c r="G82" s="941">
        <f t="shared" si="17"/>
        <v>7395</v>
      </c>
      <c r="H82" s="942">
        <f t="shared" si="18"/>
        <v>3487</v>
      </c>
      <c r="I82" s="281"/>
      <c r="J82" s="940">
        <v>21405</v>
      </c>
      <c r="K82" s="941">
        <v>2266</v>
      </c>
      <c r="L82" s="941">
        <v>986</v>
      </c>
      <c r="M82" s="942">
        <f t="shared" si="19"/>
        <v>24657</v>
      </c>
      <c r="N82" s="940">
        <v>65655</v>
      </c>
      <c r="O82" s="941">
        <v>4414</v>
      </c>
      <c r="P82" s="941">
        <v>2275</v>
      </c>
      <c r="Q82" s="942">
        <f t="shared" si="20"/>
        <v>72344</v>
      </c>
      <c r="R82" s="940">
        <v>19759</v>
      </c>
      <c r="S82" s="941">
        <v>715</v>
      </c>
      <c r="T82" s="941">
        <v>226</v>
      </c>
      <c r="U82" s="942">
        <f t="shared" si="21"/>
        <v>20700</v>
      </c>
      <c r="V82" s="281"/>
      <c r="W82" s="951">
        <f t="shared" si="22"/>
        <v>0.90754539043848392</v>
      </c>
      <c r="X82" s="952">
        <f t="shared" si="23"/>
        <v>6.2828693044239214E-2</v>
      </c>
      <c r="Y82" s="953">
        <f t="shared" si="24"/>
        <v>2.9625916517276828E-2</v>
      </c>
      <c r="Z82" s="951">
        <f t="shared" si="25"/>
        <v>0.20948844954588322</v>
      </c>
      <c r="AA82" s="952">
        <f t="shared" si="26"/>
        <v>0.61464218655746339</v>
      </c>
      <c r="AB82" s="953">
        <f t="shared" si="27"/>
        <v>0.17586936389665339</v>
      </c>
      <c r="AC82" s="281"/>
      <c r="AD82" s="940">
        <v>931</v>
      </c>
      <c r="AE82" s="941">
        <v>55</v>
      </c>
      <c r="AF82" s="942">
        <v>1001</v>
      </c>
      <c r="AG82" s="940">
        <v>2099</v>
      </c>
      <c r="AH82" s="941">
        <v>176</v>
      </c>
      <c r="AI82" s="942">
        <v>1628</v>
      </c>
      <c r="AJ82" s="940">
        <v>209</v>
      </c>
      <c r="AK82" s="941">
        <v>17</v>
      </c>
      <c r="AL82" s="942">
        <v>114</v>
      </c>
      <c r="AM82" s="940">
        <f t="shared" si="28"/>
        <v>3239</v>
      </c>
      <c r="AN82" s="941">
        <f t="shared" si="29"/>
        <v>248</v>
      </c>
      <c r="AO82" s="942">
        <f t="shared" si="30"/>
        <v>2743</v>
      </c>
      <c r="AQ82" s="282">
        <f t="shared" si="31"/>
        <v>2.3304814742440592E-2</v>
      </c>
    </row>
    <row r="83" spans="1:43">
      <c r="A83" s="280" t="s">
        <v>205</v>
      </c>
      <c r="B83" s="280" t="s">
        <v>206</v>
      </c>
      <c r="C83" s="280" t="s">
        <v>272</v>
      </c>
      <c r="D83" s="280">
        <v>2</v>
      </c>
      <c r="E83" s="940">
        <v>36006</v>
      </c>
      <c r="F83" s="941">
        <f t="shared" si="16"/>
        <v>33560</v>
      </c>
      <c r="G83" s="941">
        <f t="shared" si="17"/>
        <v>1859</v>
      </c>
      <c r="H83" s="942">
        <f t="shared" si="18"/>
        <v>587</v>
      </c>
      <c r="I83" s="281"/>
      <c r="J83" s="940">
        <v>5673</v>
      </c>
      <c r="K83" s="941">
        <v>426</v>
      </c>
      <c r="L83" s="941">
        <v>108</v>
      </c>
      <c r="M83" s="942">
        <f t="shared" si="19"/>
        <v>6207</v>
      </c>
      <c r="N83" s="940">
        <v>21255</v>
      </c>
      <c r="O83" s="941">
        <v>1145</v>
      </c>
      <c r="P83" s="941">
        <v>438</v>
      </c>
      <c r="Q83" s="942">
        <f t="shared" si="20"/>
        <v>22838</v>
      </c>
      <c r="R83" s="940">
        <v>6632</v>
      </c>
      <c r="S83" s="941">
        <v>288</v>
      </c>
      <c r="T83" s="941">
        <v>41</v>
      </c>
      <c r="U83" s="942">
        <f t="shared" si="21"/>
        <v>6961</v>
      </c>
      <c r="V83" s="281"/>
      <c r="W83" s="951">
        <f t="shared" si="22"/>
        <v>0.93206687774259844</v>
      </c>
      <c r="X83" s="952">
        <f t="shared" si="23"/>
        <v>5.1630283841581956E-2</v>
      </c>
      <c r="Y83" s="953">
        <f t="shared" si="24"/>
        <v>1.6302838415819587E-2</v>
      </c>
      <c r="Z83" s="951">
        <f t="shared" si="25"/>
        <v>0.17238793534410932</v>
      </c>
      <c r="AA83" s="952">
        <f t="shared" si="26"/>
        <v>0.63428317502638454</v>
      </c>
      <c r="AB83" s="953">
        <f t="shared" si="27"/>
        <v>0.1933288896295062</v>
      </c>
      <c r="AC83" s="281"/>
      <c r="AD83" s="940">
        <v>56</v>
      </c>
      <c r="AE83" s="941">
        <v>52</v>
      </c>
      <c r="AF83" s="942">
        <v>195</v>
      </c>
      <c r="AG83" s="940">
        <v>312</v>
      </c>
      <c r="AH83" s="941">
        <v>126</v>
      </c>
      <c r="AI83" s="942">
        <v>487</v>
      </c>
      <c r="AJ83" s="940">
        <v>14</v>
      </c>
      <c r="AK83" s="941">
        <v>27</v>
      </c>
      <c r="AL83" s="942">
        <v>41</v>
      </c>
      <c r="AM83" s="940">
        <f t="shared" si="28"/>
        <v>382</v>
      </c>
      <c r="AN83" s="941">
        <f t="shared" si="29"/>
        <v>205</v>
      </c>
      <c r="AO83" s="942">
        <f t="shared" si="30"/>
        <v>723</v>
      </c>
      <c r="AQ83" s="282">
        <f t="shared" si="31"/>
        <v>2.0079986668888519E-2</v>
      </c>
    </row>
    <row r="84" spans="1:43">
      <c r="A84" s="280" t="s">
        <v>207</v>
      </c>
      <c r="B84" s="280" t="s">
        <v>208</v>
      </c>
      <c r="C84" s="280" t="s">
        <v>274</v>
      </c>
      <c r="D84" s="280">
        <v>3</v>
      </c>
      <c r="E84" s="940">
        <v>126562</v>
      </c>
      <c r="F84" s="941">
        <f t="shared" si="16"/>
        <v>117045</v>
      </c>
      <c r="G84" s="941">
        <f t="shared" si="17"/>
        <v>5849</v>
      </c>
      <c r="H84" s="942">
        <f t="shared" si="18"/>
        <v>3668</v>
      </c>
      <c r="I84" s="281"/>
      <c r="J84" s="940">
        <v>22866</v>
      </c>
      <c r="K84" s="941">
        <v>1710</v>
      </c>
      <c r="L84" s="941">
        <v>770</v>
      </c>
      <c r="M84" s="942">
        <f t="shared" si="19"/>
        <v>25346</v>
      </c>
      <c r="N84" s="940">
        <v>78257</v>
      </c>
      <c r="O84" s="941">
        <v>3851</v>
      </c>
      <c r="P84" s="941">
        <v>2773</v>
      </c>
      <c r="Q84" s="942">
        <f t="shared" si="20"/>
        <v>84881</v>
      </c>
      <c r="R84" s="940">
        <v>15922</v>
      </c>
      <c r="S84" s="941">
        <v>288</v>
      </c>
      <c r="T84" s="941">
        <v>125</v>
      </c>
      <c r="U84" s="942">
        <f t="shared" si="21"/>
        <v>16335</v>
      </c>
      <c r="V84" s="281"/>
      <c r="W84" s="951">
        <f t="shared" si="22"/>
        <v>0.92480365354529792</v>
      </c>
      <c r="X84" s="952">
        <f t="shared" si="23"/>
        <v>4.6214503563470871E-2</v>
      </c>
      <c r="Y84" s="953">
        <f t="shared" si="24"/>
        <v>2.8981842891231176E-2</v>
      </c>
      <c r="Z84" s="951">
        <f t="shared" si="25"/>
        <v>0.20026548253030135</v>
      </c>
      <c r="AA84" s="952">
        <f t="shared" si="26"/>
        <v>0.6706673409080135</v>
      </c>
      <c r="AB84" s="953">
        <f t="shared" si="27"/>
        <v>0.12906717656168518</v>
      </c>
      <c r="AC84" s="281"/>
      <c r="AD84" s="940">
        <v>522</v>
      </c>
      <c r="AE84" s="941">
        <v>248</v>
      </c>
      <c r="AF84" s="942">
        <v>4417</v>
      </c>
      <c r="AG84" s="940">
        <v>2238</v>
      </c>
      <c r="AH84" s="941">
        <v>535</v>
      </c>
      <c r="AI84" s="942">
        <v>7689</v>
      </c>
      <c r="AJ84" s="940">
        <v>103</v>
      </c>
      <c r="AK84" s="941">
        <v>22</v>
      </c>
      <c r="AL84" s="942">
        <v>215</v>
      </c>
      <c r="AM84" s="940">
        <f t="shared" si="28"/>
        <v>2863</v>
      </c>
      <c r="AN84" s="941">
        <f t="shared" si="29"/>
        <v>805</v>
      </c>
      <c r="AO84" s="942">
        <f t="shared" si="30"/>
        <v>12321</v>
      </c>
      <c r="AQ84" s="282">
        <f t="shared" si="31"/>
        <v>9.7351495709612684E-2</v>
      </c>
    </row>
    <row r="85" spans="1:43">
      <c r="A85" s="280" t="s">
        <v>209</v>
      </c>
      <c r="B85" s="280" t="s">
        <v>210</v>
      </c>
      <c r="C85" s="280" t="s">
        <v>275</v>
      </c>
      <c r="D85" s="280">
        <v>2</v>
      </c>
      <c r="E85" s="940">
        <v>28749</v>
      </c>
      <c r="F85" s="941">
        <f t="shared" si="16"/>
        <v>28288</v>
      </c>
      <c r="G85" s="941">
        <f t="shared" si="17"/>
        <v>345</v>
      </c>
      <c r="H85" s="942">
        <f t="shared" si="18"/>
        <v>116</v>
      </c>
      <c r="I85" s="281"/>
      <c r="J85" s="940">
        <v>5630</v>
      </c>
      <c r="K85" s="941">
        <v>98</v>
      </c>
      <c r="L85" s="941">
        <v>24</v>
      </c>
      <c r="M85" s="942">
        <f t="shared" si="19"/>
        <v>5752</v>
      </c>
      <c r="N85" s="940">
        <v>17907</v>
      </c>
      <c r="O85" s="941">
        <v>188</v>
      </c>
      <c r="P85" s="941">
        <v>74</v>
      </c>
      <c r="Q85" s="942">
        <f t="shared" si="20"/>
        <v>18169</v>
      </c>
      <c r="R85" s="940">
        <v>4751</v>
      </c>
      <c r="S85" s="941">
        <v>59</v>
      </c>
      <c r="T85" s="941">
        <v>18</v>
      </c>
      <c r="U85" s="942">
        <f t="shared" si="21"/>
        <v>4828</v>
      </c>
      <c r="V85" s="281"/>
      <c r="W85" s="951">
        <f t="shared" si="22"/>
        <v>0.9839646596403353</v>
      </c>
      <c r="X85" s="952">
        <f t="shared" si="23"/>
        <v>1.200041740582281E-2</v>
      </c>
      <c r="Y85" s="953">
        <f t="shared" si="24"/>
        <v>4.0349229538418725E-3</v>
      </c>
      <c r="Z85" s="951">
        <f t="shared" si="25"/>
        <v>0.20007652440084872</v>
      </c>
      <c r="AA85" s="952">
        <f t="shared" si="26"/>
        <v>0.63198719955476712</v>
      </c>
      <c r="AB85" s="953">
        <f t="shared" si="27"/>
        <v>0.16793627604438416</v>
      </c>
      <c r="AC85" s="281"/>
      <c r="AD85" s="940">
        <v>5</v>
      </c>
      <c r="AE85" s="941">
        <v>19</v>
      </c>
      <c r="AF85" s="942">
        <v>125</v>
      </c>
      <c r="AG85" s="940">
        <v>39</v>
      </c>
      <c r="AH85" s="941">
        <v>35</v>
      </c>
      <c r="AI85" s="942">
        <v>152</v>
      </c>
      <c r="AJ85" s="940">
        <v>10</v>
      </c>
      <c r="AK85" s="941">
        <v>8</v>
      </c>
      <c r="AL85" s="942">
        <v>18</v>
      </c>
      <c r="AM85" s="940">
        <f t="shared" si="28"/>
        <v>54</v>
      </c>
      <c r="AN85" s="941">
        <f t="shared" si="29"/>
        <v>62</v>
      </c>
      <c r="AO85" s="942">
        <f t="shared" si="30"/>
        <v>295</v>
      </c>
      <c r="AQ85" s="282">
        <f t="shared" si="31"/>
        <v>1.0261226477442693E-2</v>
      </c>
    </row>
    <row r="86" spans="1:43">
      <c r="A86" s="280" t="s">
        <v>211</v>
      </c>
      <c r="B86" s="280" t="s">
        <v>212</v>
      </c>
      <c r="C86" s="280" t="s">
        <v>275</v>
      </c>
      <c r="D86" s="280">
        <v>2</v>
      </c>
      <c r="E86" s="940">
        <v>23126</v>
      </c>
      <c r="F86" s="941">
        <f t="shared" si="16"/>
        <v>22812</v>
      </c>
      <c r="G86" s="941">
        <f t="shared" si="17"/>
        <v>207</v>
      </c>
      <c r="H86" s="942">
        <f t="shared" si="18"/>
        <v>107</v>
      </c>
      <c r="I86" s="281"/>
      <c r="J86" s="940">
        <v>4284</v>
      </c>
      <c r="K86" s="941">
        <v>72</v>
      </c>
      <c r="L86" s="941">
        <v>35</v>
      </c>
      <c r="M86" s="942">
        <f t="shared" si="19"/>
        <v>4391</v>
      </c>
      <c r="N86" s="940">
        <v>13757</v>
      </c>
      <c r="O86" s="941">
        <v>102</v>
      </c>
      <c r="P86" s="941">
        <v>59</v>
      </c>
      <c r="Q86" s="942">
        <f t="shared" si="20"/>
        <v>13918</v>
      </c>
      <c r="R86" s="940">
        <v>4771</v>
      </c>
      <c r="S86" s="941">
        <v>33</v>
      </c>
      <c r="T86" s="941">
        <v>13</v>
      </c>
      <c r="U86" s="942">
        <f t="shared" si="21"/>
        <v>4817</v>
      </c>
      <c r="V86" s="281"/>
      <c r="W86" s="951">
        <f t="shared" si="22"/>
        <v>0.98642220876935049</v>
      </c>
      <c r="X86" s="952">
        <f t="shared" si="23"/>
        <v>8.9509642826256161E-3</v>
      </c>
      <c r="Y86" s="953">
        <f t="shared" si="24"/>
        <v>4.6268269480238692E-3</v>
      </c>
      <c r="Z86" s="951">
        <f t="shared" si="25"/>
        <v>0.18987287036236272</v>
      </c>
      <c r="AA86" s="952">
        <f t="shared" si="26"/>
        <v>0.60183343422987112</v>
      </c>
      <c r="AB86" s="953">
        <f t="shared" si="27"/>
        <v>0.20829369540776616</v>
      </c>
      <c r="AC86" s="281"/>
      <c r="AD86" s="940">
        <v>25</v>
      </c>
      <c r="AE86" s="941">
        <v>10</v>
      </c>
      <c r="AF86" s="942">
        <v>104</v>
      </c>
      <c r="AG86" s="940">
        <v>26</v>
      </c>
      <c r="AH86" s="941">
        <v>33</v>
      </c>
      <c r="AI86" s="942">
        <v>131</v>
      </c>
      <c r="AJ86" s="940">
        <v>4</v>
      </c>
      <c r="AK86" s="941">
        <v>9</v>
      </c>
      <c r="AL86" s="942">
        <v>13</v>
      </c>
      <c r="AM86" s="940">
        <f t="shared" si="28"/>
        <v>55</v>
      </c>
      <c r="AN86" s="941">
        <f t="shared" si="29"/>
        <v>52</v>
      </c>
      <c r="AO86" s="942">
        <f t="shared" si="30"/>
        <v>248</v>
      </c>
      <c r="AQ86" s="282">
        <f t="shared" si="31"/>
        <v>1.0723860589812333E-2</v>
      </c>
    </row>
    <row r="87" spans="1:43">
      <c r="A87" s="280" t="s">
        <v>213</v>
      </c>
      <c r="B87" s="280" t="s">
        <v>214</v>
      </c>
      <c r="C87" s="280" t="s">
        <v>274</v>
      </c>
      <c r="D87" s="280">
        <v>2</v>
      </c>
      <c r="E87" s="940">
        <v>42289</v>
      </c>
      <c r="F87" s="941">
        <f t="shared" si="16"/>
        <v>40712</v>
      </c>
      <c r="G87" s="941">
        <f t="shared" si="17"/>
        <v>1108</v>
      </c>
      <c r="H87" s="942">
        <f t="shared" si="18"/>
        <v>469</v>
      </c>
      <c r="I87" s="281"/>
      <c r="J87" s="940">
        <v>8675</v>
      </c>
      <c r="K87" s="941">
        <v>409</v>
      </c>
      <c r="L87" s="941">
        <v>124</v>
      </c>
      <c r="M87" s="942">
        <f t="shared" si="19"/>
        <v>9208</v>
      </c>
      <c r="N87" s="940">
        <v>24145</v>
      </c>
      <c r="O87" s="941">
        <v>588</v>
      </c>
      <c r="P87" s="941">
        <v>302</v>
      </c>
      <c r="Q87" s="942">
        <f t="shared" si="20"/>
        <v>25035</v>
      </c>
      <c r="R87" s="940">
        <v>7892</v>
      </c>
      <c r="S87" s="941">
        <v>111</v>
      </c>
      <c r="T87" s="941">
        <v>43</v>
      </c>
      <c r="U87" s="942">
        <f t="shared" si="21"/>
        <v>8046</v>
      </c>
      <c r="V87" s="281"/>
      <c r="W87" s="951">
        <f t="shared" si="22"/>
        <v>0.96270897869422312</v>
      </c>
      <c r="X87" s="952">
        <f t="shared" si="23"/>
        <v>2.6200666840076617E-2</v>
      </c>
      <c r="Y87" s="953">
        <f t="shared" si="24"/>
        <v>1.10903544657003E-2</v>
      </c>
      <c r="Z87" s="951">
        <f t="shared" si="25"/>
        <v>0.21773983778287498</v>
      </c>
      <c r="AA87" s="952">
        <f t="shared" si="26"/>
        <v>0.59199791908061195</v>
      </c>
      <c r="AB87" s="953">
        <f t="shared" si="27"/>
        <v>0.19026224313651305</v>
      </c>
      <c r="AC87" s="281"/>
      <c r="AD87" s="940">
        <v>77</v>
      </c>
      <c r="AE87" s="941">
        <v>47</v>
      </c>
      <c r="AF87" s="942">
        <v>1060</v>
      </c>
      <c r="AG87" s="940">
        <v>205</v>
      </c>
      <c r="AH87" s="941">
        <v>97</v>
      </c>
      <c r="AI87" s="942">
        <v>1518</v>
      </c>
      <c r="AJ87" s="940">
        <v>20</v>
      </c>
      <c r="AK87" s="941">
        <v>23</v>
      </c>
      <c r="AL87" s="942">
        <v>74</v>
      </c>
      <c r="AM87" s="940">
        <f t="shared" si="28"/>
        <v>302</v>
      </c>
      <c r="AN87" s="941">
        <f t="shared" si="29"/>
        <v>167</v>
      </c>
      <c r="AO87" s="942">
        <f t="shared" si="30"/>
        <v>2652</v>
      </c>
      <c r="AQ87" s="282">
        <f t="shared" si="31"/>
        <v>6.271134337534584E-2</v>
      </c>
    </row>
    <row r="88" spans="1:43">
      <c r="A88" s="280" t="s">
        <v>215</v>
      </c>
      <c r="B88" s="280" t="s">
        <v>216</v>
      </c>
      <c r="C88" s="280" t="s">
        <v>275</v>
      </c>
      <c r="D88" s="280">
        <v>2</v>
      </c>
      <c r="E88" s="940">
        <v>32029</v>
      </c>
      <c r="F88" s="941">
        <f t="shared" si="16"/>
        <v>31052</v>
      </c>
      <c r="G88" s="941">
        <f t="shared" si="17"/>
        <v>812</v>
      </c>
      <c r="H88" s="942">
        <f t="shared" si="18"/>
        <v>165</v>
      </c>
      <c r="I88" s="281"/>
      <c r="J88" s="940">
        <v>6249</v>
      </c>
      <c r="K88" s="941">
        <v>223</v>
      </c>
      <c r="L88" s="941">
        <v>28</v>
      </c>
      <c r="M88" s="942">
        <f t="shared" si="19"/>
        <v>6500</v>
      </c>
      <c r="N88" s="940">
        <v>18951</v>
      </c>
      <c r="O88" s="941">
        <v>522</v>
      </c>
      <c r="P88" s="941">
        <v>111</v>
      </c>
      <c r="Q88" s="942">
        <f t="shared" si="20"/>
        <v>19584</v>
      </c>
      <c r="R88" s="940">
        <v>5852</v>
      </c>
      <c r="S88" s="941">
        <v>67</v>
      </c>
      <c r="T88" s="941">
        <v>26</v>
      </c>
      <c r="U88" s="942">
        <f t="shared" si="21"/>
        <v>5945</v>
      </c>
      <c r="V88" s="281"/>
      <c r="W88" s="951">
        <f t="shared" si="22"/>
        <v>0.96949639389303444</v>
      </c>
      <c r="X88" s="952">
        <f t="shared" si="23"/>
        <v>2.535202472759062E-2</v>
      </c>
      <c r="Y88" s="953">
        <f t="shared" si="24"/>
        <v>5.1515813793749417E-3</v>
      </c>
      <c r="Z88" s="951">
        <f t="shared" si="25"/>
        <v>0.20294108464204313</v>
      </c>
      <c r="AA88" s="952">
        <f t="shared" si="26"/>
        <v>0.61144587717381127</v>
      </c>
      <c r="AB88" s="953">
        <f t="shared" si="27"/>
        <v>0.18561303818414562</v>
      </c>
      <c r="AC88" s="281"/>
      <c r="AD88" s="940">
        <v>23</v>
      </c>
      <c r="AE88" s="941">
        <v>5</v>
      </c>
      <c r="AF88" s="942">
        <v>200</v>
      </c>
      <c r="AG88" s="940">
        <v>78</v>
      </c>
      <c r="AH88" s="941">
        <v>33</v>
      </c>
      <c r="AI88" s="942">
        <v>317</v>
      </c>
      <c r="AJ88" s="940">
        <v>14</v>
      </c>
      <c r="AK88" s="941">
        <v>12</v>
      </c>
      <c r="AL88" s="942">
        <v>24</v>
      </c>
      <c r="AM88" s="940">
        <f t="shared" si="28"/>
        <v>115</v>
      </c>
      <c r="AN88" s="941">
        <f t="shared" si="29"/>
        <v>50</v>
      </c>
      <c r="AO88" s="942">
        <f t="shared" si="30"/>
        <v>541</v>
      </c>
      <c r="AQ88" s="282">
        <f t="shared" si="31"/>
        <v>1.6890942583283899E-2</v>
      </c>
    </row>
    <row r="89" spans="1:43">
      <c r="A89" s="280" t="s">
        <v>217</v>
      </c>
      <c r="B89" s="280" t="s">
        <v>218</v>
      </c>
      <c r="C89" s="280" t="s">
        <v>271</v>
      </c>
      <c r="D89" s="280">
        <v>2</v>
      </c>
      <c r="E89" s="940">
        <v>18408</v>
      </c>
      <c r="F89" s="941">
        <f t="shared" si="16"/>
        <v>11223</v>
      </c>
      <c r="G89" s="941">
        <f t="shared" si="17"/>
        <v>7031</v>
      </c>
      <c r="H89" s="942">
        <f t="shared" si="18"/>
        <v>154</v>
      </c>
      <c r="I89" s="281"/>
      <c r="J89" s="940">
        <v>2317</v>
      </c>
      <c r="K89" s="941">
        <v>1430</v>
      </c>
      <c r="L89" s="941">
        <v>54</v>
      </c>
      <c r="M89" s="942">
        <f t="shared" si="19"/>
        <v>3801</v>
      </c>
      <c r="N89" s="940">
        <v>7059</v>
      </c>
      <c r="O89" s="941">
        <v>4545</v>
      </c>
      <c r="P89" s="941">
        <v>91</v>
      </c>
      <c r="Q89" s="942">
        <f t="shared" si="20"/>
        <v>11695</v>
      </c>
      <c r="R89" s="940">
        <v>1847</v>
      </c>
      <c r="S89" s="941">
        <v>1056</v>
      </c>
      <c r="T89" s="941">
        <v>9</v>
      </c>
      <c r="U89" s="942">
        <f t="shared" si="21"/>
        <v>2912</v>
      </c>
      <c r="V89" s="281"/>
      <c r="W89" s="951">
        <f t="shared" si="22"/>
        <v>0.60968057366362449</v>
      </c>
      <c r="X89" s="952">
        <f t="shared" si="23"/>
        <v>0.38195349847892218</v>
      </c>
      <c r="Y89" s="953">
        <f t="shared" si="24"/>
        <v>8.3659278574532807E-3</v>
      </c>
      <c r="Z89" s="951">
        <f t="shared" si="25"/>
        <v>0.20648631029986964</v>
      </c>
      <c r="AA89" s="952">
        <f t="shared" si="26"/>
        <v>0.63532159930465015</v>
      </c>
      <c r="AB89" s="953">
        <f t="shared" si="27"/>
        <v>0.15819209039548024</v>
      </c>
      <c r="AC89" s="281"/>
      <c r="AD89" s="940">
        <v>27</v>
      </c>
      <c r="AE89" s="941">
        <v>27</v>
      </c>
      <c r="AF89" s="942">
        <v>91</v>
      </c>
      <c r="AG89" s="940">
        <v>46</v>
      </c>
      <c r="AH89" s="941">
        <v>45</v>
      </c>
      <c r="AI89" s="942">
        <v>118</v>
      </c>
      <c r="AJ89" s="940">
        <v>2</v>
      </c>
      <c r="AK89" s="941">
        <v>7</v>
      </c>
      <c r="AL89" s="942">
        <v>18</v>
      </c>
      <c r="AM89" s="940">
        <f t="shared" si="28"/>
        <v>75</v>
      </c>
      <c r="AN89" s="941">
        <f t="shared" si="29"/>
        <v>79</v>
      </c>
      <c r="AO89" s="942">
        <f t="shared" si="30"/>
        <v>227</v>
      </c>
      <c r="AQ89" s="282">
        <f t="shared" si="31"/>
        <v>1.2331594958713603E-2</v>
      </c>
    </row>
    <row r="90" spans="1:43">
      <c r="A90" s="280" t="s">
        <v>219</v>
      </c>
      <c r="B90" s="280" t="s">
        <v>220</v>
      </c>
      <c r="C90" s="280" t="s">
        <v>274</v>
      </c>
      <c r="D90" s="280">
        <v>2</v>
      </c>
      <c r="E90" s="940">
        <v>124327</v>
      </c>
      <c r="F90" s="941">
        <f t="shared" si="16"/>
        <v>99299</v>
      </c>
      <c r="G90" s="941">
        <f t="shared" si="17"/>
        <v>20676</v>
      </c>
      <c r="H90" s="942">
        <f t="shared" si="18"/>
        <v>4352</v>
      </c>
      <c r="I90" s="281"/>
      <c r="J90" s="940">
        <v>25786</v>
      </c>
      <c r="K90" s="941">
        <v>6368</v>
      </c>
      <c r="L90" s="941">
        <v>1301</v>
      </c>
      <c r="M90" s="942">
        <f t="shared" si="19"/>
        <v>33455</v>
      </c>
      <c r="N90" s="940">
        <v>62619</v>
      </c>
      <c r="O90" s="941">
        <v>12734</v>
      </c>
      <c r="P90" s="941">
        <v>2773</v>
      </c>
      <c r="Q90" s="942">
        <f t="shared" si="20"/>
        <v>78126</v>
      </c>
      <c r="R90" s="940">
        <v>10894</v>
      </c>
      <c r="S90" s="941">
        <v>1574</v>
      </c>
      <c r="T90" s="941">
        <v>278</v>
      </c>
      <c r="U90" s="942">
        <f t="shared" si="21"/>
        <v>12746</v>
      </c>
      <c r="V90" s="281"/>
      <c r="W90" s="951">
        <f t="shared" si="22"/>
        <v>0.79869215858180442</v>
      </c>
      <c r="X90" s="952">
        <f t="shared" si="23"/>
        <v>0.16630337738383458</v>
      </c>
      <c r="Y90" s="953">
        <f t="shared" si="24"/>
        <v>3.5004464034360999E-2</v>
      </c>
      <c r="Z90" s="951">
        <f t="shared" si="25"/>
        <v>0.26908877395899522</v>
      </c>
      <c r="AA90" s="952">
        <f t="shared" si="26"/>
        <v>0.62839125853595756</v>
      </c>
      <c r="AB90" s="953">
        <f t="shared" si="27"/>
        <v>0.10251996750504717</v>
      </c>
      <c r="AC90" s="281"/>
      <c r="AD90" s="940">
        <v>1096</v>
      </c>
      <c r="AE90" s="941">
        <v>205</v>
      </c>
      <c r="AF90" s="942">
        <v>3576</v>
      </c>
      <c r="AG90" s="940">
        <v>2363</v>
      </c>
      <c r="AH90" s="941">
        <v>410</v>
      </c>
      <c r="AI90" s="942">
        <v>5779</v>
      </c>
      <c r="AJ90" s="940">
        <v>241</v>
      </c>
      <c r="AK90" s="941">
        <v>37</v>
      </c>
      <c r="AL90" s="942">
        <v>298</v>
      </c>
      <c r="AM90" s="940">
        <f t="shared" si="28"/>
        <v>3700</v>
      </c>
      <c r="AN90" s="941">
        <f t="shared" si="29"/>
        <v>652</v>
      </c>
      <c r="AO90" s="942">
        <f t="shared" si="30"/>
        <v>9653</v>
      </c>
      <c r="AQ90" s="282">
        <f t="shared" si="31"/>
        <v>7.7642024660773606E-2</v>
      </c>
    </row>
    <row r="91" spans="1:43">
      <c r="A91" s="280" t="s">
        <v>221</v>
      </c>
      <c r="B91" s="280" t="s">
        <v>222</v>
      </c>
      <c r="C91" s="280" t="s">
        <v>274</v>
      </c>
      <c r="D91" s="280">
        <v>2</v>
      </c>
      <c r="E91" s="940">
        <v>132133</v>
      </c>
      <c r="F91" s="941">
        <f t="shared" si="16"/>
        <v>101629</v>
      </c>
      <c r="G91" s="941">
        <f t="shared" si="17"/>
        <v>24618</v>
      </c>
      <c r="H91" s="942">
        <f t="shared" si="18"/>
        <v>5886</v>
      </c>
      <c r="I91" s="281"/>
      <c r="J91" s="940">
        <v>27537</v>
      </c>
      <c r="K91" s="941">
        <v>7870</v>
      </c>
      <c r="L91" s="941">
        <v>1807</v>
      </c>
      <c r="M91" s="942">
        <f t="shared" si="19"/>
        <v>37214</v>
      </c>
      <c r="N91" s="940">
        <v>65397</v>
      </c>
      <c r="O91" s="941">
        <v>15694</v>
      </c>
      <c r="P91" s="941">
        <v>3755</v>
      </c>
      <c r="Q91" s="942">
        <f t="shared" si="20"/>
        <v>84846</v>
      </c>
      <c r="R91" s="940">
        <v>8695</v>
      </c>
      <c r="S91" s="941">
        <v>1054</v>
      </c>
      <c r="T91" s="941">
        <v>324</v>
      </c>
      <c r="U91" s="942">
        <f t="shared" si="21"/>
        <v>10073</v>
      </c>
      <c r="V91" s="281"/>
      <c r="W91" s="951">
        <f t="shared" si="22"/>
        <v>0.76914169813748268</v>
      </c>
      <c r="X91" s="952">
        <f t="shared" si="23"/>
        <v>0.18631227626709451</v>
      </c>
      <c r="Y91" s="953">
        <f t="shared" si="24"/>
        <v>4.454602559542279E-2</v>
      </c>
      <c r="Z91" s="951">
        <f t="shared" si="25"/>
        <v>0.28164046831601491</v>
      </c>
      <c r="AA91" s="952">
        <f t="shared" si="26"/>
        <v>0.64212573694686415</v>
      </c>
      <c r="AB91" s="953">
        <f t="shared" si="27"/>
        <v>7.6233794737120927E-2</v>
      </c>
      <c r="AC91" s="281"/>
      <c r="AD91" s="940">
        <v>1511</v>
      </c>
      <c r="AE91" s="941">
        <v>296</v>
      </c>
      <c r="AF91" s="942">
        <v>4761</v>
      </c>
      <c r="AG91" s="940">
        <v>3165</v>
      </c>
      <c r="AH91" s="941">
        <v>590</v>
      </c>
      <c r="AI91" s="942">
        <v>7426</v>
      </c>
      <c r="AJ91" s="940">
        <v>272</v>
      </c>
      <c r="AK91" s="941">
        <v>52</v>
      </c>
      <c r="AL91" s="942">
        <v>305</v>
      </c>
      <c r="AM91" s="940">
        <f t="shared" si="28"/>
        <v>4948</v>
      </c>
      <c r="AN91" s="941">
        <f t="shared" si="29"/>
        <v>938</v>
      </c>
      <c r="AO91" s="942">
        <f t="shared" si="30"/>
        <v>12492</v>
      </c>
      <c r="AQ91" s="282">
        <f t="shared" si="31"/>
        <v>9.4541106309551745E-2</v>
      </c>
    </row>
    <row r="92" spans="1:43">
      <c r="A92" s="280" t="s">
        <v>225</v>
      </c>
      <c r="B92" s="280" t="s">
        <v>226</v>
      </c>
      <c r="C92" s="280" t="s">
        <v>271</v>
      </c>
      <c r="D92" s="280">
        <v>2</v>
      </c>
      <c r="E92" s="940">
        <v>6931</v>
      </c>
      <c r="F92" s="941">
        <f t="shared" si="16"/>
        <v>3663</v>
      </c>
      <c r="G92" s="941">
        <f t="shared" si="17"/>
        <v>3214</v>
      </c>
      <c r="H92" s="942">
        <f t="shared" si="18"/>
        <v>54</v>
      </c>
      <c r="I92" s="281"/>
      <c r="J92" s="940">
        <v>688</v>
      </c>
      <c r="K92" s="941">
        <v>699</v>
      </c>
      <c r="L92" s="941">
        <v>7</v>
      </c>
      <c r="M92" s="942">
        <f t="shared" si="19"/>
        <v>1394</v>
      </c>
      <c r="N92" s="940">
        <v>2400</v>
      </c>
      <c r="O92" s="941">
        <v>1975</v>
      </c>
      <c r="P92" s="941">
        <v>41</v>
      </c>
      <c r="Q92" s="942">
        <f t="shared" si="20"/>
        <v>4416</v>
      </c>
      <c r="R92" s="940">
        <v>575</v>
      </c>
      <c r="S92" s="941">
        <v>540</v>
      </c>
      <c r="T92" s="941">
        <v>6</v>
      </c>
      <c r="U92" s="942">
        <f t="shared" si="21"/>
        <v>1121</v>
      </c>
      <c r="V92" s="281"/>
      <c r="W92" s="951">
        <f t="shared" si="22"/>
        <v>0.52849516664262008</v>
      </c>
      <c r="X92" s="952">
        <f t="shared" si="23"/>
        <v>0.46371374981965086</v>
      </c>
      <c r="Y92" s="953">
        <f t="shared" si="24"/>
        <v>7.7910835377290434E-3</v>
      </c>
      <c r="Z92" s="951">
        <f t="shared" si="25"/>
        <v>0.20112537873322753</v>
      </c>
      <c r="AA92" s="952">
        <f t="shared" si="26"/>
        <v>0.63713749819650844</v>
      </c>
      <c r="AB92" s="953">
        <f t="shared" si="27"/>
        <v>0.16173712307026403</v>
      </c>
      <c r="AC92" s="281"/>
      <c r="AD92" s="940">
        <v>5</v>
      </c>
      <c r="AE92" s="941">
        <v>2</v>
      </c>
      <c r="AF92" s="942">
        <v>24</v>
      </c>
      <c r="AG92" s="940">
        <v>20</v>
      </c>
      <c r="AH92" s="941">
        <v>21</v>
      </c>
      <c r="AI92" s="942">
        <v>71</v>
      </c>
      <c r="AJ92" s="940">
        <v>2</v>
      </c>
      <c r="AK92" s="941">
        <v>4</v>
      </c>
      <c r="AL92" s="942">
        <v>4</v>
      </c>
      <c r="AM92" s="940">
        <f t="shared" si="28"/>
        <v>27</v>
      </c>
      <c r="AN92" s="941">
        <f t="shared" si="29"/>
        <v>27</v>
      </c>
      <c r="AO92" s="942">
        <f t="shared" si="30"/>
        <v>99</v>
      </c>
      <c r="AQ92" s="282">
        <f t="shared" si="31"/>
        <v>1.4283653152503246E-2</v>
      </c>
    </row>
    <row r="93" spans="1:43">
      <c r="A93" s="280" t="s">
        <v>227</v>
      </c>
      <c r="B93" s="280" t="s">
        <v>228</v>
      </c>
      <c r="C93" s="280" t="s">
        <v>271</v>
      </c>
      <c r="D93" s="280">
        <v>2</v>
      </c>
      <c r="E93" s="940">
        <v>12087</v>
      </c>
      <c r="F93" s="941">
        <f t="shared" si="16"/>
        <v>4943</v>
      </c>
      <c r="G93" s="941">
        <f t="shared" si="17"/>
        <v>7038</v>
      </c>
      <c r="H93" s="942">
        <f t="shared" si="18"/>
        <v>106</v>
      </c>
      <c r="I93" s="281"/>
      <c r="J93" s="940">
        <v>860</v>
      </c>
      <c r="K93" s="941">
        <v>1140</v>
      </c>
      <c r="L93" s="941">
        <v>27</v>
      </c>
      <c r="M93" s="942">
        <f t="shared" si="19"/>
        <v>2027</v>
      </c>
      <c r="N93" s="940">
        <v>3251</v>
      </c>
      <c r="O93" s="941">
        <v>4977</v>
      </c>
      <c r="P93" s="941">
        <v>73</v>
      </c>
      <c r="Q93" s="942">
        <f t="shared" si="20"/>
        <v>8301</v>
      </c>
      <c r="R93" s="940">
        <v>832</v>
      </c>
      <c r="S93" s="941">
        <v>921</v>
      </c>
      <c r="T93" s="941">
        <v>6</v>
      </c>
      <c r="U93" s="942">
        <f t="shared" si="21"/>
        <v>1759</v>
      </c>
      <c r="V93" s="281"/>
      <c r="W93" s="951">
        <f t="shared" si="22"/>
        <v>0.40895176636055264</v>
      </c>
      <c r="X93" s="952">
        <f t="shared" si="23"/>
        <v>0.58227848101265822</v>
      </c>
      <c r="Y93" s="953">
        <f t="shared" si="24"/>
        <v>8.7697526267891124E-3</v>
      </c>
      <c r="Z93" s="951">
        <f t="shared" si="25"/>
        <v>0.16770083560850502</v>
      </c>
      <c r="AA93" s="952">
        <f t="shared" si="26"/>
        <v>0.68677091089600395</v>
      </c>
      <c r="AB93" s="953">
        <f t="shared" si="27"/>
        <v>0.14552825349549103</v>
      </c>
      <c r="AC93" s="281"/>
      <c r="AD93" s="940">
        <v>17</v>
      </c>
      <c r="AE93" s="941">
        <v>10</v>
      </c>
      <c r="AF93" s="942">
        <v>88</v>
      </c>
      <c r="AG93" s="940">
        <v>38</v>
      </c>
      <c r="AH93" s="941">
        <v>35</v>
      </c>
      <c r="AI93" s="942">
        <v>195</v>
      </c>
      <c r="AJ93" s="940">
        <v>5</v>
      </c>
      <c r="AK93" s="941">
        <v>1</v>
      </c>
      <c r="AL93" s="942">
        <v>3</v>
      </c>
      <c r="AM93" s="940">
        <f t="shared" si="28"/>
        <v>60</v>
      </c>
      <c r="AN93" s="941">
        <f t="shared" si="29"/>
        <v>46</v>
      </c>
      <c r="AO93" s="942">
        <f t="shared" si="30"/>
        <v>286</v>
      </c>
      <c r="AQ93" s="282">
        <f t="shared" si="31"/>
        <v>2.366178538926119E-2</v>
      </c>
    </row>
    <row r="94" spans="1:43">
      <c r="A94" s="280" t="s">
        <v>229</v>
      </c>
      <c r="B94" s="280" t="s">
        <v>230</v>
      </c>
      <c r="C94" s="280" t="s">
        <v>275</v>
      </c>
      <c r="D94" s="280">
        <v>2</v>
      </c>
      <c r="E94" s="940">
        <v>44715</v>
      </c>
      <c r="F94" s="941">
        <f t="shared" si="16"/>
        <v>42810</v>
      </c>
      <c r="G94" s="941">
        <f t="shared" si="17"/>
        <v>1512</v>
      </c>
      <c r="H94" s="942">
        <f t="shared" si="18"/>
        <v>393</v>
      </c>
      <c r="I94" s="281"/>
      <c r="J94" s="940">
        <v>8511</v>
      </c>
      <c r="K94" s="941">
        <v>312</v>
      </c>
      <c r="L94" s="941">
        <v>86</v>
      </c>
      <c r="M94" s="942">
        <f t="shared" si="19"/>
        <v>8909</v>
      </c>
      <c r="N94" s="940">
        <v>26621</v>
      </c>
      <c r="O94" s="941">
        <v>1037</v>
      </c>
      <c r="P94" s="941">
        <v>245</v>
      </c>
      <c r="Q94" s="942">
        <f t="shared" si="20"/>
        <v>27903</v>
      </c>
      <c r="R94" s="940">
        <v>7678</v>
      </c>
      <c r="S94" s="941">
        <v>163</v>
      </c>
      <c r="T94" s="941">
        <v>62</v>
      </c>
      <c r="U94" s="942">
        <f t="shared" si="21"/>
        <v>7903</v>
      </c>
      <c r="V94" s="281"/>
      <c r="W94" s="951">
        <f t="shared" si="22"/>
        <v>0.95739684669573966</v>
      </c>
      <c r="X94" s="952">
        <f t="shared" si="23"/>
        <v>3.3814156323381417E-2</v>
      </c>
      <c r="Y94" s="953">
        <f t="shared" si="24"/>
        <v>8.7889969808788992E-3</v>
      </c>
      <c r="Z94" s="951">
        <f t="shared" si="25"/>
        <v>0.19923962875992396</v>
      </c>
      <c r="AA94" s="952">
        <f t="shared" si="26"/>
        <v>0.62401878564240187</v>
      </c>
      <c r="AB94" s="953">
        <f t="shared" si="27"/>
        <v>0.17674158559767417</v>
      </c>
      <c r="AC94" s="281"/>
      <c r="AD94" s="940">
        <v>74</v>
      </c>
      <c r="AE94" s="941">
        <v>12</v>
      </c>
      <c r="AF94" s="942">
        <v>84</v>
      </c>
      <c r="AG94" s="940">
        <v>203</v>
      </c>
      <c r="AH94" s="941">
        <v>42</v>
      </c>
      <c r="AI94" s="942">
        <v>215</v>
      </c>
      <c r="AJ94" s="940">
        <v>53</v>
      </c>
      <c r="AK94" s="941">
        <v>9</v>
      </c>
      <c r="AL94" s="942">
        <v>26</v>
      </c>
      <c r="AM94" s="940">
        <f t="shared" si="28"/>
        <v>330</v>
      </c>
      <c r="AN94" s="941">
        <f t="shared" si="29"/>
        <v>63</v>
      </c>
      <c r="AO94" s="942">
        <f t="shared" si="30"/>
        <v>325</v>
      </c>
      <c r="AQ94" s="282">
        <f t="shared" si="31"/>
        <v>7.2682545007268255E-3</v>
      </c>
    </row>
    <row r="95" spans="1:43">
      <c r="A95" s="280" t="s">
        <v>233</v>
      </c>
      <c r="B95" s="280" t="s">
        <v>234</v>
      </c>
      <c r="C95" s="280" t="s">
        <v>274</v>
      </c>
      <c r="D95" s="280">
        <v>2</v>
      </c>
      <c r="E95" s="940">
        <v>37749</v>
      </c>
      <c r="F95" s="941">
        <f t="shared" si="16"/>
        <v>34997</v>
      </c>
      <c r="G95" s="941">
        <f t="shared" si="17"/>
        <v>2044</v>
      </c>
      <c r="H95" s="942">
        <f t="shared" si="18"/>
        <v>708</v>
      </c>
      <c r="I95" s="281"/>
      <c r="J95" s="940">
        <v>8078</v>
      </c>
      <c r="K95" s="941">
        <v>604</v>
      </c>
      <c r="L95" s="941">
        <v>226</v>
      </c>
      <c r="M95" s="942">
        <f t="shared" si="19"/>
        <v>8908</v>
      </c>
      <c r="N95" s="940">
        <v>22222</v>
      </c>
      <c r="O95" s="941">
        <v>1212</v>
      </c>
      <c r="P95" s="941">
        <v>437</v>
      </c>
      <c r="Q95" s="942">
        <f t="shared" si="20"/>
        <v>23871</v>
      </c>
      <c r="R95" s="940">
        <v>4697</v>
      </c>
      <c r="S95" s="941">
        <v>228</v>
      </c>
      <c r="T95" s="941">
        <v>45</v>
      </c>
      <c r="U95" s="942">
        <f t="shared" si="21"/>
        <v>4970</v>
      </c>
      <c r="V95" s="281"/>
      <c r="W95" s="951">
        <f t="shared" si="22"/>
        <v>0.92709740655381601</v>
      </c>
      <c r="X95" s="952">
        <f t="shared" si="23"/>
        <v>5.4147129725290739E-2</v>
      </c>
      <c r="Y95" s="953">
        <f t="shared" si="24"/>
        <v>1.8755463720893269E-2</v>
      </c>
      <c r="Z95" s="951">
        <f t="shared" si="25"/>
        <v>0.23597976105327292</v>
      </c>
      <c r="AA95" s="952">
        <f t="shared" si="26"/>
        <v>0.63236112214893114</v>
      </c>
      <c r="AB95" s="953">
        <f t="shared" si="27"/>
        <v>0.13165911679779596</v>
      </c>
      <c r="AC95" s="281"/>
      <c r="AD95" s="940">
        <v>168</v>
      </c>
      <c r="AE95" s="941">
        <v>58</v>
      </c>
      <c r="AF95" s="942">
        <v>549</v>
      </c>
      <c r="AG95" s="940">
        <v>339</v>
      </c>
      <c r="AH95" s="941">
        <v>98</v>
      </c>
      <c r="AI95" s="942">
        <v>798</v>
      </c>
      <c r="AJ95" s="940">
        <v>33</v>
      </c>
      <c r="AK95" s="941">
        <v>12</v>
      </c>
      <c r="AL95" s="942">
        <v>60</v>
      </c>
      <c r="AM95" s="940">
        <f t="shared" si="28"/>
        <v>540</v>
      </c>
      <c r="AN95" s="941">
        <f t="shared" si="29"/>
        <v>168</v>
      </c>
      <c r="AO95" s="942">
        <f t="shared" si="30"/>
        <v>1407</v>
      </c>
      <c r="AQ95" s="282">
        <f t="shared" si="31"/>
        <v>3.7272510530080266E-2</v>
      </c>
    </row>
    <row r="96" spans="1:43">
      <c r="A96" s="280" t="s">
        <v>235</v>
      </c>
      <c r="B96" s="280" t="s">
        <v>236</v>
      </c>
      <c r="C96" s="280" t="s">
        <v>275</v>
      </c>
      <c r="D96" s="280">
        <v>2</v>
      </c>
      <c r="E96" s="940">
        <v>54827</v>
      </c>
      <c r="F96" s="941">
        <f t="shared" si="16"/>
        <v>53495</v>
      </c>
      <c r="G96" s="941">
        <f t="shared" si="17"/>
        <v>937</v>
      </c>
      <c r="H96" s="942">
        <f t="shared" si="18"/>
        <v>395</v>
      </c>
      <c r="I96" s="281"/>
      <c r="J96" s="940">
        <v>10195</v>
      </c>
      <c r="K96" s="941">
        <v>272</v>
      </c>
      <c r="L96" s="941">
        <v>113</v>
      </c>
      <c r="M96" s="942">
        <f t="shared" si="19"/>
        <v>10580</v>
      </c>
      <c r="N96" s="940">
        <v>33487</v>
      </c>
      <c r="O96" s="941">
        <v>556</v>
      </c>
      <c r="P96" s="941">
        <v>260</v>
      </c>
      <c r="Q96" s="942">
        <f t="shared" si="20"/>
        <v>34303</v>
      </c>
      <c r="R96" s="940">
        <v>9813</v>
      </c>
      <c r="S96" s="941">
        <v>109</v>
      </c>
      <c r="T96" s="941">
        <v>22</v>
      </c>
      <c r="U96" s="942">
        <f t="shared" si="21"/>
        <v>9944</v>
      </c>
      <c r="V96" s="281"/>
      <c r="W96" s="951">
        <f t="shared" si="22"/>
        <v>0.97570540062378031</v>
      </c>
      <c r="X96" s="952">
        <f t="shared" si="23"/>
        <v>1.7090119831469897E-2</v>
      </c>
      <c r="Y96" s="953">
        <f t="shared" si="24"/>
        <v>7.2044795447498491E-3</v>
      </c>
      <c r="Z96" s="951">
        <f t="shared" si="25"/>
        <v>0.19297061666697066</v>
      </c>
      <c r="AA96" s="952">
        <f t="shared" si="26"/>
        <v>0.62565889069254199</v>
      </c>
      <c r="AB96" s="953">
        <f t="shared" si="27"/>
        <v>0.18137049264048735</v>
      </c>
      <c r="AC96" s="281"/>
      <c r="AD96" s="940">
        <v>84</v>
      </c>
      <c r="AE96" s="941">
        <v>29</v>
      </c>
      <c r="AF96" s="942">
        <v>246</v>
      </c>
      <c r="AG96" s="940">
        <v>186</v>
      </c>
      <c r="AH96" s="941">
        <v>74</v>
      </c>
      <c r="AI96" s="942">
        <v>483</v>
      </c>
      <c r="AJ96" s="940">
        <v>11</v>
      </c>
      <c r="AK96" s="941">
        <v>11</v>
      </c>
      <c r="AL96" s="942">
        <v>51</v>
      </c>
      <c r="AM96" s="940">
        <f t="shared" si="28"/>
        <v>281</v>
      </c>
      <c r="AN96" s="941">
        <f t="shared" si="29"/>
        <v>114</v>
      </c>
      <c r="AO96" s="942">
        <f t="shared" si="30"/>
        <v>780</v>
      </c>
      <c r="AQ96" s="282">
        <f t="shared" si="31"/>
        <v>1.4226567202290843E-2</v>
      </c>
    </row>
    <row r="97" spans="1:43">
      <c r="A97" s="280" t="s">
        <v>237</v>
      </c>
      <c r="B97" s="280" t="s">
        <v>238</v>
      </c>
      <c r="C97" s="280" t="s">
        <v>273</v>
      </c>
      <c r="D97" s="280">
        <v>2</v>
      </c>
      <c r="E97" s="940">
        <v>17595</v>
      </c>
      <c r="F97" s="941">
        <f t="shared" si="16"/>
        <v>12199</v>
      </c>
      <c r="G97" s="941">
        <f t="shared" si="17"/>
        <v>5121</v>
      </c>
      <c r="H97" s="942">
        <f t="shared" si="18"/>
        <v>275</v>
      </c>
      <c r="I97" s="281"/>
      <c r="J97" s="940">
        <v>2164</v>
      </c>
      <c r="K97" s="941">
        <v>1250</v>
      </c>
      <c r="L97" s="941">
        <v>67</v>
      </c>
      <c r="M97" s="942">
        <f t="shared" si="19"/>
        <v>3481</v>
      </c>
      <c r="N97" s="940">
        <v>7200</v>
      </c>
      <c r="O97" s="941">
        <v>3037</v>
      </c>
      <c r="P97" s="941">
        <v>166</v>
      </c>
      <c r="Q97" s="942">
        <f t="shared" si="20"/>
        <v>10403</v>
      </c>
      <c r="R97" s="940">
        <v>2835</v>
      </c>
      <c r="S97" s="941">
        <v>834</v>
      </c>
      <c r="T97" s="941">
        <v>42</v>
      </c>
      <c r="U97" s="942">
        <f t="shared" si="21"/>
        <v>3711</v>
      </c>
      <c r="V97" s="281"/>
      <c r="W97" s="951">
        <f t="shared" si="22"/>
        <v>0.69332196646774646</v>
      </c>
      <c r="X97" s="952">
        <f t="shared" si="23"/>
        <v>0.29104859335038363</v>
      </c>
      <c r="Y97" s="953">
        <f t="shared" si="24"/>
        <v>1.562944018186985E-2</v>
      </c>
      <c r="Z97" s="951">
        <f t="shared" si="25"/>
        <v>0.19784029553850527</v>
      </c>
      <c r="AA97" s="952">
        <f t="shared" si="26"/>
        <v>0.59124751349815285</v>
      </c>
      <c r="AB97" s="953">
        <f t="shared" si="27"/>
        <v>0.21091219096334185</v>
      </c>
      <c r="AC97" s="281"/>
      <c r="AD97" s="940">
        <v>34</v>
      </c>
      <c r="AE97" s="941">
        <v>33</v>
      </c>
      <c r="AF97" s="942">
        <v>379</v>
      </c>
      <c r="AG97" s="940">
        <v>90</v>
      </c>
      <c r="AH97" s="941">
        <v>76</v>
      </c>
      <c r="AI97" s="942">
        <v>663</v>
      </c>
      <c r="AJ97" s="940">
        <v>23</v>
      </c>
      <c r="AK97" s="941">
        <v>19</v>
      </c>
      <c r="AL97" s="942">
        <v>33</v>
      </c>
      <c r="AM97" s="940">
        <f t="shared" si="28"/>
        <v>147</v>
      </c>
      <c r="AN97" s="941">
        <f t="shared" si="29"/>
        <v>128</v>
      </c>
      <c r="AO97" s="942">
        <f t="shared" si="30"/>
        <v>1075</v>
      </c>
      <c r="AQ97" s="282">
        <f t="shared" si="31"/>
        <v>6.1096902529127591E-2</v>
      </c>
    </row>
    <row r="98" spans="1:43">
      <c r="A98" s="280" t="s">
        <v>243</v>
      </c>
      <c r="B98" s="280" t="s">
        <v>244</v>
      </c>
      <c r="C98" s="280" t="s">
        <v>275</v>
      </c>
      <c r="D98" s="280">
        <v>3</v>
      </c>
      <c r="E98" s="940">
        <v>41565</v>
      </c>
      <c r="F98" s="941">
        <f t="shared" si="16"/>
        <v>38982</v>
      </c>
      <c r="G98" s="941">
        <f t="shared" si="17"/>
        <v>2356</v>
      </c>
      <c r="H98" s="942">
        <f t="shared" si="18"/>
        <v>227</v>
      </c>
      <c r="I98" s="281"/>
      <c r="J98" s="940">
        <v>8286</v>
      </c>
      <c r="K98" s="941">
        <v>259</v>
      </c>
      <c r="L98" s="941">
        <v>40</v>
      </c>
      <c r="M98" s="942">
        <f t="shared" si="19"/>
        <v>8585</v>
      </c>
      <c r="N98" s="940">
        <v>24795</v>
      </c>
      <c r="O98" s="941">
        <v>2021</v>
      </c>
      <c r="P98" s="941">
        <v>158</v>
      </c>
      <c r="Q98" s="942">
        <f t="shared" si="20"/>
        <v>26974</v>
      </c>
      <c r="R98" s="940">
        <v>5901</v>
      </c>
      <c r="S98" s="941">
        <v>76</v>
      </c>
      <c r="T98" s="941">
        <v>29</v>
      </c>
      <c r="U98" s="942">
        <f t="shared" si="21"/>
        <v>6006</v>
      </c>
      <c r="V98" s="281"/>
      <c r="W98" s="951">
        <f t="shared" si="22"/>
        <v>0.93785636954168172</v>
      </c>
      <c r="X98" s="952">
        <f t="shared" si="23"/>
        <v>5.6682304823769999E-2</v>
      </c>
      <c r="Y98" s="953">
        <f t="shared" si="24"/>
        <v>5.461325634548298E-3</v>
      </c>
      <c r="Z98" s="951">
        <f t="shared" si="25"/>
        <v>0.20654396728016361</v>
      </c>
      <c r="AA98" s="952">
        <f t="shared" si="26"/>
        <v>0.64895946108504754</v>
      </c>
      <c r="AB98" s="953">
        <f t="shared" si="27"/>
        <v>0.14449657163478888</v>
      </c>
      <c r="AC98" s="281"/>
      <c r="AD98" s="940">
        <v>33</v>
      </c>
      <c r="AE98" s="941">
        <v>7</v>
      </c>
      <c r="AF98" s="942">
        <v>161</v>
      </c>
      <c r="AG98" s="940">
        <v>109</v>
      </c>
      <c r="AH98" s="941">
        <v>49</v>
      </c>
      <c r="AI98" s="942">
        <v>339</v>
      </c>
      <c r="AJ98" s="940">
        <v>22</v>
      </c>
      <c r="AK98" s="941">
        <v>7</v>
      </c>
      <c r="AL98" s="942">
        <v>22</v>
      </c>
      <c r="AM98" s="940">
        <f t="shared" si="28"/>
        <v>164</v>
      </c>
      <c r="AN98" s="941">
        <f t="shared" si="29"/>
        <v>63</v>
      </c>
      <c r="AO98" s="942">
        <f t="shared" si="30"/>
        <v>522</v>
      </c>
      <c r="AQ98" s="282">
        <f t="shared" si="31"/>
        <v>1.2558643089137496E-2</v>
      </c>
    </row>
    <row r="99" spans="1:43">
      <c r="A99" s="280" t="s">
        <v>245</v>
      </c>
      <c r="B99" s="280" t="s">
        <v>246</v>
      </c>
      <c r="C99" s="280" t="s">
        <v>275</v>
      </c>
      <c r="D99" s="280">
        <v>2</v>
      </c>
      <c r="E99" s="940">
        <v>29204</v>
      </c>
      <c r="F99" s="941">
        <f t="shared" si="16"/>
        <v>27950</v>
      </c>
      <c r="G99" s="941">
        <f t="shared" si="17"/>
        <v>1038</v>
      </c>
      <c r="H99" s="942">
        <f t="shared" si="18"/>
        <v>216</v>
      </c>
      <c r="I99" s="281"/>
      <c r="J99" s="940">
        <v>5568</v>
      </c>
      <c r="K99" s="941">
        <v>357</v>
      </c>
      <c r="L99" s="941">
        <v>52</v>
      </c>
      <c r="M99" s="942">
        <f t="shared" si="19"/>
        <v>5977</v>
      </c>
      <c r="N99" s="940">
        <v>17206</v>
      </c>
      <c r="O99" s="941">
        <v>545</v>
      </c>
      <c r="P99" s="941">
        <v>143</v>
      </c>
      <c r="Q99" s="942">
        <f t="shared" si="20"/>
        <v>17894</v>
      </c>
      <c r="R99" s="940">
        <v>5176</v>
      </c>
      <c r="S99" s="941">
        <v>136</v>
      </c>
      <c r="T99" s="941">
        <v>21</v>
      </c>
      <c r="U99" s="942">
        <f t="shared" si="21"/>
        <v>5333</v>
      </c>
      <c r="V99" s="281"/>
      <c r="W99" s="951">
        <f t="shared" si="22"/>
        <v>0.95706067661964112</v>
      </c>
      <c r="X99" s="952">
        <f t="shared" si="23"/>
        <v>3.5543076290919053E-2</v>
      </c>
      <c r="Y99" s="953">
        <f t="shared" si="24"/>
        <v>7.3962470894398027E-3</v>
      </c>
      <c r="Z99" s="951">
        <f t="shared" si="25"/>
        <v>0.20466374469250787</v>
      </c>
      <c r="AA99" s="952">
        <f t="shared" si="26"/>
        <v>0.61272428434461035</v>
      </c>
      <c r="AB99" s="953">
        <f t="shared" si="27"/>
        <v>0.18261197096288179</v>
      </c>
      <c r="AC99" s="281"/>
      <c r="AD99" s="940">
        <v>40</v>
      </c>
      <c r="AE99" s="941">
        <v>12</v>
      </c>
      <c r="AF99" s="942">
        <v>110</v>
      </c>
      <c r="AG99" s="940">
        <v>113</v>
      </c>
      <c r="AH99" s="941">
        <v>30</v>
      </c>
      <c r="AI99" s="942">
        <v>168</v>
      </c>
      <c r="AJ99" s="940">
        <v>16</v>
      </c>
      <c r="AK99" s="941">
        <v>5</v>
      </c>
      <c r="AL99" s="942">
        <v>20</v>
      </c>
      <c r="AM99" s="940">
        <f t="shared" si="28"/>
        <v>169</v>
      </c>
      <c r="AN99" s="941">
        <f t="shared" si="29"/>
        <v>47</v>
      </c>
      <c r="AO99" s="942">
        <f t="shared" si="30"/>
        <v>298</v>
      </c>
      <c r="AQ99" s="282">
        <f t="shared" si="31"/>
        <v>1.020408163265306E-2</v>
      </c>
    </row>
    <row r="100" spans="1:43">
      <c r="A100" s="280" t="s">
        <v>247</v>
      </c>
      <c r="B100" s="280" t="s">
        <v>248</v>
      </c>
      <c r="C100" s="280" t="s">
        <v>271</v>
      </c>
      <c r="D100" s="280">
        <v>2</v>
      </c>
      <c r="E100" s="940">
        <v>78134</v>
      </c>
      <c r="F100" s="941">
        <f t="shared" si="16"/>
        <v>63498</v>
      </c>
      <c r="G100" s="941">
        <f t="shared" si="17"/>
        <v>9897</v>
      </c>
      <c r="H100" s="942">
        <f t="shared" si="18"/>
        <v>4739</v>
      </c>
      <c r="I100" s="281"/>
      <c r="J100" s="940">
        <v>15361</v>
      </c>
      <c r="K100" s="941">
        <v>2763</v>
      </c>
      <c r="L100" s="941">
        <v>1382</v>
      </c>
      <c r="M100" s="942">
        <f t="shared" si="19"/>
        <v>19506</v>
      </c>
      <c r="N100" s="940">
        <v>39394</v>
      </c>
      <c r="O100" s="941">
        <v>6046</v>
      </c>
      <c r="P100" s="941">
        <v>3024</v>
      </c>
      <c r="Q100" s="942">
        <f t="shared" si="20"/>
        <v>48464</v>
      </c>
      <c r="R100" s="940">
        <v>8743</v>
      </c>
      <c r="S100" s="941">
        <v>1088</v>
      </c>
      <c r="T100" s="941">
        <v>333</v>
      </c>
      <c r="U100" s="942">
        <f t="shared" si="21"/>
        <v>10164</v>
      </c>
      <c r="V100" s="281"/>
      <c r="W100" s="951">
        <f t="shared" si="22"/>
        <v>0.81268077917423909</v>
      </c>
      <c r="X100" s="952">
        <f t="shared" si="23"/>
        <v>0.12666700796068292</v>
      </c>
      <c r="Y100" s="953">
        <f t="shared" si="24"/>
        <v>6.0652212865077944E-2</v>
      </c>
      <c r="Z100" s="951">
        <f t="shared" si="25"/>
        <v>0.24964804054572914</v>
      </c>
      <c r="AA100" s="952">
        <f t="shared" si="26"/>
        <v>0.62026774515575811</v>
      </c>
      <c r="AB100" s="953">
        <f t="shared" si="27"/>
        <v>0.1300842142985128</v>
      </c>
      <c r="AC100" s="281"/>
      <c r="AD100" s="940">
        <v>1267</v>
      </c>
      <c r="AE100" s="941">
        <v>115</v>
      </c>
      <c r="AF100" s="942">
        <v>1307</v>
      </c>
      <c r="AG100" s="940">
        <v>2773</v>
      </c>
      <c r="AH100" s="941">
        <v>251</v>
      </c>
      <c r="AI100" s="942">
        <v>2018</v>
      </c>
      <c r="AJ100" s="940">
        <v>308</v>
      </c>
      <c r="AK100" s="941">
        <v>25</v>
      </c>
      <c r="AL100" s="942">
        <v>101</v>
      </c>
      <c r="AM100" s="940">
        <f t="shared" si="28"/>
        <v>4348</v>
      </c>
      <c r="AN100" s="941">
        <f t="shared" si="29"/>
        <v>391</v>
      </c>
      <c r="AO100" s="942">
        <f t="shared" si="30"/>
        <v>3426</v>
      </c>
      <c r="AQ100" s="282">
        <f t="shared" si="31"/>
        <v>4.384774873934523E-2</v>
      </c>
    </row>
    <row r="101" spans="1:43">
      <c r="A101" s="280" t="s">
        <v>14</v>
      </c>
      <c r="B101" s="280" t="s">
        <v>15</v>
      </c>
      <c r="C101" s="280" t="s">
        <v>274</v>
      </c>
      <c r="D101" s="280">
        <v>3</v>
      </c>
      <c r="E101" s="940">
        <v>144301</v>
      </c>
      <c r="F101" s="941">
        <f t="shared" si="16"/>
        <v>99188</v>
      </c>
      <c r="G101" s="941">
        <f t="shared" si="17"/>
        <v>33375</v>
      </c>
      <c r="H101" s="942">
        <f t="shared" si="18"/>
        <v>11738</v>
      </c>
      <c r="I101" s="281"/>
      <c r="J101" s="940">
        <v>15967</v>
      </c>
      <c r="K101" s="941">
        <v>7209</v>
      </c>
      <c r="L101" s="941">
        <v>2053</v>
      </c>
      <c r="M101" s="942">
        <f t="shared" si="19"/>
        <v>25229</v>
      </c>
      <c r="N101" s="940">
        <v>72961</v>
      </c>
      <c r="O101" s="941">
        <v>23843</v>
      </c>
      <c r="P101" s="941">
        <v>8837</v>
      </c>
      <c r="Q101" s="942">
        <f t="shared" si="20"/>
        <v>105641</v>
      </c>
      <c r="R101" s="940">
        <v>10260</v>
      </c>
      <c r="S101" s="941">
        <v>2323</v>
      </c>
      <c r="T101" s="941">
        <v>848</v>
      </c>
      <c r="U101" s="942">
        <f t="shared" si="21"/>
        <v>13431</v>
      </c>
      <c r="V101" s="281"/>
      <c r="W101" s="951">
        <f t="shared" si="22"/>
        <v>0.6873687639032301</v>
      </c>
      <c r="X101" s="952">
        <f t="shared" si="23"/>
        <v>0.23128737846584571</v>
      </c>
      <c r="Y101" s="953">
        <f t="shared" si="24"/>
        <v>8.1343857630924249E-2</v>
      </c>
      <c r="Z101" s="951">
        <f t="shared" si="25"/>
        <v>0.17483593322291599</v>
      </c>
      <c r="AA101" s="952">
        <f t="shared" si="26"/>
        <v>0.73208778871941294</v>
      </c>
      <c r="AB101" s="953">
        <f t="shared" si="27"/>
        <v>9.3076278057671116E-2</v>
      </c>
      <c r="AC101" s="281"/>
      <c r="AD101" s="940">
        <v>1778</v>
      </c>
      <c r="AE101" s="941">
        <v>275</v>
      </c>
      <c r="AF101" s="942">
        <v>6089</v>
      </c>
      <c r="AG101" s="940">
        <v>7870</v>
      </c>
      <c r="AH101" s="941">
        <v>967</v>
      </c>
      <c r="AI101" s="942">
        <v>16799</v>
      </c>
      <c r="AJ101" s="940">
        <v>806</v>
      </c>
      <c r="AK101" s="941">
        <v>42</v>
      </c>
      <c r="AL101" s="942">
        <v>821</v>
      </c>
      <c r="AM101" s="940">
        <f t="shared" si="28"/>
        <v>10454</v>
      </c>
      <c r="AN101" s="941">
        <f t="shared" si="29"/>
        <v>1284</v>
      </c>
      <c r="AO101" s="942">
        <f t="shared" si="30"/>
        <v>23709</v>
      </c>
      <c r="AQ101" s="282">
        <f t="shared" si="31"/>
        <v>0.16430239568679358</v>
      </c>
    </row>
    <row r="102" spans="1:43">
      <c r="A102" s="280" t="s">
        <v>35</v>
      </c>
      <c r="B102" s="280" t="s">
        <v>36</v>
      </c>
      <c r="C102" s="280" t="s">
        <v>275</v>
      </c>
      <c r="D102" s="280">
        <v>2</v>
      </c>
      <c r="E102" s="940">
        <v>17750</v>
      </c>
      <c r="F102" s="941">
        <f t="shared" si="16"/>
        <v>16357</v>
      </c>
      <c r="G102" s="941">
        <f t="shared" si="17"/>
        <v>1168</v>
      </c>
      <c r="H102" s="942">
        <f t="shared" si="18"/>
        <v>225</v>
      </c>
      <c r="I102" s="281"/>
      <c r="J102" s="940">
        <v>3164</v>
      </c>
      <c r="K102" s="941">
        <v>380</v>
      </c>
      <c r="L102" s="941">
        <v>48</v>
      </c>
      <c r="M102" s="942">
        <f t="shared" si="19"/>
        <v>3592</v>
      </c>
      <c r="N102" s="940">
        <v>9990</v>
      </c>
      <c r="O102" s="941">
        <v>668</v>
      </c>
      <c r="P102" s="941">
        <v>160</v>
      </c>
      <c r="Q102" s="942">
        <f t="shared" si="20"/>
        <v>10818</v>
      </c>
      <c r="R102" s="940">
        <v>3203</v>
      </c>
      <c r="S102" s="941">
        <v>120</v>
      </c>
      <c r="T102" s="941">
        <v>17</v>
      </c>
      <c r="U102" s="942">
        <f t="shared" si="21"/>
        <v>3340</v>
      </c>
      <c r="V102" s="281"/>
      <c r="W102" s="951">
        <f t="shared" si="22"/>
        <v>0.92152112676056341</v>
      </c>
      <c r="X102" s="952">
        <f t="shared" si="23"/>
        <v>6.5802816901408448E-2</v>
      </c>
      <c r="Y102" s="953">
        <f t="shared" si="24"/>
        <v>1.2676056338028169E-2</v>
      </c>
      <c r="Z102" s="951">
        <f t="shared" si="25"/>
        <v>0.20236619718309859</v>
      </c>
      <c r="AA102" s="952">
        <f t="shared" si="26"/>
        <v>0.6094647887323944</v>
      </c>
      <c r="AB102" s="953">
        <f t="shared" si="27"/>
        <v>0.18816901408450704</v>
      </c>
      <c r="AC102" s="281"/>
      <c r="AD102" s="940">
        <v>31</v>
      </c>
      <c r="AE102" s="941">
        <v>17</v>
      </c>
      <c r="AF102" s="942">
        <v>102</v>
      </c>
      <c r="AG102" s="940">
        <v>112</v>
      </c>
      <c r="AH102" s="941">
        <v>48</v>
      </c>
      <c r="AI102" s="942">
        <v>145</v>
      </c>
      <c r="AJ102" s="940">
        <v>14</v>
      </c>
      <c r="AK102" s="941">
        <v>3</v>
      </c>
      <c r="AL102" s="942">
        <v>11</v>
      </c>
      <c r="AM102" s="940">
        <f t="shared" si="28"/>
        <v>157</v>
      </c>
      <c r="AN102" s="941">
        <f t="shared" si="29"/>
        <v>68</v>
      </c>
      <c r="AO102" s="942">
        <f t="shared" si="30"/>
        <v>258</v>
      </c>
      <c r="AQ102" s="282">
        <f t="shared" si="31"/>
        <v>1.4535211267605633E-2</v>
      </c>
    </row>
    <row r="103" spans="1:43">
      <c r="A103" s="280" t="s">
        <v>53</v>
      </c>
      <c r="B103" s="280" t="s">
        <v>54</v>
      </c>
      <c r="C103" s="280" t="s">
        <v>272</v>
      </c>
      <c r="D103" s="280">
        <v>3</v>
      </c>
      <c r="E103" s="940">
        <v>43511</v>
      </c>
      <c r="F103" s="941">
        <f t="shared" si="16"/>
        <v>31349</v>
      </c>
      <c r="G103" s="941">
        <f t="shared" si="17"/>
        <v>8811</v>
      </c>
      <c r="H103" s="942">
        <f t="shared" si="18"/>
        <v>3351</v>
      </c>
      <c r="I103" s="281"/>
      <c r="J103" s="940">
        <v>3851</v>
      </c>
      <c r="K103" s="941">
        <v>2173</v>
      </c>
      <c r="L103" s="941">
        <v>344</v>
      </c>
      <c r="M103" s="942">
        <f t="shared" si="19"/>
        <v>6368</v>
      </c>
      <c r="N103" s="940">
        <v>24265</v>
      </c>
      <c r="O103" s="941">
        <v>5848</v>
      </c>
      <c r="P103" s="941">
        <v>2935</v>
      </c>
      <c r="Q103" s="942">
        <f t="shared" si="20"/>
        <v>33048</v>
      </c>
      <c r="R103" s="940">
        <v>3233</v>
      </c>
      <c r="S103" s="941">
        <v>790</v>
      </c>
      <c r="T103" s="941">
        <v>72</v>
      </c>
      <c r="U103" s="942">
        <f t="shared" si="21"/>
        <v>4095</v>
      </c>
      <c r="V103" s="281"/>
      <c r="W103" s="951">
        <f t="shared" si="22"/>
        <v>0.72048447519018177</v>
      </c>
      <c r="X103" s="952">
        <f t="shared" si="23"/>
        <v>0.2025005171106157</v>
      </c>
      <c r="Y103" s="953">
        <f t="shared" si="24"/>
        <v>7.7015007699202498E-2</v>
      </c>
      <c r="Z103" s="951">
        <f t="shared" si="25"/>
        <v>0.14635379559191927</v>
      </c>
      <c r="AA103" s="952">
        <f t="shared" si="26"/>
        <v>0.7595320723495208</v>
      </c>
      <c r="AB103" s="953">
        <f t="shared" si="27"/>
        <v>9.411413205855991E-2</v>
      </c>
      <c r="AC103" s="281"/>
      <c r="AD103" s="940">
        <v>305</v>
      </c>
      <c r="AE103" s="941">
        <v>39</v>
      </c>
      <c r="AF103" s="942">
        <v>538</v>
      </c>
      <c r="AG103" s="940">
        <v>2820</v>
      </c>
      <c r="AH103" s="941">
        <v>115</v>
      </c>
      <c r="AI103" s="942">
        <v>1629</v>
      </c>
      <c r="AJ103" s="940">
        <v>64</v>
      </c>
      <c r="AK103" s="941">
        <v>8</v>
      </c>
      <c r="AL103" s="942">
        <v>61</v>
      </c>
      <c r="AM103" s="940">
        <f t="shared" si="28"/>
        <v>3189</v>
      </c>
      <c r="AN103" s="941">
        <f t="shared" si="29"/>
        <v>162</v>
      </c>
      <c r="AO103" s="942">
        <f t="shared" si="30"/>
        <v>2228</v>
      </c>
      <c r="AQ103" s="282">
        <f t="shared" si="31"/>
        <v>5.1205442301946631E-2</v>
      </c>
    </row>
    <row r="104" spans="1:43">
      <c r="A104" s="280" t="s">
        <v>55</v>
      </c>
      <c r="B104" s="280" t="s">
        <v>56</v>
      </c>
      <c r="C104" s="280" t="s">
        <v>271</v>
      </c>
      <c r="D104" s="280">
        <v>3</v>
      </c>
      <c r="E104" s="940">
        <v>225050</v>
      </c>
      <c r="F104" s="941">
        <f t="shared" si="16"/>
        <v>146060</v>
      </c>
      <c r="G104" s="941">
        <f t="shared" si="17"/>
        <v>69782</v>
      </c>
      <c r="H104" s="942">
        <f t="shared" si="18"/>
        <v>9208</v>
      </c>
      <c r="I104" s="281"/>
      <c r="J104" s="940">
        <v>35352</v>
      </c>
      <c r="K104" s="941">
        <v>19243</v>
      </c>
      <c r="L104" s="941">
        <v>2522</v>
      </c>
      <c r="M104" s="942">
        <f t="shared" si="19"/>
        <v>57117</v>
      </c>
      <c r="N104" s="940">
        <v>93863</v>
      </c>
      <c r="O104" s="941">
        <v>43948</v>
      </c>
      <c r="P104" s="941">
        <v>6000</v>
      </c>
      <c r="Q104" s="942">
        <f t="shared" si="20"/>
        <v>143811</v>
      </c>
      <c r="R104" s="940">
        <v>16845</v>
      </c>
      <c r="S104" s="941">
        <v>6591</v>
      </c>
      <c r="T104" s="941">
        <v>686</v>
      </c>
      <c r="U104" s="942">
        <f t="shared" si="21"/>
        <v>24122</v>
      </c>
      <c r="V104" s="281"/>
      <c r="W104" s="951">
        <f t="shared" si="22"/>
        <v>0.64901133081537432</v>
      </c>
      <c r="X104" s="952">
        <f t="shared" si="23"/>
        <v>0.31007331704065766</v>
      </c>
      <c r="Y104" s="953">
        <f t="shared" si="24"/>
        <v>4.0915352143968006E-2</v>
      </c>
      <c r="Z104" s="951">
        <f t="shared" si="25"/>
        <v>0.25379693401466341</v>
      </c>
      <c r="AA104" s="952">
        <f t="shared" si="26"/>
        <v>0.63901799600088871</v>
      </c>
      <c r="AB104" s="953">
        <f t="shared" si="27"/>
        <v>0.10718506998444791</v>
      </c>
      <c r="AC104" s="281"/>
      <c r="AD104" s="940">
        <v>2167</v>
      </c>
      <c r="AE104" s="941">
        <v>355</v>
      </c>
      <c r="AF104" s="942">
        <v>3821</v>
      </c>
      <c r="AG104" s="940">
        <v>5152</v>
      </c>
      <c r="AH104" s="941">
        <v>848</v>
      </c>
      <c r="AI104" s="942">
        <v>6149</v>
      </c>
      <c r="AJ104" s="940">
        <v>605</v>
      </c>
      <c r="AK104" s="941">
        <v>81</v>
      </c>
      <c r="AL104" s="942">
        <v>358</v>
      </c>
      <c r="AM104" s="940">
        <f t="shared" si="28"/>
        <v>7924</v>
      </c>
      <c r="AN104" s="941">
        <f t="shared" si="29"/>
        <v>1284</v>
      </c>
      <c r="AO104" s="942">
        <f t="shared" si="30"/>
        <v>10328</v>
      </c>
      <c r="AQ104" s="282">
        <f t="shared" si="31"/>
        <v>4.5892023994667852E-2</v>
      </c>
    </row>
    <row r="105" spans="1:43">
      <c r="A105" s="280" t="s">
        <v>67</v>
      </c>
      <c r="B105" s="280" t="s">
        <v>68</v>
      </c>
      <c r="C105" s="280" t="s">
        <v>272</v>
      </c>
      <c r="D105" s="280">
        <v>3</v>
      </c>
      <c r="E105" s="940">
        <v>42852</v>
      </c>
      <c r="F105" s="941">
        <f t="shared" si="16"/>
        <v>21126</v>
      </c>
      <c r="G105" s="941">
        <f t="shared" si="17"/>
        <v>21114</v>
      </c>
      <c r="H105" s="942">
        <f t="shared" si="18"/>
        <v>612</v>
      </c>
      <c r="I105" s="281"/>
      <c r="J105" s="940">
        <v>3418</v>
      </c>
      <c r="K105" s="941">
        <v>5695</v>
      </c>
      <c r="L105" s="941">
        <v>171</v>
      </c>
      <c r="M105" s="942">
        <f t="shared" si="19"/>
        <v>9284</v>
      </c>
      <c r="N105" s="940">
        <v>11948</v>
      </c>
      <c r="O105" s="941">
        <v>13017</v>
      </c>
      <c r="P105" s="941">
        <v>393</v>
      </c>
      <c r="Q105" s="942">
        <f t="shared" si="20"/>
        <v>25358</v>
      </c>
      <c r="R105" s="940">
        <v>5760</v>
      </c>
      <c r="S105" s="941">
        <v>2402</v>
      </c>
      <c r="T105" s="941">
        <v>48</v>
      </c>
      <c r="U105" s="942">
        <f t="shared" si="21"/>
        <v>8210</v>
      </c>
      <c r="V105" s="281"/>
      <c r="W105" s="951">
        <f t="shared" si="22"/>
        <v>0.49299915989918791</v>
      </c>
      <c r="X105" s="952">
        <f t="shared" si="23"/>
        <v>0.49271912629515541</v>
      </c>
      <c r="Y105" s="953">
        <f t="shared" si="24"/>
        <v>1.4281713805656678E-2</v>
      </c>
      <c r="Z105" s="951">
        <f t="shared" si="25"/>
        <v>0.21665266498646504</v>
      </c>
      <c r="AA105" s="952">
        <f t="shared" si="26"/>
        <v>0.59175767758797726</v>
      </c>
      <c r="AB105" s="953">
        <f t="shared" si="27"/>
        <v>0.19158965742555772</v>
      </c>
      <c r="AC105" s="281"/>
      <c r="AD105" s="940">
        <v>149</v>
      </c>
      <c r="AE105" s="941">
        <v>22</v>
      </c>
      <c r="AF105" s="942">
        <v>508</v>
      </c>
      <c r="AG105" s="940">
        <v>299</v>
      </c>
      <c r="AH105" s="941">
        <v>94</v>
      </c>
      <c r="AI105" s="942">
        <v>741</v>
      </c>
      <c r="AJ105" s="940">
        <v>37</v>
      </c>
      <c r="AK105" s="941">
        <v>11</v>
      </c>
      <c r="AL105" s="942">
        <v>42</v>
      </c>
      <c r="AM105" s="940">
        <f t="shared" si="28"/>
        <v>485</v>
      </c>
      <c r="AN105" s="941">
        <f t="shared" si="29"/>
        <v>127</v>
      </c>
      <c r="AO105" s="942">
        <f t="shared" si="30"/>
        <v>1291</v>
      </c>
      <c r="AQ105" s="282">
        <f t="shared" si="31"/>
        <v>3.0126948567161391E-2</v>
      </c>
    </row>
    <row r="106" spans="1:43">
      <c r="A106" s="280" t="s">
        <v>83</v>
      </c>
      <c r="B106" s="280" t="s">
        <v>333</v>
      </c>
      <c r="C106" s="280" t="s">
        <v>271</v>
      </c>
      <c r="D106" s="280">
        <v>2</v>
      </c>
      <c r="E106" s="940">
        <v>8588</v>
      </c>
      <c r="F106" s="941">
        <f t="shared" si="16"/>
        <v>3584</v>
      </c>
      <c r="G106" s="941">
        <f t="shared" si="17"/>
        <v>4888</v>
      </c>
      <c r="H106" s="942">
        <f t="shared" si="18"/>
        <v>116</v>
      </c>
      <c r="I106" s="281"/>
      <c r="J106" s="940">
        <v>690</v>
      </c>
      <c r="K106" s="941">
        <v>1332</v>
      </c>
      <c r="L106" s="941">
        <v>28</v>
      </c>
      <c r="M106" s="942">
        <f t="shared" si="19"/>
        <v>2050</v>
      </c>
      <c r="N106" s="940">
        <v>1994</v>
      </c>
      <c r="O106" s="941">
        <v>2947</v>
      </c>
      <c r="P106" s="941">
        <v>82</v>
      </c>
      <c r="Q106" s="942">
        <f t="shared" si="20"/>
        <v>5023</v>
      </c>
      <c r="R106" s="940">
        <v>900</v>
      </c>
      <c r="S106" s="941">
        <v>609</v>
      </c>
      <c r="T106" s="941">
        <v>6</v>
      </c>
      <c r="U106" s="942">
        <f t="shared" si="21"/>
        <v>1515</v>
      </c>
      <c r="V106" s="281"/>
      <c r="W106" s="951">
        <f t="shared" si="22"/>
        <v>0.41732650209594785</v>
      </c>
      <c r="X106" s="952">
        <f t="shared" si="23"/>
        <v>0.5691662785281788</v>
      </c>
      <c r="Y106" s="953">
        <f t="shared" si="24"/>
        <v>1.3507219375873311E-2</v>
      </c>
      <c r="Z106" s="951">
        <f t="shared" si="25"/>
        <v>0.23870517000465766</v>
      </c>
      <c r="AA106" s="952">
        <f t="shared" si="26"/>
        <v>0.58488588728458313</v>
      </c>
      <c r="AB106" s="953">
        <f t="shared" si="27"/>
        <v>0.17640894271075919</v>
      </c>
      <c r="AC106" s="281"/>
      <c r="AD106" s="940">
        <v>23</v>
      </c>
      <c r="AE106" s="941">
        <v>5</v>
      </c>
      <c r="AF106" s="942">
        <v>63</v>
      </c>
      <c r="AG106" s="940">
        <v>58</v>
      </c>
      <c r="AH106" s="941">
        <v>24</v>
      </c>
      <c r="AI106" s="942">
        <v>90</v>
      </c>
      <c r="AJ106" s="940">
        <v>2</v>
      </c>
      <c r="AK106" s="941">
        <v>4</v>
      </c>
      <c r="AL106" s="942">
        <v>8</v>
      </c>
      <c r="AM106" s="940">
        <f t="shared" si="28"/>
        <v>83</v>
      </c>
      <c r="AN106" s="941">
        <f t="shared" si="29"/>
        <v>33</v>
      </c>
      <c r="AO106" s="942">
        <f t="shared" si="30"/>
        <v>161</v>
      </c>
      <c r="AQ106" s="282">
        <f t="shared" si="31"/>
        <v>1.8747088961341408E-2</v>
      </c>
    </row>
    <row r="107" spans="1:43">
      <c r="A107" s="280" t="s">
        <v>89</v>
      </c>
      <c r="B107" s="280" t="s">
        <v>90</v>
      </c>
      <c r="C107" s="280" t="s">
        <v>274</v>
      </c>
      <c r="D107" s="280">
        <v>2</v>
      </c>
      <c r="E107" s="940">
        <v>25691</v>
      </c>
      <c r="F107" s="941">
        <f t="shared" si="16"/>
        <v>18184</v>
      </c>
      <c r="G107" s="941">
        <f t="shared" si="17"/>
        <v>6348</v>
      </c>
      <c r="H107" s="942">
        <f t="shared" si="18"/>
        <v>1159</v>
      </c>
      <c r="I107" s="281"/>
      <c r="J107" s="940">
        <v>3210</v>
      </c>
      <c r="K107" s="941">
        <v>1827</v>
      </c>
      <c r="L107" s="941">
        <v>283</v>
      </c>
      <c r="M107" s="942">
        <f t="shared" si="19"/>
        <v>5320</v>
      </c>
      <c r="N107" s="940">
        <v>12977</v>
      </c>
      <c r="O107" s="941">
        <v>4089</v>
      </c>
      <c r="P107" s="941">
        <v>846</v>
      </c>
      <c r="Q107" s="942">
        <f t="shared" si="20"/>
        <v>17912</v>
      </c>
      <c r="R107" s="940">
        <v>1997</v>
      </c>
      <c r="S107" s="941">
        <v>432</v>
      </c>
      <c r="T107" s="941">
        <v>30</v>
      </c>
      <c r="U107" s="942">
        <f t="shared" si="21"/>
        <v>2459</v>
      </c>
      <c r="V107" s="281"/>
      <c r="W107" s="951">
        <f t="shared" si="22"/>
        <v>0.7077965046125102</v>
      </c>
      <c r="X107" s="952">
        <f t="shared" si="23"/>
        <v>0.24709042076991944</v>
      </c>
      <c r="Y107" s="953">
        <f t="shared" si="24"/>
        <v>4.5113074617570352E-2</v>
      </c>
      <c r="Z107" s="951">
        <f t="shared" si="25"/>
        <v>0.20707640808065081</v>
      </c>
      <c r="AA107" s="952">
        <f t="shared" si="26"/>
        <v>0.69720913938733409</v>
      </c>
      <c r="AB107" s="953">
        <f t="shared" si="27"/>
        <v>9.5714452532015104E-2</v>
      </c>
      <c r="AC107" s="281"/>
      <c r="AD107" s="940">
        <v>227</v>
      </c>
      <c r="AE107" s="941">
        <v>56</v>
      </c>
      <c r="AF107" s="942">
        <v>987</v>
      </c>
      <c r="AG107" s="940">
        <v>704</v>
      </c>
      <c r="AH107" s="941">
        <v>142</v>
      </c>
      <c r="AI107" s="942">
        <v>1774</v>
      </c>
      <c r="AJ107" s="940">
        <v>20</v>
      </c>
      <c r="AK107" s="941">
        <v>10</v>
      </c>
      <c r="AL107" s="942">
        <v>63</v>
      </c>
      <c r="AM107" s="940">
        <f t="shared" si="28"/>
        <v>951</v>
      </c>
      <c r="AN107" s="941">
        <f t="shared" si="29"/>
        <v>208</v>
      </c>
      <c r="AO107" s="942">
        <f t="shared" si="30"/>
        <v>2824</v>
      </c>
      <c r="AQ107" s="282">
        <f t="shared" si="31"/>
        <v>0.10992176248491689</v>
      </c>
    </row>
    <row r="108" spans="1:43">
      <c r="A108" s="280" t="s">
        <v>91</v>
      </c>
      <c r="B108" s="280" t="s">
        <v>92</v>
      </c>
      <c r="C108" s="280" t="s">
        <v>275</v>
      </c>
      <c r="D108" s="280">
        <v>1</v>
      </c>
      <c r="E108" s="940">
        <v>6983</v>
      </c>
      <c r="F108" s="941">
        <f t="shared" si="16"/>
        <v>6376</v>
      </c>
      <c r="G108" s="941">
        <f t="shared" si="17"/>
        <v>522</v>
      </c>
      <c r="H108" s="942">
        <f t="shared" si="18"/>
        <v>85</v>
      </c>
      <c r="I108" s="281"/>
      <c r="J108" s="940">
        <v>1326</v>
      </c>
      <c r="K108" s="941">
        <v>188</v>
      </c>
      <c r="L108" s="941">
        <v>23</v>
      </c>
      <c r="M108" s="942">
        <f t="shared" si="19"/>
        <v>1537</v>
      </c>
      <c r="N108" s="940">
        <v>3635</v>
      </c>
      <c r="O108" s="941">
        <v>287</v>
      </c>
      <c r="P108" s="941">
        <v>57</v>
      </c>
      <c r="Q108" s="942">
        <f t="shared" si="20"/>
        <v>3979</v>
      </c>
      <c r="R108" s="940">
        <v>1415</v>
      </c>
      <c r="S108" s="941">
        <v>47</v>
      </c>
      <c r="T108" s="941">
        <v>5</v>
      </c>
      <c r="U108" s="942">
        <f t="shared" si="21"/>
        <v>1467</v>
      </c>
      <c r="V108" s="281"/>
      <c r="W108" s="951">
        <f t="shared" si="22"/>
        <v>0.91307460976657595</v>
      </c>
      <c r="X108" s="952">
        <f t="shared" si="23"/>
        <v>7.475297150221967E-2</v>
      </c>
      <c r="Y108" s="953">
        <f t="shared" si="24"/>
        <v>1.2172418731204353E-2</v>
      </c>
      <c r="Z108" s="951">
        <f t="shared" si="25"/>
        <v>0.22010597164542461</v>
      </c>
      <c r="AA108" s="952">
        <f t="shared" si="26"/>
        <v>0.56981240154661317</v>
      </c>
      <c r="AB108" s="953">
        <f t="shared" si="27"/>
        <v>0.21008162680796219</v>
      </c>
      <c r="AC108" s="281"/>
      <c r="AD108" s="940">
        <v>16</v>
      </c>
      <c r="AE108" s="941">
        <v>7</v>
      </c>
      <c r="AF108" s="942">
        <v>445</v>
      </c>
      <c r="AG108" s="940">
        <v>43</v>
      </c>
      <c r="AH108" s="941">
        <v>14</v>
      </c>
      <c r="AI108" s="942">
        <v>481</v>
      </c>
      <c r="AJ108" s="940">
        <v>4</v>
      </c>
      <c r="AK108" s="941">
        <v>1</v>
      </c>
      <c r="AL108" s="942">
        <v>16</v>
      </c>
      <c r="AM108" s="940">
        <f t="shared" si="28"/>
        <v>63</v>
      </c>
      <c r="AN108" s="941">
        <f t="shared" si="29"/>
        <v>22</v>
      </c>
      <c r="AO108" s="942">
        <f t="shared" si="30"/>
        <v>942</v>
      </c>
      <c r="AQ108" s="282">
        <f t="shared" si="31"/>
        <v>0.13489904052699414</v>
      </c>
    </row>
    <row r="109" spans="1:43">
      <c r="A109" s="280" t="s">
        <v>107</v>
      </c>
      <c r="B109" s="280" t="s">
        <v>108</v>
      </c>
      <c r="C109" s="280" t="s">
        <v>271</v>
      </c>
      <c r="D109" s="280">
        <v>3</v>
      </c>
      <c r="E109" s="940">
        <v>136401</v>
      </c>
      <c r="F109" s="941">
        <f t="shared" si="16"/>
        <v>61458</v>
      </c>
      <c r="G109" s="941">
        <f t="shared" si="17"/>
        <v>70033</v>
      </c>
      <c r="H109" s="942">
        <f t="shared" si="18"/>
        <v>4910</v>
      </c>
      <c r="I109" s="281"/>
      <c r="J109" s="940">
        <v>12079</v>
      </c>
      <c r="K109" s="941">
        <v>17459</v>
      </c>
      <c r="L109" s="941">
        <v>1174</v>
      </c>
      <c r="M109" s="942">
        <f t="shared" si="19"/>
        <v>30712</v>
      </c>
      <c r="N109" s="940">
        <v>40116</v>
      </c>
      <c r="O109" s="941">
        <v>45074</v>
      </c>
      <c r="P109" s="941">
        <v>3299</v>
      </c>
      <c r="Q109" s="942">
        <f t="shared" si="20"/>
        <v>88489</v>
      </c>
      <c r="R109" s="940">
        <v>9263</v>
      </c>
      <c r="S109" s="941">
        <v>7500</v>
      </c>
      <c r="T109" s="941">
        <v>437</v>
      </c>
      <c r="U109" s="942">
        <f t="shared" si="21"/>
        <v>17200</v>
      </c>
      <c r="V109" s="281"/>
      <c r="W109" s="951">
        <f t="shared" si="22"/>
        <v>0.45056854421888404</v>
      </c>
      <c r="X109" s="952">
        <f t="shared" si="23"/>
        <v>0.51343465223861995</v>
      </c>
      <c r="Y109" s="953">
        <f t="shared" si="24"/>
        <v>3.5996803542496021E-2</v>
      </c>
      <c r="Z109" s="951">
        <f t="shared" si="25"/>
        <v>0.2251596395920851</v>
      </c>
      <c r="AA109" s="952">
        <f t="shared" si="26"/>
        <v>0.6487415781409227</v>
      </c>
      <c r="AB109" s="953">
        <f t="shared" si="27"/>
        <v>0.12609878226699217</v>
      </c>
      <c r="AC109" s="281"/>
      <c r="AD109" s="940">
        <v>953</v>
      </c>
      <c r="AE109" s="941">
        <v>221</v>
      </c>
      <c r="AF109" s="942">
        <v>2117</v>
      </c>
      <c r="AG109" s="940">
        <v>2712</v>
      </c>
      <c r="AH109" s="941">
        <v>587</v>
      </c>
      <c r="AI109" s="942">
        <v>4089</v>
      </c>
      <c r="AJ109" s="940">
        <v>372</v>
      </c>
      <c r="AK109" s="941">
        <v>65</v>
      </c>
      <c r="AL109" s="942">
        <v>258</v>
      </c>
      <c r="AM109" s="940">
        <f t="shared" si="28"/>
        <v>4037</v>
      </c>
      <c r="AN109" s="941">
        <f t="shared" si="29"/>
        <v>873</v>
      </c>
      <c r="AO109" s="942">
        <f t="shared" si="30"/>
        <v>6464</v>
      </c>
      <c r="AQ109" s="282">
        <f t="shared" si="31"/>
        <v>4.7389681893827758E-2</v>
      </c>
    </row>
    <row r="110" spans="1:43">
      <c r="A110" s="280" t="s">
        <v>117</v>
      </c>
      <c r="B110" s="280" t="s">
        <v>118</v>
      </c>
      <c r="C110" s="280" t="s">
        <v>273</v>
      </c>
      <c r="D110" s="280">
        <v>2</v>
      </c>
      <c r="E110" s="940">
        <v>22580</v>
      </c>
      <c r="F110" s="941">
        <f t="shared" si="16"/>
        <v>13370</v>
      </c>
      <c r="G110" s="941">
        <f t="shared" si="17"/>
        <v>8770</v>
      </c>
      <c r="H110" s="942">
        <f t="shared" si="18"/>
        <v>440</v>
      </c>
      <c r="I110" s="281"/>
      <c r="J110" s="940">
        <v>2739</v>
      </c>
      <c r="K110" s="941">
        <v>2760</v>
      </c>
      <c r="L110" s="941">
        <v>106</v>
      </c>
      <c r="M110" s="942">
        <f t="shared" si="19"/>
        <v>5605</v>
      </c>
      <c r="N110" s="940">
        <v>8052</v>
      </c>
      <c r="O110" s="941">
        <v>5296</v>
      </c>
      <c r="P110" s="941">
        <v>287</v>
      </c>
      <c r="Q110" s="942">
        <f t="shared" si="20"/>
        <v>13635</v>
      </c>
      <c r="R110" s="940">
        <v>2579</v>
      </c>
      <c r="S110" s="941">
        <v>714</v>
      </c>
      <c r="T110" s="941">
        <v>47</v>
      </c>
      <c r="U110" s="942">
        <f t="shared" si="21"/>
        <v>3340</v>
      </c>
      <c r="V110" s="281"/>
      <c r="W110" s="951">
        <f t="shared" si="22"/>
        <v>0.59211691762621788</v>
      </c>
      <c r="X110" s="952">
        <f t="shared" si="23"/>
        <v>0.38839681133746679</v>
      </c>
      <c r="Y110" s="953">
        <f t="shared" si="24"/>
        <v>1.9486271036315322E-2</v>
      </c>
      <c r="Z110" s="951">
        <f t="shared" si="25"/>
        <v>0.24822852081488042</v>
      </c>
      <c r="AA110" s="952">
        <f t="shared" si="26"/>
        <v>0.60385296722763504</v>
      </c>
      <c r="AB110" s="953">
        <f t="shared" si="27"/>
        <v>0.14791851195748451</v>
      </c>
      <c r="AC110" s="281"/>
      <c r="AD110" s="940">
        <v>75</v>
      </c>
      <c r="AE110" s="941">
        <v>31</v>
      </c>
      <c r="AF110" s="942">
        <v>494</v>
      </c>
      <c r="AG110" s="940">
        <v>214</v>
      </c>
      <c r="AH110" s="941">
        <v>73</v>
      </c>
      <c r="AI110" s="942">
        <v>974</v>
      </c>
      <c r="AJ110" s="940">
        <v>34</v>
      </c>
      <c r="AK110" s="941">
        <v>13</v>
      </c>
      <c r="AL110" s="942">
        <v>50</v>
      </c>
      <c r="AM110" s="940">
        <f t="shared" si="28"/>
        <v>323</v>
      </c>
      <c r="AN110" s="941">
        <f t="shared" si="29"/>
        <v>117</v>
      </c>
      <c r="AO110" s="942">
        <f t="shared" si="30"/>
        <v>1518</v>
      </c>
      <c r="AQ110" s="282">
        <f t="shared" si="31"/>
        <v>6.7227635075287867E-2</v>
      </c>
    </row>
    <row r="111" spans="1:43">
      <c r="A111" s="280" t="s">
        <v>139</v>
      </c>
      <c r="B111" s="280" t="s">
        <v>140</v>
      </c>
      <c r="C111" s="280" t="s">
        <v>272</v>
      </c>
      <c r="D111" s="280">
        <v>3</v>
      </c>
      <c r="E111" s="940">
        <v>76504</v>
      </c>
      <c r="F111" s="941">
        <f t="shared" si="16"/>
        <v>50967</v>
      </c>
      <c r="G111" s="941">
        <f t="shared" si="17"/>
        <v>23101</v>
      </c>
      <c r="H111" s="942">
        <f t="shared" si="18"/>
        <v>2436</v>
      </c>
      <c r="I111" s="281"/>
      <c r="J111" s="940">
        <v>8080</v>
      </c>
      <c r="K111" s="941">
        <v>6291</v>
      </c>
      <c r="L111" s="941">
        <v>576</v>
      </c>
      <c r="M111" s="942">
        <f t="shared" si="19"/>
        <v>14947</v>
      </c>
      <c r="N111" s="940">
        <v>34506</v>
      </c>
      <c r="O111" s="941">
        <v>14520</v>
      </c>
      <c r="P111" s="941">
        <v>1771</v>
      </c>
      <c r="Q111" s="942">
        <f t="shared" si="20"/>
        <v>50797</v>
      </c>
      <c r="R111" s="940">
        <v>8381</v>
      </c>
      <c r="S111" s="941">
        <v>2290</v>
      </c>
      <c r="T111" s="941">
        <v>89</v>
      </c>
      <c r="U111" s="942">
        <f t="shared" si="21"/>
        <v>10760</v>
      </c>
      <c r="V111" s="281"/>
      <c r="W111" s="951">
        <f t="shared" si="22"/>
        <v>0.66620046010666112</v>
      </c>
      <c r="X111" s="952">
        <f t="shared" si="23"/>
        <v>0.30195806755202342</v>
      </c>
      <c r="Y111" s="953">
        <f t="shared" si="24"/>
        <v>3.1841472341315485E-2</v>
      </c>
      <c r="Z111" s="951">
        <f t="shared" si="25"/>
        <v>0.19537540520757085</v>
      </c>
      <c r="AA111" s="952">
        <f t="shared" si="26"/>
        <v>0.66397835407298966</v>
      </c>
      <c r="AB111" s="953">
        <f t="shared" si="27"/>
        <v>0.14064624071943951</v>
      </c>
      <c r="AC111" s="281"/>
      <c r="AD111" s="940">
        <v>518</v>
      </c>
      <c r="AE111" s="941">
        <v>58</v>
      </c>
      <c r="AF111" s="942">
        <v>649</v>
      </c>
      <c r="AG111" s="940">
        <v>1535</v>
      </c>
      <c r="AH111" s="941">
        <v>236</v>
      </c>
      <c r="AI111" s="942">
        <v>1695</v>
      </c>
      <c r="AJ111" s="940">
        <v>75</v>
      </c>
      <c r="AK111" s="941">
        <v>14</v>
      </c>
      <c r="AL111" s="942">
        <v>78</v>
      </c>
      <c r="AM111" s="940">
        <f t="shared" si="28"/>
        <v>2128</v>
      </c>
      <c r="AN111" s="941">
        <f t="shared" si="29"/>
        <v>308</v>
      </c>
      <c r="AO111" s="942">
        <f t="shared" si="30"/>
        <v>2422</v>
      </c>
      <c r="AQ111" s="282">
        <f t="shared" si="31"/>
        <v>3.1658475373836661E-2</v>
      </c>
    </row>
    <row r="112" spans="1:43">
      <c r="A112" s="280" t="s">
        <v>143</v>
      </c>
      <c r="B112" s="280" t="s">
        <v>144</v>
      </c>
      <c r="C112" s="280" t="s">
        <v>274</v>
      </c>
      <c r="D112" s="280">
        <v>2</v>
      </c>
      <c r="E112" s="940">
        <v>39300</v>
      </c>
      <c r="F112" s="941">
        <f t="shared" si="16"/>
        <v>30054</v>
      </c>
      <c r="G112" s="941">
        <f t="shared" si="17"/>
        <v>6456</v>
      </c>
      <c r="H112" s="942">
        <f t="shared" si="18"/>
        <v>2790</v>
      </c>
      <c r="I112" s="281"/>
      <c r="J112" s="940">
        <v>8143</v>
      </c>
      <c r="K112" s="941">
        <v>2129</v>
      </c>
      <c r="L112" s="941">
        <v>752</v>
      </c>
      <c r="M112" s="942">
        <f t="shared" si="19"/>
        <v>11024</v>
      </c>
      <c r="N112" s="940">
        <v>19615</v>
      </c>
      <c r="O112" s="941">
        <v>4038</v>
      </c>
      <c r="P112" s="941">
        <v>1866</v>
      </c>
      <c r="Q112" s="942">
        <f t="shared" si="20"/>
        <v>25519</v>
      </c>
      <c r="R112" s="940">
        <v>2296</v>
      </c>
      <c r="S112" s="941">
        <v>289</v>
      </c>
      <c r="T112" s="941">
        <v>172</v>
      </c>
      <c r="U112" s="942">
        <f t="shared" si="21"/>
        <v>2757</v>
      </c>
      <c r="V112" s="281"/>
      <c r="W112" s="951">
        <f t="shared" si="22"/>
        <v>0.76473282442748092</v>
      </c>
      <c r="X112" s="952">
        <f t="shared" si="23"/>
        <v>0.16427480916030535</v>
      </c>
      <c r="Y112" s="953">
        <f t="shared" si="24"/>
        <v>7.0992366412213737E-2</v>
      </c>
      <c r="Z112" s="951">
        <f t="shared" si="25"/>
        <v>0.28050890585241728</v>
      </c>
      <c r="AA112" s="952">
        <f t="shared" si="26"/>
        <v>0.64933842239185746</v>
      </c>
      <c r="AB112" s="953">
        <f t="shared" si="27"/>
        <v>7.0152671755725191E-2</v>
      </c>
      <c r="AC112" s="281"/>
      <c r="AD112" s="940">
        <v>576</v>
      </c>
      <c r="AE112" s="941">
        <v>176</v>
      </c>
      <c r="AF112" s="942">
        <v>4648</v>
      </c>
      <c r="AG112" s="940">
        <v>1592</v>
      </c>
      <c r="AH112" s="941">
        <v>274</v>
      </c>
      <c r="AI112" s="942">
        <v>7551</v>
      </c>
      <c r="AJ112" s="940">
        <v>166</v>
      </c>
      <c r="AK112" s="941">
        <v>6</v>
      </c>
      <c r="AL112" s="942">
        <v>178</v>
      </c>
      <c r="AM112" s="940">
        <f t="shared" si="28"/>
        <v>2334</v>
      </c>
      <c r="AN112" s="941">
        <f t="shared" si="29"/>
        <v>456</v>
      </c>
      <c r="AO112" s="942">
        <f t="shared" si="30"/>
        <v>12377</v>
      </c>
      <c r="AQ112" s="282">
        <f t="shared" si="31"/>
        <v>0.31493638676844782</v>
      </c>
    </row>
    <row r="113" spans="1:43">
      <c r="A113" s="280" t="s">
        <v>145</v>
      </c>
      <c r="B113" s="280" t="s">
        <v>146</v>
      </c>
      <c r="C113" s="280" t="s">
        <v>274</v>
      </c>
      <c r="D113" s="280">
        <v>1</v>
      </c>
      <c r="E113" s="940">
        <v>15332</v>
      </c>
      <c r="F113" s="941">
        <f t="shared" si="16"/>
        <v>11174</v>
      </c>
      <c r="G113" s="941">
        <f t="shared" si="17"/>
        <v>2412</v>
      </c>
      <c r="H113" s="942">
        <f t="shared" si="18"/>
        <v>1746</v>
      </c>
      <c r="I113" s="281"/>
      <c r="J113" s="940">
        <v>3193</v>
      </c>
      <c r="K113" s="941">
        <v>768</v>
      </c>
      <c r="L113" s="941">
        <v>465</v>
      </c>
      <c r="M113" s="942">
        <f t="shared" si="19"/>
        <v>4426</v>
      </c>
      <c r="N113" s="940">
        <v>7389</v>
      </c>
      <c r="O113" s="941">
        <v>1536</v>
      </c>
      <c r="P113" s="941">
        <v>1194</v>
      </c>
      <c r="Q113" s="942">
        <f t="shared" si="20"/>
        <v>10119</v>
      </c>
      <c r="R113" s="940">
        <v>592</v>
      </c>
      <c r="S113" s="941">
        <v>108</v>
      </c>
      <c r="T113" s="941">
        <v>87</v>
      </c>
      <c r="U113" s="942">
        <f t="shared" si="21"/>
        <v>787</v>
      </c>
      <c r="V113" s="281"/>
      <c r="W113" s="951">
        <f t="shared" si="22"/>
        <v>0.72880250456561435</v>
      </c>
      <c r="X113" s="952">
        <f t="shared" si="23"/>
        <v>0.15731802765457867</v>
      </c>
      <c r="Y113" s="953">
        <f t="shared" si="24"/>
        <v>0.11387946777980694</v>
      </c>
      <c r="Z113" s="951">
        <f t="shared" si="25"/>
        <v>0.28867727628489431</v>
      </c>
      <c r="AA113" s="952">
        <f t="shared" si="26"/>
        <v>0.65999217323245496</v>
      </c>
      <c r="AB113" s="953">
        <f t="shared" si="27"/>
        <v>5.1330550482650665E-2</v>
      </c>
      <c r="AC113" s="281"/>
      <c r="AD113" s="940">
        <v>400</v>
      </c>
      <c r="AE113" s="941">
        <v>65</v>
      </c>
      <c r="AF113" s="942">
        <v>1789</v>
      </c>
      <c r="AG113" s="940">
        <v>1060</v>
      </c>
      <c r="AH113" s="941">
        <v>134</v>
      </c>
      <c r="AI113" s="942">
        <v>3242</v>
      </c>
      <c r="AJ113" s="940">
        <v>83</v>
      </c>
      <c r="AK113" s="941">
        <v>4</v>
      </c>
      <c r="AL113" s="942">
        <v>99</v>
      </c>
      <c r="AM113" s="940">
        <f t="shared" si="28"/>
        <v>1543</v>
      </c>
      <c r="AN113" s="941">
        <f t="shared" si="29"/>
        <v>203</v>
      </c>
      <c r="AO113" s="942">
        <f t="shared" si="30"/>
        <v>5130</v>
      </c>
      <c r="AQ113" s="282">
        <f t="shared" si="31"/>
        <v>0.33459431254891731</v>
      </c>
    </row>
    <row r="114" spans="1:43">
      <c r="A114" s="280" t="s">
        <v>159</v>
      </c>
      <c r="B114" s="280" t="s">
        <v>160</v>
      </c>
      <c r="C114" s="280" t="s">
        <v>271</v>
      </c>
      <c r="D114" s="280">
        <v>3</v>
      </c>
      <c r="E114" s="940">
        <v>179611</v>
      </c>
      <c r="F114" s="941">
        <f t="shared" si="16"/>
        <v>95040</v>
      </c>
      <c r="G114" s="941">
        <f t="shared" si="17"/>
        <v>76818</v>
      </c>
      <c r="H114" s="942">
        <f t="shared" si="18"/>
        <v>7753</v>
      </c>
      <c r="I114" s="281"/>
      <c r="J114" s="940">
        <v>19398</v>
      </c>
      <c r="K114" s="941">
        <v>22233</v>
      </c>
      <c r="L114" s="941">
        <v>1850</v>
      </c>
      <c r="M114" s="942">
        <f t="shared" si="19"/>
        <v>43481</v>
      </c>
      <c r="N114" s="940">
        <v>62718</v>
      </c>
      <c r="O114" s="941">
        <v>48727</v>
      </c>
      <c r="P114" s="941">
        <v>5226</v>
      </c>
      <c r="Q114" s="942">
        <f t="shared" si="20"/>
        <v>116671</v>
      </c>
      <c r="R114" s="940">
        <v>12924</v>
      </c>
      <c r="S114" s="941">
        <v>5858</v>
      </c>
      <c r="T114" s="941">
        <v>677</v>
      </c>
      <c r="U114" s="942">
        <f t="shared" si="21"/>
        <v>19459</v>
      </c>
      <c r="V114" s="281"/>
      <c r="W114" s="951">
        <f t="shared" si="22"/>
        <v>0.52914353797929969</v>
      </c>
      <c r="X114" s="952">
        <f t="shared" si="23"/>
        <v>0.42769095434021304</v>
      </c>
      <c r="Y114" s="953">
        <f t="shared" si="24"/>
        <v>4.3165507680487276E-2</v>
      </c>
      <c r="Z114" s="951">
        <f t="shared" si="25"/>
        <v>0.24208428214307587</v>
      </c>
      <c r="AA114" s="952">
        <f t="shared" si="26"/>
        <v>0.6495760281942643</v>
      </c>
      <c r="AB114" s="953">
        <f t="shared" si="27"/>
        <v>0.10833968966265986</v>
      </c>
      <c r="AC114" s="281"/>
      <c r="AD114" s="940">
        <v>1502</v>
      </c>
      <c r="AE114" s="941">
        <v>348</v>
      </c>
      <c r="AF114" s="942">
        <v>4571</v>
      </c>
      <c r="AG114" s="940">
        <v>4397</v>
      </c>
      <c r="AH114" s="941">
        <v>829</v>
      </c>
      <c r="AI114" s="942">
        <v>8740</v>
      </c>
      <c r="AJ114" s="940">
        <v>616</v>
      </c>
      <c r="AK114" s="941">
        <v>61</v>
      </c>
      <c r="AL114" s="942">
        <v>422</v>
      </c>
      <c r="AM114" s="940">
        <f t="shared" si="28"/>
        <v>6515</v>
      </c>
      <c r="AN114" s="941">
        <f t="shared" si="29"/>
        <v>1238</v>
      </c>
      <c r="AO114" s="942">
        <f t="shared" si="30"/>
        <v>13733</v>
      </c>
      <c r="AQ114" s="282">
        <f t="shared" si="31"/>
        <v>7.645968231344405E-2</v>
      </c>
    </row>
    <row r="115" spans="1:43">
      <c r="A115" s="280" t="s">
        <v>161</v>
      </c>
      <c r="B115" s="280" t="s">
        <v>162</v>
      </c>
      <c r="C115" s="280" t="s">
        <v>271</v>
      </c>
      <c r="D115" s="280">
        <v>3</v>
      </c>
      <c r="E115" s="940">
        <v>242628</v>
      </c>
      <c r="F115" s="941">
        <f t="shared" si="16"/>
        <v>122721</v>
      </c>
      <c r="G115" s="941">
        <f t="shared" si="17"/>
        <v>108170</v>
      </c>
      <c r="H115" s="942">
        <f t="shared" si="18"/>
        <v>11737</v>
      </c>
      <c r="I115" s="281"/>
      <c r="J115" s="940">
        <v>20660</v>
      </c>
      <c r="K115" s="941">
        <v>27770</v>
      </c>
      <c r="L115" s="941">
        <v>2242</v>
      </c>
      <c r="M115" s="942">
        <f t="shared" si="19"/>
        <v>50672</v>
      </c>
      <c r="N115" s="940">
        <v>88788</v>
      </c>
      <c r="O115" s="941">
        <v>71856</v>
      </c>
      <c r="P115" s="941">
        <v>8474</v>
      </c>
      <c r="Q115" s="942">
        <f t="shared" si="20"/>
        <v>169118</v>
      </c>
      <c r="R115" s="940">
        <v>13273</v>
      </c>
      <c r="S115" s="941">
        <v>8544</v>
      </c>
      <c r="T115" s="941">
        <v>1021</v>
      </c>
      <c r="U115" s="942">
        <f t="shared" si="21"/>
        <v>22838</v>
      </c>
      <c r="V115" s="281"/>
      <c r="W115" s="951">
        <f t="shared" si="22"/>
        <v>0.5057990009397102</v>
      </c>
      <c r="X115" s="952">
        <f t="shared" si="23"/>
        <v>0.44582653279918227</v>
      </c>
      <c r="Y115" s="953">
        <f t="shared" si="24"/>
        <v>4.8374466261107536E-2</v>
      </c>
      <c r="Z115" s="951">
        <f t="shared" si="25"/>
        <v>0.20884646454654862</v>
      </c>
      <c r="AA115" s="952">
        <f t="shared" si="26"/>
        <v>0.69702589973127582</v>
      </c>
      <c r="AB115" s="953">
        <f t="shared" si="27"/>
        <v>9.4127635722175515E-2</v>
      </c>
      <c r="AC115" s="281"/>
      <c r="AD115" s="940">
        <v>1911</v>
      </c>
      <c r="AE115" s="941">
        <v>331</v>
      </c>
      <c r="AF115" s="942">
        <v>4411</v>
      </c>
      <c r="AG115" s="940">
        <v>7123</v>
      </c>
      <c r="AH115" s="941">
        <v>1351</v>
      </c>
      <c r="AI115" s="942">
        <v>11906</v>
      </c>
      <c r="AJ115" s="940">
        <v>932</v>
      </c>
      <c r="AK115" s="941">
        <v>89</v>
      </c>
      <c r="AL115" s="942">
        <v>397</v>
      </c>
      <c r="AM115" s="940">
        <f t="shared" si="28"/>
        <v>9966</v>
      </c>
      <c r="AN115" s="941">
        <f t="shared" si="29"/>
        <v>1771</v>
      </c>
      <c r="AO115" s="942">
        <f t="shared" si="30"/>
        <v>16714</v>
      </c>
      <c r="AQ115" s="282">
        <f t="shared" si="31"/>
        <v>6.8887350182171889E-2</v>
      </c>
    </row>
    <row r="116" spans="1:43">
      <c r="A116" s="280" t="s">
        <v>167</v>
      </c>
      <c r="B116" s="280" t="s">
        <v>168</v>
      </c>
      <c r="C116" s="280" t="s">
        <v>275</v>
      </c>
      <c r="D116" s="280">
        <v>1</v>
      </c>
      <c r="E116" s="940">
        <v>4054</v>
      </c>
      <c r="F116" s="941">
        <f t="shared" si="16"/>
        <v>3656</v>
      </c>
      <c r="G116" s="941">
        <f t="shared" si="17"/>
        <v>318</v>
      </c>
      <c r="H116" s="942">
        <f t="shared" si="18"/>
        <v>80</v>
      </c>
      <c r="I116" s="281"/>
      <c r="J116" s="940">
        <v>758</v>
      </c>
      <c r="K116" s="941">
        <v>113</v>
      </c>
      <c r="L116" s="941">
        <v>20</v>
      </c>
      <c r="M116" s="942">
        <f t="shared" si="19"/>
        <v>891</v>
      </c>
      <c r="N116" s="940">
        <v>2354</v>
      </c>
      <c r="O116" s="941">
        <v>182</v>
      </c>
      <c r="P116" s="941">
        <v>52</v>
      </c>
      <c r="Q116" s="942">
        <f t="shared" si="20"/>
        <v>2588</v>
      </c>
      <c r="R116" s="940">
        <v>544</v>
      </c>
      <c r="S116" s="941">
        <v>23</v>
      </c>
      <c r="T116" s="941">
        <v>8</v>
      </c>
      <c r="U116" s="942">
        <f t="shared" si="21"/>
        <v>575</v>
      </c>
      <c r="V116" s="281"/>
      <c r="W116" s="951">
        <f t="shared" si="22"/>
        <v>0.90182535767143557</v>
      </c>
      <c r="X116" s="952">
        <f t="shared" si="23"/>
        <v>7.8441045880611737E-2</v>
      </c>
      <c r="Y116" s="953">
        <f t="shared" si="24"/>
        <v>1.9733596447952639E-2</v>
      </c>
      <c r="Z116" s="951">
        <f t="shared" si="25"/>
        <v>0.21978293043907252</v>
      </c>
      <c r="AA116" s="952">
        <f t="shared" si="26"/>
        <v>0.63838184509126783</v>
      </c>
      <c r="AB116" s="953">
        <f t="shared" si="27"/>
        <v>0.1418352244696596</v>
      </c>
      <c r="AC116" s="281"/>
      <c r="AD116" s="940">
        <v>19</v>
      </c>
      <c r="AE116" s="941">
        <v>1</v>
      </c>
      <c r="AF116" s="942">
        <v>26</v>
      </c>
      <c r="AG116" s="940">
        <v>44</v>
      </c>
      <c r="AH116" s="941">
        <v>8</v>
      </c>
      <c r="AI116" s="942">
        <v>62</v>
      </c>
      <c r="AJ116" s="940">
        <v>7</v>
      </c>
      <c r="AK116" s="941">
        <v>1</v>
      </c>
      <c r="AL116" s="942">
        <v>2</v>
      </c>
      <c r="AM116" s="940">
        <f t="shared" si="28"/>
        <v>70</v>
      </c>
      <c r="AN116" s="941">
        <f t="shared" si="29"/>
        <v>10</v>
      </c>
      <c r="AO116" s="942">
        <f t="shared" si="30"/>
        <v>90</v>
      </c>
      <c r="AQ116" s="282">
        <f t="shared" si="31"/>
        <v>2.2200296003946719E-2</v>
      </c>
    </row>
    <row r="117" spans="1:43">
      <c r="A117" s="280" t="s">
        <v>177</v>
      </c>
      <c r="B117" s="280" t="s">
        <v>178</v>
      </c>
      <c r="C117" s="280" t="s">
        <v>273</v>
      </c>
      <c r="D117" s="280">
        <v>3</v>
      </c>
      <c r="E117" s="940">
        <v>32326</v>
      </c>
      <c r="F117" s="941">
        <f t="shared" si="16"/>
        <v>6269</v>
      </c>
      <c r="G117" s="941">
        <f t="shared" si="17"/>
        <v>25531</v>
      </c>
      <c r="H117" s="942">
        <f t="shared" si="18"/>
        <v>526</v>
      </c>
      <c r="I117" s="281"/>
      <c r="J117" s="940">
        <v>1194</v>
      </c>
      <c r="K117" s="941">
        <v>5605</v>
      </c>
      <c r="L117" s="941">
        <v>139</v>
      </c>
      <c r="M117" s="942">
        <f t="shared" si="19"/>
        <v>6938</v>
      </c>
      <c r="N117" s="940">
        <v>3723</v>
      </c>
      <c r="O117" s="941">
        <v>16344</v>
      </c>
      <c r="P117" s="941">
        <v>320</v>
      </c>
      <c r="Q117" s="942">
        <f t="shared" si="20"/>
        <v>20387</v>
      </c>
      <c r="R117" s="940">
        <v>1352</v>
      </c>
      <c r="S117" s="941">
        <v>3582</v>
      </c>
      <c r="T117" s="941">
        <v>67</v>
      </c>
      <c r="U117" s="942">
        <f t="shared" si="21"/>
        <v>5001</v>
      </c>
      <c r="V117" s="281"/>
      <c r="W117" s="951">
        <f t="shared" si="22"/>
        <v>0.19393058219389964</v>
      </c>
      <c r="X117" s="952">
        <f t="shared" si="23"/>
        <v>0.78979768607312995</v>
      </c>
      <c r="Y117" s="953">
        <f t="shared" si="24"/>
        <v>1.6271731732970366E-2</v>
      </c>
      <c r="Z117" s="951">
        <f t="shared" si="25"/>
        <v>0.21462599764895132</v>
      </c>
      <c r="AA117" s="952">
        <f t="shared" si="26"/>
        <v>0.63066881148301679</v>
      </c>
      <c r="AB117" s="953">
        <f t="shared" si="27"/>
        <v>0.15470519086803192</v>
      </c>
      <c r="AC117" s="281"/>
      <c r="AD117" s="940">
        <v>104</v>
      </c>
      <c r="AE117" s="941">
        <v>35</v>
      </c>
      <c r="AF117" s="942">
        <v>426</v>
      </c>
      <c r="AG117" s="940">
        <v>233</v>
      </c>
      <c r="AH117" s="941">
        <v>87</v>
      </c>
      <c r="AI117" s="942">
        <v>844</v>
      </c>
      <c r="AJ117" s="940">
        <v>50</v>
      </c>
      <c r="AK117" s="941">
        <v>17</v>
      </c>
      <c r="AL117" s="942">
        <v>48</v>
      </c>
      <c r="AM117" s="940">
        <f t="shared" si="28"/>
        <v>387</v>
      </c>
      <c r="AN117" s="941">
        <f t="shared" si="29"/>
        <v>139</v>
      </c>
      <c r="AO117" s="942">
        <f t="shared" si="30"/>
        <v>1318</v>
      </c>
      <c r="AQ117" s="282">
        <f t="shared" si="31"/>
        <v>4.0772133886036011E-2</v>
      </c>
    </row>
    <row r="118" spans="1:43">
      <c r="A118" s="280" t="s">
        <v>181</v>
      </c>
      <c r="B118" s="280" t="s">
        <v>182</v>
      </c>
      <c r="C118" s="280" t="s">
        <v>271</v>
      </c>
      <c r="D118" s="280">
        <v>3</v>
      </c>
      <c r="E118" s="940">
        <v>95684</v>
      </c>
      <c r="F118" s="941">
        <f t="shared" si="16"/>
        <v>41720</v>
      </c>
      <c r="G118" s="941">
        <f t="shared" si="17"/>
        <v>51858</v>
      </c>
      <c r="H118" s="942">
        <f t="shared" si="18"/>
        <v>2106</v>
      </c>
      <c r="I118" s="281"/>
      <c r="J118" s="940">
        <v>8192</v>
      </c>
      <c r="K118" s="941">
        <v>14048</v>
      </c>
      <c r="L118" s="941">
        <v>515</v>
      </c>
      <c r="M118" s="942">
        <f t="shared" si="19"/>
        <v>22755</v>
      </c>
      <c r="N118" s="940">
        <v>26786</v>
      </c>
      <c r="O118" s="941">
        <v>32196</v>
      </c>
      <c r="P118" s="941">
        <v>1405</v>
      </c>
      <c r="Q118" s="942">
        <f t="shared" si="20"/>
        <v>60387</v>
      </c>
      <c r="R118" s="940">
        <v>6742</v>
      </c>
      <c r="S118" s="941">
        <v>5614</v>
      </c>
      <c r="T118" s="941">
        <v>186</v>
      </c>
      <c r="U118" s="942">
        <f t="shared" si="21"/>
        <v>12542</v>
      </c>
      <c r="V118" s="281"/>
      <c r="W118" s="951">
        <f t="shared" si="22"/>
        <v>0.43601856109694409</v>
      </c>
      <c r="X118" s="952">
        <f t="shared" si="23"/>
        <v>0.54197148948622553</v>
      </c>
      <c r="Y118" s="953">
        <f t="shared" si="24"/>
        <v>2.2009949416830401E-2</v>
      </c>
      <c r="Z118" s="951">
        <f t="shared" si="25"/>
        <v>0.23781405459637975</v>
      </c>
      <c r="AA118" s="952">
        <f t="shared" si="26"/>
        <v>0.63110864930395882</v>
      </c>
      <c r="AB118" s="953">
        <f t="shared" si="27"/>
        <v>0.13107729609966137</v>
      </c>
      <c r="AC118" s="281"/>
      <c r="AD118" s="940">
        <v>363</v>
      </c>
      <c r="AE118" s="941">
        <v>152</v>
      </c>
      <c r="AF118" s="942">
        <v>1004</v>
      </c>
      <c r="AG118" s="940">
        <v>1034</v>
      </c>
      <c r="AH118" s="941">
        <v>371</v>
      </c>
      <c r="AI118" s="942">
        <v>2014</v>
      </c>
      <c r="AJ118" s="940">
        <v>138</v>
      </c>
      <c r="AK118" s="941">
        <v>48</v>
      </c>
      <c r="AL118" s="942">
        <v>94</v>
      </c>
      <c r="AM118" s="940">
        <f t="shared" si="28"/>
        <v>1535</v>
      </c>
      <c r="AN118" s="941">
        <f t="shared" si="29"/>
        <v>571</v>
      </c>
      <c r="AO118" s="942">
        <f t="shared" si="30"/>
        <v>3112</v>
      </c>
      <c r="AQ118" s="282">
        <f t="shared" si="31"/>
        <v>3.2523723924585093E-2</v>
      </c>
    </row>
    <row r="119" spans="1:43">
      <c r="A119" s="280" t="s">
        <v>193</v>
      </c>
      <c r="B119" s="280" t="s">
        <v>194</v>
      </c>
      <c r="C119" s="280" t="s">
        <v>275</v>
      </c>
      <c r="D119" s="280">
        <v>1</v>
      </c>
      <c r="E119" s="940">
        <v>16414</v>
      </c>
      <c r="F119" s="941">
        <f t="shared" si="16"/>
        <v>14425</v>
      </c>
      <c r="G119" s="941">
        <f t="shared" si="17"/>
        <v>1486</v>
      </c>
      <c r="H119" s="942">
        <f t="shared" si="18"/>
        <v>503</v>
      </c>
      <c r="I119" s="281"/>
      <c r="J119" s="940">
        <v>1709</v>
      </c>
      <c r="K119" s="941">
        <v>289</v>
      </c>
      <c r="L119" s="941">
        <v>52</v>
      </c>
      <c r="M119" s="942">
        <f t="shared" si="19"/>
        <v>2050</v>
      </c>
      <c r="N119" s="940">
        <v>11385</v>
      </c>
      <c r="O119" s="941">
        <v>1115</v>
      </c>
      <c r="P119" s="941">
        <v>437</v>
      </c>
      <c r="Q119" s="942">
        <f t="shared" si="20"/>
        <v>12937</v>
      </c>
      <c r="R119" s="940">
        <v>1331</v>
      </c>
      <c r="S119" s="941">
        <v>82</v>
      </c>
      <c r="T119" s="941">
        <v>14</v>
      </c>
      <c r="U119" s="942">
        <f t="shared" si="21"/>
        <v>1427</v>
      </c>
      <c r="V119" s="281"/>
      <c r="W119" s="951">
        <f t="shared" si="22"/>
        <v>0.87882295601315952</v>
      </c>
      <c r="X119" s="952">
        <f t="shared" si="23"/>
        <v>9.0532472279761175E-2</v>
      </c>
      <c r="Y119" s="953">
        <f t="shared" si="24"/>
        <v>3.0644571707079321E-2</v>
      </c>
      <c r="Z119" s="951">
        <f t="shared" si="25"/>
        <v>0.12489338369684416</v>
      </c>
      <c r="AA119" s="952">
        <f t="shared" si="26"/>
        <v>0.78816863652979163</v>
      </c>
      <c r="AB119" s="953">
        <f t="shared" si="27"/>
        <v>8.6937979773364205E-2</v>
      </c>
      <c r="AC119" s="281"/>
      <c r="AD119" s="940">
        <v>51</v>
      </c>
      <c r="AE119" s="941">
        <v>1</v>
      </c>
      <c r="AF119" s="942">
        <v>60</v>
      </c>
      <c r="AG119" s="940">
        <v>401</v>
      </c>
      <c r="AH119" s="941">
        <v>36</v>
      </c>
      <c r="AI119" s="942">
        <v>328</v>
      </c>
      <c r="AJ119" s="940">
        <v>11</v>
      </c>
      <c r="AK119" s="941">
        <v>3</v>
      </c>
      <c r="AL119" s="942">
        <v>8</v>
      </c>
      <c r="AM119" s="940">
        <f t="shared" si="28"/>
        <v>463</v>
      </c>
      <c r="AN119" s="941">
        <f t="shared" si="29"/>
        <v>40</v>
      </c>
      <c r="AO119" s="942">
        <f t="shared" si="30"/>
        <v>396</v>
      </c>
      <c r="AQ119" s="282">
        <f t="shared" si="31"/>
        <v>2.4125746314122089E-2</v>
      </c>
    </row>
    <row r="120" spans="1:43">
      <c r="A120" s="280" t="s">
        <v>197</v>
      </c>
      <c r="B120" s="280" t="s">
        <v>334</v>
      </c>
      <c r="C120" s="280" t="s">
        <v>273</v>
      </c>
      <c r="D120" s="280">
        <v>3</v>
      </c>
      <c r="E120" s="940">
        <v>205533</v>
      </c>
      <c r="F120" s="941">
        <f t="shared" si="16"/>
        <v>91905</v>
      </c>
      <c r="G120" s="941">
        <f t="shared" si="17"/>
        <v>106192</v>
      </c>
      <c r="H120" s="942">
        <f t="shared" si="18"/>
        <v>7436</v>
      </c>
      <c r="I120" s="281"/>
      <c r="J120" s="940">
        <v>12533</v>
      </c>
      <c r="K120" s="941">
        <v>25721</v>
      </c>
      <c r="L120" s="941">
        <v>1142</v>
      </c>
      <c r="M120" s="942">
        <f t="shared" si="19"/>
        <v>39396</v>
      </c>
      <c r="N120" s="940">
        <v>68688</v>
      </c>
      <c r="O120" s="941">
        <v>68994</v>
      </c>
      <c r="P120" s="941">
        <v>5979</v>
      </c>
      <c r="Q120" s="942">
        <f t="shared" si="20"/>
        <v>143661</v>
      </c>
      <c r="R120" s="940">
        <v>10684</v>
      </c>
      <c r="S120" s="941">
        <v>11477</v>
      </c>
      <c r="T120" s="941">
        <v>315</v>
      </c>
      <c r="U120" s="942">
        <f t="shared" si="21"/>
        <v>22476</v>
      </c>
      <c r="V120" s="281"/>
      <c r="W120" s="951">
        <f t="shared" si="22"/>
        <v>0.44715447154471544</v>
      </c>
      <c r="X120" s="952">
        <f t="shared" si="23"/>
        <v>0.51666642339672952</v>
      </c>
      <c r="Y120" s="953">
        <f t="shared" si="24"/>
        <v>3.6179105058555074E-2</v>
      </c>
      <c r="Z120" s="951">
        <f t="shared" si="25"/>
        <v>0.19167724890893434</v>
      </c>
      <c r="AA120" s="952">
        <f t="shared" si="26"/>
        <v>0.69896804892644981</v>
      </c>
      <c r="AB120" s="953">
        <f t="shared" si="27"/>
        <v>0.1093547021646159</v>
      </c>
      <c r="AC120" s="281"/>
      <c r="AD120" s="940">
        <v>728</v>
      </c>
      <c r="AE120" s="941">
        <v>414</v>
      </c>
      <c r="AF120" s="942">
        <v>3767</v>
      </c>
      <c r="AG120" s="940">
        <v>4927</v>
      </c>
      <c r="AH120" s="941">
        <v>1052</v>
      </c>
      <c r="AI120" s="942">
        <v>8984</v>
      </c>
      <c r="AJ120" s="940">
        <v>221</v>
      </c>
      <c r="AK120" s="941">
        <v>94</v>
      </c>
      <c r="AL120" s="942">
        <v>287</v>
      </c>
      <c r="AM120" s="940">
        <f t="shared" si="28"/>
        <v>5876</v>
      </c>
      <c r="AN120" s="941">
        <f t="shared" si="29"/>
        <v>1560</v>
      </c>
      <c r="AO120" s="942">
        <f t="shared" si="30"/>
        <v>13038</v>
      </c>
      <c r="AQ120" s="282">
        <f t="shared" si="31"/>
        <v>6.3435068821065227E-2</v>
      </c>
    </row>
    <row r="121" spans="1:43">
      <c r="A121" s="280" t="s">
        <v>201</v>
      </c>
      <c r="B121" s="280" t="s">
        <v>335</v>
      </c>
      <c r="C121" s="280" t="s">
        <v>272</v>
      </c>
      <c r="D121" s="280">
        <v>3</v>
      </c>
      <c r="E121" s="940">
        <v>96714</v>
      </c>
      <c r="F121" s="941">
        <f t="shared" si="16"/>
        <v>65304</v>
      </c>
      <c r="G121" s="941">
        <f t="shared" si="17"/>
        <v>29000</v>
      </c>
      <c r="H121" s="942">
        <f t="shared" si="18"/>
        <v>2410</v>
      </c>
      <c r="I121" s="281"/>
      <c r="J121" s="940">
        <v>12082</v>
      </c>
      <c r="K121" s="941">
        <v>8321</v>
      </c>
      <c r="L121" s="941">
        <v>650</v>
      </c>
      <c r="M121" s="942">
        <f t="shared" si="19"/>
        <v>21053</v>
      </c>
      <c r="N121" s="940">
        <v>42291</v>
      </c>
      <c r="O121" s="941">
        <v>17890</v>
      </c>
      <c r="P121" s="941">
        <v>1609</v>
      </c>
      <c r="Q121" s="942">
        <f t="shared" si="20"/>
        <v>61790</v>
      </c>
      <c r="R121" s="940">
        <v>10931</v>
      </c>
      <c r="S121" s="941">
        <v>2789</v>
      </c>
      <c r="T121" s="941">
        <v>151</v>
      </c>
      <c r="U121" s="942">
        <f t="shared" si="21"/>
        <v>13871</v>
      </c>
      <c r="V121" s="281"/>
      <c r="W121" s="951">
        <f t="shared" si="22"/>
        <v>0.67522799181090642</v>
      </c>
      <c r="X121" s="952">
        <f t="shared" si="23"/>
        <v>0.29985317534172923</v>
      </c>
      <c r="Y121" s="953">
        <f t="shared" si="24"/>
        <v>2.4918832847364392E-2</v>
      </c>
      <c r="Z121" s="951">
        <f t="shared" si="25"/>
        <v>0.21768306553342845</v>
      </c>
      <c r="AA121" s="952">
        <f t="shared" si="26"/>
        <v>0.63889405877122241</v>
      </c>
      <c r="AB121" s="953">
        <f t="shared" si="27"/>
        <v>0.14342287569534917</v>
      </c>
      <c r="AC121" s="281"/>
      <c r="AD121" s="940">
        <v>553</v>
      </c>
      <c r="AE121" s="941">
        <v>97</v>
      </c>
      <c r="AF121" s="942">
        <v>1894</v>
      </c>
      <c r="AG121" s="940">
        <v>1333</v>
      </c>
      <c r="AH121" s="941">
        <v>276</v>
      </c>
      <c r="AI121" s="942">
        <v>3374</v>
      </c>
      <c r="AJ121" s="940">
        <v>132</v>
      </c>
      <c r="AK121" s="941">
        <v>19</v>
      </c>
      <c r="AL121" s="942">
        <v>153</v>
      </c>
      <c r="AM121" s="940">
        <f t="shared" si="28"/>
        <v>2018</v>
      </c>
      <c r="AN121" s="941">
        <f t="shared" si="29"/>
        <v>392</v>
      </c>
      <c r="AO121" s="942">
        <f t="shared" si="30"/>
        <v>5421</v>
      </c>
      <c r="AQ121" s="282">
        <f t="shared" si="31"/>
        <v>5.6051864259569449E-2</v>
      </c>
    </row>
    <row r="122" spans="1:43">
      <c r="A122" s="280" t="s">
        <v>223</v>
      </c>
      <c r="B122" s="280" t="s">
        <v>224</v>
      </c>
      <c r="C122" s="280" t="s">
        <v>271</v>
      </c>
      <c r="D122" s="280">
        <v>3</v>
      </c>
      <c r="E122" s="940">
        <v>84930</v>
      </c>
      <c r="F122" s="941">
        <f t="shared" si="16"/>
        <v>45724</v>
      </c>
      <c r="G122" s="941">
        <f t="shared" si="17"/>
        <v>37051</v>
      </c>
      <c r="H122" s="942">
        <f t="shared" si="18"/>
        <v>2155</v>
      </c>
      <c r="I122" s="281"/>
      <c r="J122" s="940">
        <v>10654</v>
      </c>
      <c r="K122" s="941">
        <v>10479</v>
      </c>
      <c r="L122" s="941">
        <v>653</v>
      </c>
      <c r="M122" s="942">
        <f t="shared" si="19"/>
        <v>21786</v>
      </c>
      <c r="N122" s="940">
        <v>28790</v>
      </c>
      <c r="O122" s="941">
        <v>22962</v>
      </c>
      <c r="P122" s="941">
        <v>1349</v>
      </c>
      <c r="Q122" s="942">
        <f t="shared" si="20"/>
        <v>53101</v>
      </c>
      <c r="R122" s="940">
        <v>6280</v>
      </c>
      <c r="S122" s="941">
        <v>3610</v>
      </c>
      <c r="T122" s="941">
        <v>153</v>
      </c>
      <c r="U122" s="942">
        <f t="shared" si="21"/>
        <v>10043</v>
      </c>
      <c r="V122" s="281"/>
      <c r="W122" s="951">
        <f t="shared" si="22"/>
        <v>0.53837277758153779</v>
      </c>
      <c r="X122" s="952">
        <f t="shared" si="23"/>
        <v>0.43625338514070411</v>
      </c>
      <c r="Y122" s="953">
        <f t="shared" si="24"/>
        <v>2.5373837277758153E-2</v>
      </c>
      <c r="Z122" s="951">
        <f t="shared" si="25"/>
        <v>0.2565171317555634</v>
      </c>
      <c r="AA122" s="952">
        <f t="shared" si="26"/>
        <v>0.62523254444836929</v>
      </c>
      <c r="AB122" s="953">
        <f t="shared" si="27"/>
        <v>0.11825032379606736</v>
      </c>
      <c r="AC122" s="281"/>
      <c r="AD122" s="940">
        <v>535</v>
      </c>
      <c r="AE122" s="941">
        <v>118</v>
      </c>
      <c r="AF122" s="942">
        <v>1012</v>
      </c>
      <c r="AG122" s="940">
        <v>1111</v>
      </c>
      <c r="AH122" s="941">
        <v>238</v>
      </c>
      <c r="AI122" s="942">
        <v>1594</v>
      </c>
      <c r="AJ122" s="940">
        <v>128</v>
      </c>
      <c r="AK122" s="941">
        <v>25</v>
      </c>
      <c r="AL122" s="942">
        <v>86</v>
      </c>
      <c r="AM122" s="940">
        <f t="shared" si="28"/>
        <v>1774</v>
      </c>
      <c r="AN122" s="941">
        <f t="shared" si="29"/>
        <v>381</v>
      </c>
      <c r="AO122" s="942">
        <f t="shared" si="30"/>
        <v>2692</v>
      </c>
      <c r="AQ122" s="282">
        <f t="shared" si="31"/>
        <v>3.1696691392911806E-2</v>
      </c>
    </row>
    <row r="123" spans="1:43">
      <c r="A123" s="280" t="s">
        <v>231</v>
      </c>
      <c r="B123" s="280" t="s">
        <v>232</v>
      </c>
      <c r="C123" s="280" t="s">
        <v>271</v>
      </c>
      <c r="D123" s="280">
        <v>3</v>
      </c>
      <c r="E123" s="940">
        <v>442707</v>
      </c>
      <c r="F123" s="941">
        <f t="shared" si="16"/>
        <v>314516</v>
      </c>
      <c r="G123" s="941">
        <f t="shared" si="17"/>
        <v>93770</v>
      </c>
      <c r="H123" s="942">
        <f t="shared" si="18"/>
        <v>34421</v>
      </c>
      <c r="I123" s="281"/>
      <c r="J123" s="940">
        <v>69141</v>
      </c>
      <c r="K123" s="941">
        <v>27241</v>
      </c>
      <c r="L123" s="941">
        <v>8133</v>
      </c>
      <c r="M123" s="942">
        <f t="shared" si="19"/>
        <v>104515</v>
      </c>
      <c r="N123" s="940">
        <v>206860</v>
      </c>
      <c r="O123" s="941">
        <v>60509</v>
      </c>
      <c r="P123" s="941">
        <v>22703</v>
      </c>
      <c r="Q123" s="942">
        <f t="shared" si="20"/>
        <v>290072</v>
      </c>
      <c r="R123" s="940">
        <v>38515</v>
      </c>
      <c r="S123" s="941">
        <v>6020</v>
      </c>
      <c r="T123" s="941">
        <v>3585</v>
      </c>
      <c r="U123" s="942">
        <f t="shared" si="21"/>
        <v>48120</v>
      </c>
      <c r="V123" s="281"/>
      <c r="W123" s="951">
        <f t="shared" si="22"/>
        <v>0.71043828084941052</v>
      </c>
      <c r="X123" s="952">
        <f t="shared" si="23"/>
        <v>0.21181052027639047</v>
      </c>
      <c r="Y123" s="953">
        <f t="shared" si="24"/>
        <v>7.7751198874198957E-2</v>
      </c>
      <c r="Z123" s="951">
        <f t="shared" si="25"/>
        <v>0.23608165219885838</v>
      </c>
      <c r="AA123" s="952">
        <f t="shared" si="26"/>
        <v>0.65522343220233703</v>
      </c>
      <c r="AB123" s="953">
        <f t="shared" si="27"/>
        <v>0.10869491559880462</v>
      </c>
      <c r="AC123" s="281"/>
      <c r="AD123" s="940">
        <v>7516</v>
      </c>
      <c r="AE123" s="941">
        <v>617</v>
      </c>
      <c r="AF123" s="942">
        <v>10512</v>
      </c>
      <c r="AG123" s="940">
        <v>21033</v>
      </c>
      <c r="AH123" s="941">
        <v>1670</v>
      </c>
      <c r="AI123" s="942">
        <v>19305</v>
      </c>
      <c r="AJ123" s="940">
        <v>3445</v>
      </c>
      <c r="AK123" s="941">
        <v>140</v>
      </c>
      <c r="AL123" s="942">
        <v>1121</v>
      </c>
      <c r="AM123" s="940">
        <f t="shared" si="28"/>
        <v>31994</v>
      </c>
      <c r="AN123" s="941">
        <f t="shared" si="29"/>
        <v>2427</v>
      </c>
      <c r="AO123" s="942">
        <f t="shared" si="30"/>
        <v>30938</v>
      </c>
      <c r="AQ123" s="282">
        <f t="shared" si="31"/>
        <v>6.9883692826180746E-2</v>
      </c>
    </row>
    <row r="124" spans="1:43">
      <c r="A124" s="280" t="s">
        <v>239</v>
      </c>
      <c r="B124" s="280" t="s">
        <v>240</v>
      </c>
      <c r="C124" s="280" t="s">
        <v>271</v>
      </c>
      <c r="D124" s="280">
        <v>1</v>
      </c>
      <c r="E124" s="940">
        <v>14444</v>
      </c>
      <c r="F124" s="941">
        <f t="shared" si="16"/>
        <v>11227</v>
      </c>
      <c r="G124" s="941">
        <f t="shared" si="17"/>
        <v>2233</v>
      </c>
      <c r="H124" s="942">
        <f t="shared" si="18"/>
        <v>984</v>
      </c>
      <c r="I124" s="281"/>
      <c r="J124" s="940">
        <v>996</v>
      </c>
      <c r="K124" s="941">
        <v>428</v>
      </c>
      <c r="L124" s="941">
        <v>94</v>
      </c>
      <c r="M124" s="942">
        <f t="shared" si="19"/>
        <v>1518</v>
      </c>
      <c r="N124" s="940">
        <v>8621</v>
      </c>
      <c r="O124" s="941">
        <v>1577</v>
      </c>
      <c r="P124" s="941">
        <v>857</v>
      </c>
      <c r="Q124" s="942">
        <f t="shared" si="20"/>
        <v>11055</v>
      </c>
      <c r="R124" s="940">
        <v>1610</v>
      </c>
      <c r="S124" s="941">
        <v>228</v>
      </c>
      <c r="T124" s="941">
        <v>33</v>
      </c>
      <c r="U124" s="942">
        <f t="shared" si="21"/>
        <v>1871</v>
      </c>
      <c r="V124" s="281"/>
      <c r="W124" s="951">
        <f t="shared" si="22"/>
        <v>0.77727776239268898</v>
      </c>
      <c r="X124" s="952">
        <f t="shared" si="23"/>
        <v>0.15459706452506231</v>
      </c>
      <c r="Y124" s="953">
        <f t="shared" si="24"/>
        <v>6.8125173082248691E-2</v>
      </c>
      <c r="Z124" s="951">
        <f t="shared" si="25"/>
        <v>0.10509554140127389</v>
      </c>
      <c r="AA124" s="952">
        <f t="shared" si="26"/>
        <v>0.76536970368319024</v>
      </c>
      <c r="AB124" s="953">
        <f t="shared" si="27"/>
        <v>0.12953475491553587</v>
      </c>
      <c r="AC124" s="281"/>
      <c r="AD124" s="940">
        <v>86</v>
      </c>
      <c r="AE124" s="941">
        <v>8</v>
      </c>
      <c r="AF124" s="942">
        <v>181</v>
      </c>
      <c r="AG124" s="940">
        <v>814</v>
      </c>
      <c r="AH124" s="941">
        <v>43</v>
      </c>
      <c r="AI124" s="942">
        <v>797</v>
      </c>
      <c r="AJ124" s="940">
        <v>29</v>
      </c>
      <c r="AK124" s="941">
        <v>4</v>
      </c>
      <c r="AL124" s="942">
        <v>18</v>
      </c>
      <c r="AM124" s="940">
        <f t="shared" si="28"/>
        <v>929</v>
      </c>
      <c r="AN124" s="941">
        <f t="shared" si="29"/>
        <v>55</v>
      </c>
      <c r="AO124" s="942">
        <f t="shared" si="30"/>
        <v>996</v>
      </c>
      <c r="AQ124" s="282">
        <f t="shared" si="31"/>
        <v>6.8955967875934637E-2</v>
      </c>
    </row>
    <row r="125" spans="1:43">
      <c r="A125" s="280" t="s">
        <v>241</v>
      </c>
      <c r="B125" s="280" t="s">
        <v>242</v>
      </c>
      <c r="C125" s="280" t="s">
        <v>274</v>
      </c>
      <c r="D125" s="280">
        <v>2</v>
      </c>
      <c r="E125" s="940">
        <v>26587</v>
      </c>
      <c r="F125" s="941">
        <f t="shared" si="16"/>
        <v>22239</v>
      </c>
      <c r="G125" s="941">
        <f t="shared" si="17"/>
        <v>3352</v>
      </c>
      <c r="H125" s="942">
        <f t="shared" si="18"/>
        <v>996</v>
      </c>
      <c r="I125" s="281"/>
      <c r="J125" s="940">
        <v>4692</v>
      </c>
      <c r="K125" s="941">
        <v>1035</v>
      </c>
      <c r="L125" s="941">
        <v>290</v>
      </c>
      <c r="M125" s="942">
        <f t="shared" si="19"/>
        <v>6017</v>
      </c>
      <c r="N125" s="940">
        <v>14127</v>
      </c>
      <c r="O125" s="941">
        <v>2047</v>
      </c>
      <c r="P125" s="941">
        <v>663</v>
      </c>
      <c r="Q125" s="942">
        <f t="shared" si="20"/>
        <v>16837</v>
      </c>
      <c r="R125" s="940">
        <v>3420</v>
      </c>
      <c r="S125" s="941">
        <v>270</v>
      </c>
      <c r="T125" s="941">
        <v>43</v>
      </c>
      <c r="U125" s="942">
        <f t="shared" si="21"/>
        <v>3733</v>
      </c>
      <c r="V125" s="281"/>
      <c r="W125" s="951">
        <f t="shared" si="22"/>
        <v>0.83646142851769667</v>
      </c>
      <c r="X125" s="952">
        <f t="shared" si="23"/>
        <v>0.12607665400383647</v>
      </c>
      <c r="Y125" s="953">
        <f t="shared" si="24"/>
        <v>3.7461917478466923E-2</v>
      </c>
      <c r="Z125" s="951">
        <f t="shared" si="25"/>
        <v>0.22631361191559785</v>
      </c>
      <c r="AA125" s="952">
        <f t="shared" si="26"/>
        <v>0.63327942227404366</v>
      </c>
      <c r="AB125" s="953">
        <f t="shared" si="27"/>
        <v>0.14040696581035844</v>
      </c>
      <c r="AC125" s="281"/>
      <c r="AD125" s="940">
        <v>206</v>
      </c>
      <c r="AE125" s="941">
        <v>84</v>
      </c>
      <c r="AF125" s="942">
        <v>1639</v>
      </c>
      <c r="AG125" s="940">
        <v>496</v>
      </c>
      <c r="AH125" s="941">
        <v>167</v>
      </c>
      <c r="AI125" s="942">
        <v>2490</v>
      </c>
      <c r="AJ125" s="940">
        <v>40</v>
      </c>
      <c r="AK125" s="941">
        <v>3</v>
      </c>
      <c r="AL125" s="942">
        <v>70</v>
      </c>
      <c r="AM125" s="940">
        <f t="shared" si="28"/>
        <v>742</v>
      </c>
      <c r="AN125" s="941">
        <f t="shared" si="29"/>
        <v>254</v>
      </c>
      <c r="AO125" s="942">
        <f t="shared" si="30"/>
        <v>4199</v>
      </c>
      <c r="AQ125" s="282">
        <f t="shared" si="31"/>
        <v>0.15793432880731184</v>
      </c>
    </row>
    <row r="126" spans="1:43">
      <c r="E126" s="281"/>
      <c r="F126" s="281"/>
      <c r="G126" s="281"/>
      <c r="H126" s="281"/>
      <c r="I126" s="281"/>
      <c r="J126" s="281"/>
      <c r="K126" s="281"/>
      <c r="L126" s="281"/>
      <c r="M126" s="281"/>
      <c r="N126" s="281"/>
      <c r="O126" s="281"/>
      <c r="P126" s="281"/>
      <c r="Q126" s="281"/>
      <c r="R126" s="281"/>
      <c r="S126" s="281"/>
      <c r="T126" s="281"/>
      <c r="U126" s="281"/>
      <c r="V126" s="281"/>
      <c r="W126" s="941"/>
      <c r="X126" s="941"/>
      <c r="Y126" s="941"/>
      <c r="Z126" s="941"/>
      <c r="AA126" s="941"/>
      <c r="AB126" s="942"/>
      <c r="AC126" s="281"/>
      <c r="AD126" s="281"/>
      <c r="AE126" s="281"/>
      <c r="AF126" s="281"/>
      <c r="AG126" s="281"/>
      <c r="AH126" s="281"/>
      <c r="AI126" s="281"/>
      <c r="AJ126" s="281"/>
      <c r="AK126" s="281"/>
      <c r="AL126" s="281"/>
    </row>
    <row r="127" spans="1:43">
      <c r="A127" s="64" t="s">
        <v>970</v>
      </c>
      <c r="E127" s="281"/>
      <c r="F127" s="281"/>
      <c r="G127" s="281"/>
      <c r="H127" s="281"/>
      <c r="I127" s="281"/>
      <c r="J127" s="281"/>
      <c r="K127" s="281"/>
      <c r="L127" s="281"/>
      <c r="M127" s="281"/>
      <c r="N127" s="281"/>
      <c r="O127" s="281"/>
      <c r="P127" s="281"/>
      <c r="Q127" s="281"/>
      <c r="R127" s="281"/>
      <c r="S127" s="281"/>
      <c r="T127" s="281"/>
      <c r="U127" s="281"/>
      <c r="V127" s="281"/>
      <c r="W127" s="941"/>
      <c r="X127" s="941"/>
      <c r="Y127" s="941"/>
      <c r="Z127" s="941"/>
      <c r="AA127" s="941"/>
      <c r="AB127" s="942"/>
      <c r="AC127" s="281"/>
      <c r="AD127" s="281"/>
      <c r="AE127" s="281"/>
      <c r="AF127" s="281"/>
      <c r="AG127" s="281"/>
      <c r="AH127" s="281"/>
      <c r="AI127" s="281"/>
      <c r="AJ127" s="281"/>
      <c r="AK127" s="281"/>
      <c r="AL127" s="281"/>
    </row>
    <row r="128" spans="1:43">
      <c r="A128" s="280" t="s">
        <v>273</v>
      </c>
      <c r="E128" s="940">
        <v>1327438</v>
      </c>
      <c r="F128" s="941">
        <f t="shared" ref="F128:H132" si="32">J128+N128+R128</f>
        <v>865681</v>
      </c>
      <c r="G128" s="941">
        <f t="shared" si="32"/>
        <v>408118</v>
      </c>
      <c r="H128" s="942">
        <f t="shared" si="32"/>
        <v>53639</v>
      </c>
      <c r="I128" s="281"/>
      <c r="J128" s="281">
        <v>183233</v>
      </c>
      <c r="K128" s="281">
        <v>103555</v>
      </c>
      <c r="L128" s="281">
        <v>13617</v>
      </c>
      <c r="M128" s="281">
        <f>SUM(J128:L128)</f>
        <v>300405</v>
      </c>
      <c r="N128" s="940">
        <v>551822</v>
      </c>
      <c r="O128" s="941">
        <v>261958</v>
      </c>
      <c r="P128" s="941">
        <v>36517</v>
      </c>
      <c r="Q128" s="942">
        <f>SUM(N128:P128)</f>
        <v>850297</v>
      </c>
      <c r="R128" s="940">
        <v>130626</v>
      </c>
      <c r="S128" s="941">
        <v>42605</v>
      </c>
      <c r="T128" s="941">
        <v>3505</v>
      </c>
      <c r="U128" s="942">
        <f>SUM(R128:T128)</f>
        <v>176736</v>
      </c>
      <c r="V128" s="281"/>
      <c r="W128" s="951">
        <f>F128/E128</f>
        <v>0.65214420560508291</v>
      </c>
      <c r="X128" s="952">
        <f>G128/E128</f>
        <v>0.3074478808049792</v>
      </c>
      <c r="Y128" s="953">
        <f>H128/E128</f>
        <v>4.0407913589937908E-2</v>
      </c>
      <c r="Z128" s="952">
        <f>M128/E128</f>
        <v>0.22630435470432517</v>
      </c>
      <c r="AA128" s="952">
        <f>Q128/E128</f>
        <v>0.64055496377231935</v>
      </c>
      <c r="AB128" s="953">
        <f>U128/E128</f>
        <v>0.13314068152335551</v>
      </c>
      <c r="AC128" s="281"/>
      <c r="AD128" s="940">
        <v>11470</v>
      </c>
      <c r="AE128" s="941">
        <v>2147</v>
      </c>
      <c r="AF128" s="942">
        <v>22619</v>
      </c>
      <c r="AG128" s="940">
        <v>31283</v>
      </c>
      <c r="AH128" s="941">
        <v>5234</v>
      </c>
      <c r="AI128" s="942">
        <v>42623</v>
      </c>
      <c r="AJ128" s="940">
        <v>2814</v>
      </c>
      <c r="AK128" s="941">
        <v>691</v>
      </c>
      <c r="AL128" s="942">
        <v>2051</v>
      </c>
      <c r="AM128" s="943">
        <f t="shared" ref="AM128:AO132" si="33">AD128+AG128+AJ128</f>
        <v>45567</v>
      </c>
      <c r="AN128" s="944">
        <f t="shared" si="33"/>
        <v>8072</v>
      </c>
      <c r="AO128" s="945">
        <f t="shared" si="33"/>
        <v>67293</v>
      </c>
      <c r="AQ128" s="282">
        <f>AO128/E128</f>
        <v>5.0693893048112226E-2</v>
      </c>
    </row>
    <row r="129" spans="1:43">
      <c r="A129" s="280" t="s">
        <v>271</v>
      </c>
      <c r="E129" s="940">
        <v>1840395</v>
      </c>
      <c r="F129" s="941">
        <f t="shared" si="32"/>
        <v>1134741</v>
      </c>
      <c r="G129" s="941">
        <f t="shared" si="32"/>
        <v>621388</v>
      </c>
      <c r="H129" s="942">
        <f t="shared" si="32"/>
        <v>84266</v>
      </c>
      <c r="I129" s="281"/>
      <c r="J129" s="281">
        <v>238775</v>
      </c>
      <c r="K129" s="281">
        <v>164457</v>
      </c>
      <c r="L129" s="281">
        <v>20173</v>
      </c>
      <c r="M129" s="281">
        <f>SUM(J129:L129)</f>
        <v>423405</v>
      </c>
      <c r="N129" s="940">
        <v>737702</v>
      </c>
      <c r="O129" s="941">
        <v>398549</v>
      </c>
      <c r="P129" s="941">
        <v>56435</v>
      </c>
      <c r="Q129" s="942">
        <f>SUM(N129:P129)</f>
        <v>1192686</v>
      </c>
      <c r="R129" s="940">
        <v>158264</v>
      </c>
      <c r="S129" s="941">
        <v>58382</v>
      </c>
      <c r="T129" s="941">
        <v>7658</v>
      </c>
      <c r="U129" s="942">
        <f>SUM(R129:T129)</f>
        <v>224304</v>
      </c>
      <c r="V129" s="281"/>
      <c r="W129" s="951">
        <f>F129/E129</f>
        <v>0.61657470271327619</v>
      </c>
      <c r="X129" s="952">
        <f>G129/E129</f>
        <v>0.33763838741139812</v>
      </c>
      <c r="Y129" s="953">
        <f>H129/E129</f>
        <v>4.5786909875325681E-2</v>
      </c>
      <c r="Z129" s="952">
        <f>M129/E129</f>
        <v>0.2300620247283871</v>
      </c>
      <c r="AA129" s="952">
        <f>Q129/E129</f>
        <v>0.64805979151214821</v>
      </c>
      <c r="AB129" s="953">
        <f>U129/E129</f>
        <v>0.12187818375946469</v>
      </c>
      <c r="AC129" s="281"/>
      <c r="AD129" s="940">
        <v>17529</v>
      </c>
      <c r="AE129" s="941">
        <v>2644</v>
      </c>
      <c r="AF129" s="942">
        <v>33854</v>
      </c>
      <c r="AG129" s="940">
        <v>49201</v>
      </c>
      <c r="AH129" s="941">
        <v>7234</v>
      </c>
      <c r="AI129" s="942">
        <v>64977</v>
      </c>
      <c r="AJ129" s="940">
        <v>6988</v>
      </c>
      <c r="AK129" s="941">
        <v>670</v>
      </c>
      <c r="AL129" s="942">
        <v>3315</v>
      </c>
      <c r="AM129" s="943">
        <f t="shared" si="33"/>
        <v>73718</v>
      </c>
      <c r="AN129" s="944">
        <f t="shared" si="33"/>
        <v>10548</v>
      </c>
      <c r="AO129" s="945">
        <f t="shared" si="33"/>
        <v>102146</v>
      </c>
      <c r="AQ129" s="282">
        <f>AO129/E129</f>
        <v>5.5502215556986409E-2</v>
      </c>
    </row>
    <row r="130" spans="1:43">
      <c r="A130" s="280" t="s">
        <v>274</v>
      </c>
      <c r="E130" s="940">
        <v>3172874</v>
      </c>
      <c r="F130" s="941">
        <f t="shared" si="32"/>
        <v>2381893</v>
      </c>
      <c r="G130" s="941">
        <f t="shared" si="32"/>
        <v>405675</v>
      </c>
      <c r="H130" s="942">
        <f t="shared" si="32"/>
        <v>385306</v>
      </c>
      <c r="I130" s="281"/>
      <c r="J130" s="281">
        <v>560236</v>
      </c>
      <c r="K130" s="281">
        <v>118235</v>
      </c>
      <c r="L130" s="281">
        <v>99315</v>
      </c>
      <c r="M130" s="281">
        <f>SUM(J130:L130)</f>
        <v>777786</v>
      </c>
      <c r="N130" s="940">
        <v>1559972</v>
      </c>
      <c r="O130" s="941">
        <v>262121</v>
      </c>
      <c r="P130" s="941">
        <v>258190</v>
      </c>
      <c r="Q130" s="942">
        <f>SUM(N130:P130)</f>
        <v>2080283</v>
      </c>
      <c r="R130" s="940">
        <v>261685</v>
      </c>
      <c r="S130" s="941">
        <v>25319</v>
      </c>
      <c r="T130" s="941">
        <v>27801</v>
      </c>
      <c r="U130" s="942">
        <f>SUM(R130:T130)</f>
        <v>314805</v>
      </c>
      <c r="V130" s="281"/>
      <c r="W130" s="951">
        <f>F130/E130</f>
        <v>0.7507051966135434</v>
      </c>
      <c r="X130" s="952">
        <f>G130/E130</f>
        <v>0.12785726757507546</v>
      </c>
      <c r="Y130" s="953">
        <f>H130/E130</f>
        <v>0.1214375358113811</v>
      </c>
      <c r="Z130" s="952">
        <f>M130/E130</f>
        <v>0.24513611318949319</v>
      </c>
      <c r="AA130" s="952">
        <f>Q130/E130</f>
        <v>0.65564626896624323</v>
      </c>
      <c r="AB130" s="953">
        <f>U130/E130</f>
        <v>9.9217617844263598E-2</v>
      </c>
      <c r="AC130" s="281"/>
      <c r="AD130" s="940">
        <v>92296</v>
      </c>
      <c r="AE130" s="941">
        <v>7019</v>
      </c>
      <c r="AF130" s="942">
        <v>141706</v>
      </c>
      <c r="AG130" s="940">
        <v>242752</v>
      </c>
      <c r="AH130" s="941">
        <v>15438</v>
      </c>
      <c r="AI130" s="942">
        <v>287323</v>
      </c>
      <c r="AJ130" s="940">
        <v>26842</v>
      </c>
      <c r="AK130" s="941">
        <v>959</v>
      </c>
      <c r="AL130" s="942">
        <v>14840</v>
      </c>
      <c r="AM130" s="943">
        <f t="shared" si="33"/>
        <v>361890</v>
      </c>
      <c r="AN130" s="944">
        <f t="shared" si="33"/>
        <v>23416</v>
      </c>
      <c r="AO130" s="945">
        <f t="shared" si="33"/>
        <v>443869</v>
      </c>
      <c r="AQ130" s="282">
        <f>AO130/E130</f>
        <v>0.13989493437180298</v>
      </c>
    </row>
    <row r="131" spans="1:43">
      <c r="A131" s="280" t="s">
        <v>272</v>
      </c>
      <c r="E131" s="940">
        <v>1160045</v>
      </c>
      <c r="F131" s="941">
        <f t="shared" si="32"/>
        <v>927270</v>
      </c>
      <c r="G131" s="941">
        <f t="shared" si="32"/>
        <v>207249</v>
      </c>
      <c r="H131" s="942">
        <f t="shared" si="32"/>
        <v>25526</v>
      </c>
      <c r="I131" s="281"/>
      <c r="J131" s="281">
        <v>180193</v>
      </c>
      <c r="K131" s="281">
        <v>52688</v>
      </c>
      <c r="L131" s="281">
        <v>6120</v>
      </c>
      <c r="M131" s="281">
        <f>SUM(J131:L131)</f>
        <v>239001</v>
      </c>
      <c r="N131" s="940">
        <v>577677</v>
      </c>
      <c r="O131" s="941">
        <v>128570</v>
      </c>
      <c r="P131" s="941">
        <v>17957</v>
      </c>
      <c r="Q131" s="942">
        <f>SUM(N131:P131)</f>
        <v>724204</v>
      </c>
      <c r="R131" s="940">
        <v>169400</v>
      </c>
      <c r="S131" s="941">
        <v>25991</v>
      </c>
      <c r="T131" s="941">
        <v>1449</v>
      </c>
      <c r="U131" s="942">
        <f>SUM(R131:T131)</f>
        <v>196840</v>
      </c>
      <c r="V131" s="281"/>
      <c r="W131" s="951">
        <f>F131/E131</f>
        <v>0.79933968078824524</v>
      </c>
      <c r="X131" s="952">
        <f>G131/E131</f>
        <v>0.17865600041377705</v>
      </c>
      <c r="Y131" s="953">
        <f>H131/E131</f>
        <v>2.2004318797977665E-2</v>
      </c>
      <c r="Z131" s="952">
        <f>M131/E131</f>
        <v>0.20602735238719189</v>
      </c>
      <c r="AA131" s="952">
        <f>Q131/E131</f>
        <v>0.62428957497338466</v>
      </c>
      <c r="AB131" s="953">
        <f>U131/E131</f>
        <v>0.16968307263942348</v>
      </c>
      <c r="AC131" s="281"/>
      <c r="AD131" s="940">
        <v>5107</v>
      </c>
      <c r="AE131" s="941">
        <v>1013</v>
      </c>
      <c r="AF131" s="942">
        <v>12706</v>
      </c>
      <c r="AG131" s="940">
        <v>15207</v>
      </c>
      <c r="AH131" s="941">
        <v>2750</v>
      </c>
      <c r="AI131" s="942">
        <v>22497</v>
      </c>
      <c r="AJ131" s="940">
        <v>1103</v>
      </c>
      <c r="AK131" s="941">
        <v>346</v>
      </c>
      <c r="AL131" s="942">
        <v>1341</v>
      </c>
      <c r="AM131" s="943">
        <f t="shared" si="33"/>
        <v>21417</v>
      </c>
      <c r="AN131" s="944">
        <f t="shared" si="33"/>
        <v>4109</v>
      </c>
      <c r="AO131" s="945">
        <f t="shared" si="33"/>
        <v>36544</v>
      </c>
      <c r="AQ131" s="282">
        <f>AO131/E131</f>
        <v>3.1502226206741979E-2</v>
      </c>
    </row>
    <row r="132" spans="1:43">
      <c r="A132" s="280" t="s">
        <v>275</v>
      </c>
      <c r="E132" s="940">
        <v>595852</v>
      </c>
      <c r="F132" s="941">
        <f t="shared" si="32"/>
        <v>564253</v>
      </c>
      <c r="G132" s="941">
        <f t="shared" si="32"/>
        <v>21888</v>
      </c>
      <c r="H132" s="942">
        <f t="shared" si="32"/>
        <v>9711</v>
      </c>
      <c r="I132" s="281"/>
      <c r="J132" s="281">
        <v>106433</v>
      </c>
      <c r="K132" s="281">
        <v>4981</v>
      </c>
      <c r="L132" s="281">
        <v>1535</v>
      </c>
      <c r="M132" s="281">
        <f>SUM(J132:L132)</f>
        <v>112949</v>
      </c>
      <c r="N132" s="940">
        <v>361796</v>
      </c>
      <c r="O132" s="941">
        <v>15026</v>
      </c>
      <c r="P132" s="941">
        <v>7703</v>
      </c>
      <c r="Q132" s="942">
        <f>SUM(N132:P132)</f>
        <v>384525</v>
      </c>
      <c r="R132" s="940">
        <v>96024</v>
      </c>
      <c r="S132" s="941">
        <v>1881</v>
      </c>
      <c r="T132" s="941">
        <v>473</v>
      </c>
      <c r="U132" s="942">
        <f>SUM(R132:T132)</f>
        <v>98378</v>
      </c>
      <c r="V132" s="281"/>
      <c r="W132" s="951">
        <f>F132/E132</f>
        <v>0.9469683746970724</v>
      </c>
      <c r="X132" s="952">
        <f>G132/E132</f>
        <v>3.6733954069131262E-2</v>
      </c>
      <c r="Y132" s="953">
        <f>H132/E132</f>
        <v>1.6297671233796312E-2</v>
      </c>
      <c r="Z132" s="952">
        <f>M132/E132</f>
        <v>0.18955881661889193</v>
      </c>
      <c r="AA132" s="952">
        <f>Q132/E132</f>
        <v>0.6453364258238623</v>
      </c>
      <c r="AB132" s="953">
        <f>U132/E132</f>
        <v>0.16510475755724577</v>
      </c>
      <c r="AC132" s="281"/>
      <c r="AD132" s="940">
        <v>1247</v>
      </c>
      <c r="AE132" s="941">
        <v>288</v>
      </c>
      <c r="AF132" s="942">
        <v>3439</v>
      </c>
      <c r="AG132" s="940">
        <v>6730</v>
      </c>
      <c r="AH132" s="941">
        <v>973</v>
      </c>
      <c r="AI132" s="942">
        <v>6984</v>
      </c>
      <c r="AJ132" s="940">
        <v>343</v>
      </c>
      <c r="AK132" s="941">
        <v>130</v>
      </c>
      <c r="AL132" s="942">
        <v>455</v>
      </c>
      <c r="AM132" s="943">
        <f t="shared" si="33"/>
        <v>8320</v>
      </c>
      <c r="AN132" s="944">
        <f t="shared" si="33"/>
        <v>1391</v>
      </c>
      <c r="AO132" s="945">
        <f t="shared" si="33"/>
        <v>10878</v>
      </c>
      <c r="AQ132" s="282">
        <f>AO132/E132</f>
        <v>1.8256211273940507E-2</v>
      </c>
    </row>
    <row r="135" spans="1:43">
      <c r="A135" s="929" t="s">
        <v>1126</v>
      </c>
    </row>
    <row r="137" spans="1:43">
      <c r="A137" s="542" t="s">
        <v>249</v>
      </c>
      <c r="B137" s="542"/>
    </row>
    <row r="138" spans="1:43">
      <c r="A138" s="543" t="s">
        <v>250</v>
      </c>
      <c r="B138" s="544" t="s">
        <v>251</v>
      </c>
    </row>
  </sheetData>
  <autoFilter ref="A4:D4"/>
  <mergeCells count="10">
    <mergeCell ref="E3:H3"/>
    <mergeCell ref="W3:Y3"/>
    <mergeCell ref="AM3:AO3"/>
    <mergeCell ref="AD3:AF3"/>
    <mergeCell ref="AG3:AI3"/>
    <mergeCell ref="AJ3:AL3"/>
    <mergeCell ref="J3:M3"/>
    <mergeCell ref="R3:U3"/>
    <mergeCell ref="N3:Q3"/>
    <mergeCell ref="Z3:AB3"/>
  </mergeCells>
  <hyperlinks>
    <hyperlink ref="B138" r:id="rId1"/>
  </hyperlinks>
  <pageMargins left="0.7" right="0.7" top="0.75" bottom="0.75" header="0.3" footer="0.3"/>
  <pageSetup orientation="portrait" r:id="rId2"/>
</worksheet>
</file>

<file path=xl/worksheets/sheet7.xml><?xml version="1.0" encoding="utf-8"?>
<worksheet xmlns="http://schemas.openxmlformats.org/spreadsheetml/2006/main" xmlns:r="http://schemas.openxmlformats.org/officeDocument/2006/relationships">
  <dimension ref="A1:AA135"/>
  <sheetViews>
    <sheetView workbookViewId="0">
      <pane ySplit="4" topLeftCell="A109" activePane="bottomLeft" state="frozen"/>
      <selection pane="bottomLeft" activeCell="A125" sqref="A125:A130"/>
    </sheetView>
  </sheetViews>
  <sheetFormatPr defaultRowHeight="15.75"/>
  <cols>
    <col min="1" max="1" width="8.75" style="511" customWidth="1"/>
    <col min="2" max="2" width="27.5" style="511" customWidth="1"/>
    <col min="3" max="3" width="5.875" style="511" customWidth="1"/>
    <col min="4" max="13" width="6" style="511" bestFit="1" customWidth="1"/>
    <col min="14" max="14" width="7.5" style="511" customWidth="1"/>
    <col min="15" max="15" width="3.625" style="511" customWidth="1"/>
    <col min="16" max="23" width="7.375" style="511" bestFit="1" customWidth="1"/>
    <col min="24" max="26" width="7.875" style="511" bestFit="1" customWidth="1"/>
    <col min="27" max="27" width="7.875" style="511" customWidth="1"/>
    <col min="28" max="16384" width="9" style="511"/>
  </cols>
  <sheetData>
    <row r="1" spans="1:27">
      <c r="A1" s="199" t="s">
        <v>1116</v>
      </c>
    </row>
    <row r="2" spans="1:27">
      <c r="C2" s="1642"/>
      <c r="D2" s="1642"/>
      <c r="E2" s="1642"/>
      <c r="F2" s="1642"/>
      <c r="G2" s="1642"/>
      <c r="H2" s="1642"/>
      <c r="I2" s="1642"/>
      <c r="J2" s="1642"/>
      <c r="K2" s="1642"/>
      <c r="L2" s="1642"/>
      <c r="M2" s="1642"/>
      <c r="N2" s="335"/>
      <c r="P2" s="1642"/>
      <c r="Q2" s="1642"/>
      <c r="R2" s="1642"/>
      <c r="S2" s="1642"/>
      <c r="T2" s="1642"/>
      <c r="U2" s="1642"/>
      <c r="V2" s="1642"/>
      <c r="W2" s="1642"/>
      <c r="X2" s="1642"/>
      <c r="Y2" s="1642"/>
      <c r="Z2" s="1642"/>
      <c r="AA2" s="335"/>
    </row>
    <row r="3" spans="1:27" ht="33" customHeight="1">
      <c r="A3" s="721" t="s">
        <v>4</v>
      </c>
      <c r="B3" s="722" t="s">
        <v>5</v>
      </c>
      <c r="C3" s="647">
        <v>2000</v>
      </c>
      <c r="D3" s="647">
        <v>2001</v>
      </c>
      <c r="E3" s="647">
        <v>2002</v>
      </c>
      <c r="F3" s="647">
        <v>2003</v>
      </c>
      <c r="G3" s="647">
        <v>2004</v>
      </c>
      <c r="H3" s="647">
        <v>2005</v>
      </c>
      <c r="I3" s="647">
        <v>2006</v>
      </c>
      <c r="J3" s="647">
        <v>2007</v>
      </c>
      <c r="K3" s="648">
        <v>2008</v>
      </c>
      <c r="L3" s="648">
        <v>2009</v>
      </c>
      <c r="M3" s="649">
        <v>2010</v>
      </c>
      <c r="N3" s="650">
        <v>2011</v>
      </c>
      <c r="O3" s="642"/>
      <c r="P3" s="647">
        <v>2000</v>
      </c>
      <c r="Q3" s="647">
        <v>2001</v>
      </c>
      <c r="R3" s="647">
        <v>2002</v>
      </c>
      <c r="S3" s="647">
        <v>2003</v>
      </c>
      <c r="T3" s="647">
        <v>2004</v>
      </c>
      <c r="U3" s="647">
        <v>2005</v>
      </c>
      <c r="V3" s="647">
        <v>2006</v>
      </c>
      <c r="W3" s="647">
        <v>2007</v>
      </c>
      <c r="X3" s="651">
        <v>2008</v>
      </c>
      <c r="Y3" s="651">
        <v>2009</v>
      </c>
      <c r="Z3" s="652">
        <v>2010</v>
      </c>
      <c r="AA3" s="653">
        <v>2011</v>
      </c>
    </row>
    <row r="4" spans="1:27">
      <c r="A4" s="516" t="s">
        <v>8</v>
      </c>
      <c r="B4" s="517" t="s">
        <v>9</v>
      </c>
      <c r="C4" s="643">
        <v>8.8499999999999995E-2</v>
      </c>
      <c r="D4" s="643">
        <v>8.77E-2</v>
      </c>
      <c r="E4" s="643">
        <v>9.5899999999999999E-2</v>
      </c>
      <c r="F4" s="643">
        <v>9.9399999999999988E-2</v>
      </c>
      <c r="G4" s="643">
        <v>9.5199999999999993E-2</v>
      </c>
      <c r="H4" s="643">
        <v>9.9600000000000008E-2</v>
      </c>
      <c r="I4" s="643">
        <v>9.6199999999999994E-2</v>
      </c>
      <c r="J4" s="643">
        <v>9.9000000000000005E-2</v>
      </c>
      <c r="K4" s="654">
        <v>0.10210000000000001</v>
      </c>
      <c r="L4" s="654">
        <v>0.1057</v>
      </c>
      <c r="M4" s="655">
        <v>0.11118840014389482</v>
      </c>
      <c r="N4" s="656">
        <v>0.11600000000000001</v>
      </c>
      <c r="O4" s="644"/>
      <c r="P4" s="645">
        <v>620936</v>
      </c>
      <c r="Q4" s="645">
        <v>620238</v>
      </c>
      <c r="R4" s="645">
        <v>692133</v>
      </c>
      <c r="S4" s="645">
        <v>724326</v>
      </c>
      <c r="T4" s="645">
        <v>705038</v>
      </c>
      <c r="U4" s="645">
        <v>728860</v>
      </c>
      <c r="V4" s="645">
        <v>713179</v>
      </c>
      <c r="W4" s="645">
        <v>739139</v>
      </c>
      <c r="X4" s="657">
        <v>766854</v>
      </c>
      <c r="Y4" s="657">
        <v>805553</v>
      </c>
      <c r="Z4" s="658">
        <f>SUM(Z5:Z124)</f>
        <v>865746</v>
      </c>
      <c r="AA4" s="659">
        <v>912779</v>
      </c>
    </row>
    <row r="5" spans="1:27" ht="16.5" customHeight="1">
      <c r="A5" s="529" t="s">
        <v>10</v>
      </c>
      <c r="B5" s="530" t="s">
        <v>614</v>
      </c>
      <c r="C5" s="660">
        <v>0.17100000000000001</v>
      </c>
      <c r="D5" s="660">
        <v>0.16300000000000001</v>
      </c>
      <c r="E5" s="660">
        <v>0.17699999999999999</v>
      </c>
      <c r="F5" s="660">
        <v>0.156</v>
      </c>
      <c r="G5" s="660">
        <v>0.14899999999999999</v>
      </c>
      <c r="H5" s="660">
        <v>0.183</v>
      </c>
      <c r="I5" s="660">
        <v>0.154</v>
      </c>
      <c r="J5" s="660">
        <v>0.16800000000000001</v>
      </c>
      <c r="K5" s="660">
        <v>0.20600000000000002</v>
      </c>
      <c r="L5" s="660">
        <v>0.183</v>
      </c>
      <c r="M5" s="661">
        <v>0.20499999999999999</v>
      </c>
      <c r="N5" s="646">
        <v>0.193</v>
      </c>
      <c r="O5" s="662"/>
      <c r="P5" s="663">
        <v>6549</v>
      </c>
      <c r="Q5" s="663">
        <v>6239</v>
      </c>
      <c r="R5" s="663">
        <v>6871</v>
      </c>
      <c r="S5" s="663">
        <v>6072</v>
      </c>
      <c r="T5" s="663">
        <v>5820</v>
      </c>
      <c r="U5" s="663">
        <v>7044</v>
      </c>
      <c r="V5" s="663">
        <v>5956</v>
      </c>
      <c r="W5" s="663">
        <v>6349</v>
      </c>
      <c r="X5" s="663">
        <v>7733</v>
      </c>
      <c r="Y5" s="663">
        <v>6906</v>
      </c>
      <c r="Z5" s="664">
        <v>6722</v>
      </c>
      <c r="AA5" s="665">
        <v>6359</v>
      </c>
    </row>
    <row r="6" spans="1:27" ht="16.5" customHeight="1">
      <c r="A6" s="529" t="s">
        <v>12</v>
      </c>
      <c r="B6" s="530" t="s">
        <v>615</v>
      </c>
      <c r="C6" s="660">
        <v>6.0999999999999999E-2</v>
      </c>
      <c r="D6" s="660">
        <v>6.5000000000000002E-2</v>
      </c>
      <c r="E6" s="660">
        <v>7.2000000000000008E-2</v>
      </c>
      <c r="F6" s="660">
        <v>7.5999999999999998E-2</v>
      </c>
      <c r="G6" s="660">
        <v>7.2999999999999995E-2</v>
      </c>
      <c r="H6" s="660">
        <v>7.0000000000000007E-2</v>
      </c>
      <c r="I6" s="660">
        <v>7.0999999999999994E-2</v>
      </c>
      <c r="J6" s="660">
        <v>8.5000000000000006E-2</v>
      </c>
      <c r="K6" s="660">
        <v>6.8000000000000005E-2</v>
      </c>
      <c r="L6" s="660">
        <v>8.8000000000000009E-2</v>
      </c>
      <c r="M6" s="661">
        <v>9.0999999999999998E-2</v>
      </c>
      <c r="N6" s="646">
        <v>9.6999999999999989E-2</v>
      </c>
      <c r="O6" s="662"/>
      <c r="P6" s="663">
        <v>4843</v>
      </c>
      <c r="Q6" s="663">
        <v>5277</v>
      </c>
      <c r="R6" s="663">
        <v>5901</v>
      </c>
      <c r="S6" s="663">
        <v>6312</v>
      </c>
      <c r="T6" s="663">
        <v>6205</v>
      </c>
      <c r="U6" s="663">
        <v>5872</v>
      </c>
      <c r="V6" s="663">
        <v>6107</v>
      </c>
      <c r="W6" s="663">
        <v>7396</v>
      </c>
      <c r="X6" s="663">
        <v>6008</v>
      </c>
      <c r="Y6" s="663">
        <v>7774</v>
      </c>
      <c r="Z6" s="664">
        <v>8419</v>
      </c>
      <c r="AA6" s="665">
        <v>9139</v>
      </c>
    </row>
    <row r="7" spans="1:27" ht="16.5" customHeight="1">
      <c r="A7" s="529" t="s">
        <v>16</v>
      </c>
      <c r="B7" s="530" t="s">
        <v>1007</v>
      </c>
      <c r="C7" s="660">
        <v>0.1075</v>
      </c>
      <c r="D7" s="660">
        <v>0.10050000000000001</v>
      </c>
      <c r="E7" s="660">
        <v>0.10589999999999999</v>
      </c>
      <c r="F7" s="660">
        <v>0.11539999999999999</v>
      </c>
      <c r="G7" s="660">
        <v>0.1137</v>
      </c>
      <c r="H7" s="660">
        <v>0.12089999999999999</v>
      </c>
      <c r="I7" s="660">
        <v>0.12770000000000001</v>
      </c>
      <c r="J7" s="660">
        <v>0.12619999999999998</v>
      </c>
      <c r="K7" s="660">
        <v>0.13320000000000001</v>
      </c>
      <c r="L7" s="660">
        <v>0.13639999999999999</v>
      </c>
      <c r="M7" s="661">
        <v>0.13851337359792926</v>
      </c>
      <c r="N7" s="646">
        <v>0.14251596013411105</v>
      </c>
      <c r="O7" s="662"/>
      <c r="P7" s="663">
        <v>2473</v>
      </c>
      <c r="Q7" s="663">
        <v>2308</v>
      </c>
      <c r="R7" s="663">
        <v>2422</v>
      </c>
      <c r="S7" s="663">
        <v>2618</v>
      </c>
      <c r="T7" s="663">
        <v>2574</v>
      </c>
      <c r="U7" s="663">
        <v>2695</v>
      </c>
      <c r="V7" s="663">
        <v>2836</v>
      </c>
      <c r="W7" s="663">
        <v>2783</v>
      </c>
      <c r="X7" s="663">
        <v>2902</v>
      </c>
      <c r="Y7" s="663">
        <v>2985</v>
      </c>
      <c r="Z7" s="664">
        <v>3029</v>
      </c>
      <c r="AA7" s="665">
        <v>3103</v>
      </c>
    </row>
    <row r="8" spans="1:27" ht="16.5" customHeight="1">
      <c r="A8" s="529" t="s">
        <v>18</v>
      </c>
      <c r="B8" s="530" t="s">
        <v>616</v>
      </c>
      <c r="C8" s="660">
        <v>9.3000000000000013E-2</v>
      </c>
      <c r="D8" s="660">
        <v>8.8000000000000009E-2</v>
      </c>
      <c r="E8" s="660">
        <v>9.0999999999999998E-2</v>
      </c>
      <c r="F8" s="660">
        <v>9.6999999999999989E-2</v>
      </c>
      <c r="G8" s="660">
        <v>9.0999999999999998E-2</v>
      </c>
      <c r="H8" s="660">
        <v>9.9000000000000005E-2</v>
      </c>
      <c r="I8" s="660">
        <v>9.1999999999999998E-2</v>
      </c>
      <c r="J8" s="660">
        <v>9.0999999999999998E-2</v>
      </c>
      <c r="K8" s="660">
        <v>9.6000000000000002E-2</v>
      </c>
      <c r="L8" s="660">
        <v>0.113</v>
      </c>
      <c r="M8" s="661">
        <v>0.114</v>
      </c>
      <c r="N8" s="646">
        <v>0.11900000000000001</v>
      </c>
      <c r="O8" s="662"/>
      <c r="P8" s="663">
        <v>1072</v>
      </c>
      <c r="Q8" s="663">
        <v>1027</v>
      </c>
      <c r="R8" s="663">
        <v>1068</v>
      </c>
      <c r="S8" s="663">
        <v>1151</v>
      </c>
      <c r="T8" s="663">
        <v>1110</v>
      </c>
      <c r="U8" s="663">
        <v>1198</v>
      </c>
      <c r="V8" s="663">
        <v>1140</v>
      </c>
      <c r="W8" s="663">
        <v>1145</v>
      </c>
      <c r="X8" s="663">
        <v>1215</v>
      </c>
      <c r="Y8" s="663">
        <v>1433</v>
      </c>
      <c r="Z8" s="664">
        <v>1432</v>
      </c>
      <c r="AA8" s="665">
        <v>1503</v>
      </c>
    </row>
    <row r="9" spans="1:27" ht="16.5" customHeight="1">
      <c r="A9" s="529" t="s">
        <v>20</v>
      </c>
      <c r="B9" s="530" t="s">
        <v>617</v>
      </c>
      <c r="C9" s="660">
        <v>0.105</v>
      </c>
      <c r="D9" s="660">
        <v>0.10400000000000001</v>
      </c>
      <c r="E9" s="660">
        <v>0.11599999999999999</v>
      </c>
      <c r="F9" s="660">
        <v>0.111</v>
      </c>
      <c r="G9" s="660">
        <v>0.11199999999999999</v>
      </c>
      <c r="H9" s="660">
        <v>0.12</v>
      </c>
      <c r="I9" s="660">
        <v>0.11800000000000001</v>
      </c>
      <c r="J9" s="660">
        <v>0.122</v>
      </c>
      <c r="K9" s="660">
        <v>0.125</v>
      </c>
      <c r="L9" s="660">
        <v>0.13900000000000001</v>
      </c>
      <c r="M9" s="661">
        <v>0.13600000000000001</v>
      </c>
      <c r="N9" s="646">
        <v>0.13400000000000001</v>
      </c>
      <c r="O9" s="662"/>
      <c r="P9" s="663">
        <v>3204</v>
      </c>
      <c r="Q9" s="663">
        <v>3146</v>
      </c>
      <c r="R9" s="663">
        <v>3542</v>
      </c>
      <c r="S9" s="663">
        <v>3391</v>
      </c>
      <c r="T9" s="663">
        <v>3447</v>
      </c>
      <c r="U9" s="663">
        <v>3615</v>
      </c>
      <c r="V9" s="663">
        <v>3631</v>
      </c>
      <c r="W9" s="663">
        <v>3726</v>
      </c>
      <c r="X9" s="663">
        <v>3868</v>
      </c>
      <c r="Y9" s="663">
        <v>4269</v>
      </c>
      <c r="Z9" s="664">
        <v>4221</v>
      </c>
      <c r="AA9" s="665">
        <v>4136</v>
      </c>
    </row>
    <row r="10" spans="1:27" ht="16.5" customHeight="1">
      <c r="A10" s="529" t="s">
        <v>22</v>
      </c>
      <c r="B10" s="530" t="s">
        <v>618</v>
      </c>
      <c r="C10" s="660">
        <v>0.111</v>
      </c>
      <c r="D10" s="660">
        <v>0.111</v>
      </c>
      <c r="E10" s="660">
        <v>0.122</v>
      </c>
      <c r="F10" s="660">
        <v>0.124</v>
      </c>
      <c r="G10" s="660">
        <v>0.11800000000000001</v>
      </c>
      <c r="H10" s="660">
        <v>0.121</v>
      </c>
      <c r="I10" s="660">
        <v>0.13300000000000001</v>
      </c>
      <c r="J10" s="660">
        <v>0.126</v>
      </c>
      <c r="K10" s="660">
        <v>0.13</v>
      </c>
      <c r="L10" s="660">
        <v>0.14300000000000002</v>
      </c>
      <c r="M10" s="661">
        <v>0.14100000000000001</v>
      </c>
      <c r="N10" s="646">
        <v>0.14800000000000002</v>
      </c>
      <c r="O10" s="662"/>
      <c r="P10" s="663">
        <v>1526</v>
      </c>
      <c r="Q10" s="663">
        <v>1522</v>
      </c>
      <c r="R10" s="663">
        <v>1668</v>
      </c>
      <c r="S10" s="663">
        <v>1716</v>
      </c>
      <c r="T10" s="663">
        <v>1649</v>
      </c>
      <c r="U10" s="663">
        <v>1660</v>
      </c>
      <c r="V10" s="663">
        <v>1859</v>
      </c>
      <c r="W10" s="663">
        <v>1772</v>
      </c>
      <c r="X10" s="663">
        <v>1863</v>
      </c>
      <c r="Y10" s="663">
        <v>2055</v>
      </c>
      <c r="Z10" s="664">
        <v>2099</v>
      </c>
      <c r="AA10" s="665">
        <v>2209</v>
      </c>
    </row>
    <row r="11" spans="1:27" ht="16.5" customHeight="1">
      <c r="A11" s="529" t="s">
        <v>24</v>
      </c>
      <c r="B11" s="530" t="s">
        <v>619</v>
      </c>
      <c r="C11" s="660">
        <v>5.7999999999999996E-2</v>
      </c>
      <c r="D11" s="660">
        <v>5.7999999999999996E-2</v>
      </c>
      <c r="E11" s="660">
        <v>6.3E-2</v>
      </c>
      <c r="F11" s="660">
        <v>7.400000000000001E-2</v>
      </c>
      <c r="G11" s="660">
        <v>7.0999999999999994E-2</v>
      </c>
      <c r="H11" s="660">
        <v>7.6999999999999999E-2</v>
      </c>
      <c r="I11" s="660">
        <v>7.0000000000000007E-2</v>
      </c>
      <c r="J11" s="660">
        <v>6.5000000000000002E-2</v>
      </c>
      <c r="K11" s="660">
        <v>6.7000000000000004E-2</v>
      </c>
      <c r="L11" s="660">
        <v>6.6000000000000003E-2</v>
      </c>
      <c r="M11" s="661">
        <v>7.2000000000000008E-2</v>
      </c>
      <c r="N11" s="646">
        <v>7.400000000000001E-2</v>
      </c>
      <c r="O11" s="662"/>
      <c r="P11" s="663">
        <v>10907</v>
      </c>
      <c r="Q11" s="663">
        <v>10867</v>
      </c>
      <c r="R11" s="663">
        <v>11773</v>
      </c>
      <c r="S11" s="663">
        <v>13587</v>
      </c>
      <c r="T11" s="663">
        <v>13740</v>
      </c>
      <c r="U11" s="663">
        <v>14781</v>
      </c>
      <c r="V11" s="663">
        <v>13726</v>
      </c>
      <c r="W11" s="663">
        <v>13005</v>
      </c>
      <c r="X11" s="663">
        <v>13735</v>
      </c>
      <c r="Y11" s="663">
        <v>13988</v>
      </c>
      <c r="Z11" s="664">
        <v>14903</v>
      </c>
      <c r="AA11" s="665">
        <v>15894</v>
      </c>
    </row>
    <row r="12" spans="1:27" ht="16.5" customHeight="1">
      <c r="A12" s="529" t="s">
        <v>26</v>
      </c>
      <c r="B12" s="666" t="s">
        <v>1008</v>
      </c>
      <c r="C12" s="660">
        <v>9.0800000000000006E-2</v>
      </c>
      <c r="D12" s="660">
        <v>9.1799999999999993E-2</v>
      </c>
      <c r="E12" s="660">
        <v>9.9299999999999999E-2</v>
      </c>
      <c r="F12" s="660">
        <v>9.7299999999999998E-2</v>
      </c>
      <c r="G12" s="660">
        <v>9.2200000000000004E-2</v>
      </c>
      <c r="H12" s="660">
        <v>9.7699999999999995E-2</v>
      </c>
      <c r="I12" s="660">
        <v>0.1012</v>
      </c>
      <c r="J12" s="660">
        <v>0.1026</v>
      </c>
      <c r="K12" s="660">
        <v>0.1016</v>
      </c>
      <c r="L12" s="660">
        <v>0.10949999999999999</v>
      </c>
      <c r="M12" s="661">
        <v>0.12085412542078605</v>
      </c>
      <c r="N12" s="646">
        <v>0.12665573799233823</v>
      </c>
      <c r="O12" s="662"/>
      <c r="P12" s="663">
        <v>9607</v>
      </c>
      <c r="Q12" s="663">
        <v>9789</v>
      </c>
      <c r="R12" s="663">
        <v>10717</v>
      </c>
      <c r="S12" s="663">
        <v>10642</v>
      </c>
      <c r="T12" s="663">
        <v>10291</v>
      </c>
      <c r="U12" s="663">
        <v>10737</v>
      </c>
      <c r="V12" s="663">
        <v>11283</v>
      </c>
      <c r="W12" s="663">
        <v>11545</v>
      </c>
      <c r="X12" s="663">
        <v>11523</v>
      </c>
      <c r="Y12" s="663">
        <v>12447</v>
      </c>
      <c r="Z12" s="664">
        <v>13822</v>
      </c>
      <c r="AA12" s="665">
        <v>14448</v>
      </c>
    </row>
    <row r="13" spans="1:27" ht="16.5" customHeight="1">
      <c r="A13" s="529" t="s">
        <v>27</v>
      </c>
      <c r="B13" s="530" t="s">
        <v>620</v>
      </c>
      <c r="C13" s="660">
        <v>7.4999999999999997E-2</v>
      </c>
      <c r="D13" s="660">
        <v>7.5999999999999998E-2</v>
      </c>
      <c r="E13" s="660">
        <v>7.6999999999999999E-2</v>
      </c>
      <c r="F13" s="660">
        <v>7.9000000000000001E-2</v>
      </c>
      <c r="G13" s="660">
        <v>7.2999999999999995E-2</v>
      </c>
      <c r="H13" s="660">
        <v>7.6999999999999999E-2</v>
      </c>
      <c r="I13" s="660">
        <v>8.4000000000000005E-2</v>
      </c>
      <c r="J13" s="660">
        <v>8.5000000000000006E-2</v>
      </c>
      <c r="K13" s="660">
        <v>9.6000000000000002E-2</v>
      </c>
      <c r="L13" s="660">
        <v>0.11800000000000001</v>
      </c>
      <c r="M13" s="661">
        <v>0.11199999999999999</v>
      </c>
      <c r="N13" s="646">
        <v>0.10800000000000001</v>
      </c>
      <c r="O13" s="662"/>
      <c r="P13" s="667">
        <v>374</v>
      </c>
      <c r="Q13" s="667">
        <v>381</v>
      </c>
      <c r="R13" s="667">
        <v>385</v>
      </c>
      <c r="S13" s="667">
        <v>392</v>
      </c>
      <c r="T13" s="667">
        <v>361</v>
      </c>
      <c r="U13" s="667">
        <v>362</v>
      </c>
      <c r="V13" s="667">
        <v>397</v>
      </c>
      <c r="W13" s="667">
        <v>390</v>
      </c>
      <c r="X13" s="663">
        <v>430</v>
      </c>
      <c r="Y13" s="663">
        <v>522</v>
      </c>
      <c r="Z13" s="664">
        <v>520</v>
      </c>
      <c r="AA13" s="665">
        <v>498</v>
      </c>
    </row>
    <row r="14" spans="1:27" ht="16.5" customHeight="1">
      <c r="A14" s="529" t="s">
        <v>29</v>
      </c>
      <c r="B14" s="530" t="s">
        <v>804</v>
      </c>
      <c r="C14" s="660">
        <v>7.4299999999999991E-2</v>
      </c>
      <c r="D14" s="660">
        <v>7.4499999999999997E-2</v>
      </c>
      <c r="E14" s="660">
        <v>0.08</v>
      </c>
      <c r="F14" s="660">
        <v>8.6699999999999999E-2</v>
      </c>
      <c r="G14" s="660">
        <v>8.3000000000000004E-2</v>
      </c>
      <c r="H14" s="660">
        <v>8.7899999999999992E-2</v>
      </c>
      <c r="I14" s="660">
        <v>8.6699999999999999E-2</v>
      </c>
      <c r="J14" s="660">
        <v>9.5600000000000004E-2</v>
      </c>
      <c r="K14" s="660">
        <v>8.5299999999999987E-2</v>
      </c>
      <c r="L14" s="660">
        <v>8.5999999999999993E-2</v>
      </c>
      <c r="M14" s="661">
        <v>0.10419212990455738</v>
      </c>
      <c r="N14" s="646">
        <v>0.10033904639863314</v>
      </c>
      <c r="O14" s="662"/>
      <c r="P14" s="663">
        <v>4969</v>
      </c>
      <c r="Q14" s="663">
        <v>5012</v>
      </c>
      <c r="R14" s="663">
        <v>5501</v>
      </c>
      <c r="S14" s="663">
        <v>6078</v>
      </c>
      <c r="T14" s="663">
        <v>5949</v>
      </c>
      <c r="U14" s="663">
        <v>6174</v>
      </c>
      <c r="V14" s="663">
        <v>6218</v>
      </c>
      <c r="W14" s="663">
        <v>6907</v>
      </c>
      <c r="X14" s="663">
        <v>6202</v>
      </c>
      <c r="Y14" s="663">
        <v>6252</v>
      </c>
      <c r="Z14" s="664">
        <v>7717</v>
      </c>
      <c r="AA14" s="665">
        <v>7517</v>
      </c>
    </row>
    <row r="15" spans="1:27" ht="16.5" customHeight="1">
      <c r="A15" s="529" t="s">
        <v>31</v>
      </c>
      <c r="B15" s="530" t="s">
        <v>621</v>
      </c>
      <c r="C15" s="660">
        <v>0.113</v>
      </c>
      <c r="D15" s="660">
        <v>0.12</v>
      </c>
      <c r="E15" s="660">
        <v>0.125</v>
      </c>
      <c r="F15" s="660">
        <v>0.12300000000000001</v>
      </c>
      <c r="G15" s="660">
        <v>0.11900000000000001</v>
      </c>
      <c r="H15" s="660">
        <v>0.13500000000000001</v>
      </c>
      <c r="I15" s="660">
        <v>0.13</v>
      </c>
      <c r="J15" s="660">
        <v>0.13500000000000001</v>
      </c>
      <c r="K15" s="660">
        <v>0.14599999999999999</v>
      </c>
      <c r="L15" s="660">
        <v>0.15</v>
      </c>
      <c r="M15" s="661">
        <v>0.15</v>
      </c>
      <c r="N15" s="646">
        <v>0.14400000000000002</v>
      </c>
      <c r="O15" s="662"/>
      <c r="P15" s="667">
        <v>711</v>
      </c>
      <c r="Q15" s="667">
        <v>751</v>
      </c>
      <c r="R15" s="667">
        <v>794</v>
      </c>
      <c r="S15" s="667">
        <v>783</v>
      </c>
      <c r="T15" s="667">
        <v>751</v>
      </c>
      <c r="U15" s="667">
        <v>846</v>
      </c>
      <c r="V15" s="667">
        <v>807</v>
      </c>
      <c r="W15" s="667">
        <v>842</v>
      </c>
      <c r="X15" s="663">
        <v>908</v>
      </c>
      <c r="Y15" s="663">
        <v>921</v>
      </c>
      <c r="Z15" s="664">
        <v>917</v>
      </c>
      <c r="AA15" s="665">
        <v>879</v>
      </c>
    </row>
    <row r="16" spans="1:27" ht="16.5" customHeight="1">
      <c r="A16" s="529" t="s">
        <v>33</v>
      </c>
      <c r="B16" s="530" t="s">
        <v>622</v>
      </c>
      <c r="C16" s="660">
        <v>5.2000000000000005E-2</v>
      </c>
      <c r="D16" s="660">
        <v>5.2999999999999999E-2</v>
      </c>
      <c r="E16" s="660">
        <v>5.7999999999999996E-2</v>
      </c>
      <c r="F16" s="660">
        <v>6.3E-2</v>
      </c>
      <c r="G16" s="660">
        <v>0.06</v>
      </c>
      <c r="H16" s="660">
        <v>6.0999999999999999E-2</v>
      </c>
      <c r="I16" s="660">
        <v>0.06</v>
      </c>
      <c r="J16" s="660">
        <v>6.2E-2</v>
      </c>
      <c r="K16" s="660">
        <v>6.4000000000000001E-2</v>
      </c>
      <c r="L16" s="660">
        <v>7.5999999999999998E-2</v>
      </c>
      <c r="M16" s="661">
        <v>6.5000000000000002E-2</v>
      </c>
      <c r="N16" s="646">
        <v>7.4999999999999997E-2</v>
      </c>
      <c r="O16" s="662"/>
      <c r="P16" s="663">
        <v>1586</v>
      </c>
      <c r="Q16" s="663">
        <v>1615</v>
      </c>
      <c r="R16" s="663">
        <v>1803</v>
      </c>
      <c r="S16" s="663">
        <v>1986</v>
      </c>
      <c r="T16" s="663">
        <v>1900</v>
      </c>
      <c r="U16" s="663">
        <v>1925</v>
      </c>
      <c r="V16" s="663">
        <v>1901</v>
      </c>
      <c r="W16" s="663">
        <v>1949</v>
      </c>
      <c r="X16" s="663">
        <v>2018</v>
      </c>
      <c r="Y16" s="663">
        <v>2441</v>
      </c>
      <c r="Z16" s="664">
        <v>2131</v>
      </c>
      <c r="AA16" s="665">
        <v>2432</v>
      </c>
    </row>
    <row r="17" spans="1:27" ht="16.5" customHeight="1">
      <c r="A17" s="529" t="s">
        <v>37</v>
      </c>
      <c r="B17" s="530" t="s">
        <v>623</v>
      </c>
      <c r="C17" s="660">
        <v>0.16899999999999998</v>
      </c>
      <c r="D17" s="660">
        <v>0.17300000000000001</v>
      </c>
      <c r="E17" s="660">
        <v>0.19500000000000001</v>
      </c>
      <c r="F17" s="660">
        <v>0.18</v>
      </c>
      <c r="G17" s="660">
        <v>0.18100000000000002</v>
      </c>
      <c r="H17" s="660">
        <v>0.20100000000000001</v>
      </c>
      <c r="I17" s="660">
        <v>0.19</v>
      </c>
      <c r="J17" s="660">
        <v>0.21299999999999999</v>
      </c>
      <c r="K17" s="660">
        <v>0.222</v>
      </c>
      <c r="L17" s="660">
        <v>0.22</v>
      </c>
      <c r="M17" s="661">
        <v>0.20499999999999999</v>
      </c>
      <c r="N17" s="646">
        <v>0.25600000000000001</v>
      </c>
      <c r="O17" s="662"/>
      <c r="P17" s="663">
        <v>2619</v>
      </c>
      <c r="Q17" s="663">
        <v>2661</v>
      </c>
      <c r="R17" s="663">
        <v>2973</v>
      </c>
      <c r="S17" s="663">
        <v>2737</v>
      </c>
      <c r="T17" s="663">
        <v>2729</v>
      </c>
      <c r="U17" s="663">
        <v>3001</v>
      </c>
      <c r="V17" s="663">
        <v>2837</v>
      </c>
      <c r="W17" s="663">
        <v>3125</v>
      </c>
      <c r="X17" s="663">
        <v>3234</v>
      </c>
      <c r="Y17" s="663">
        <v>3155</v>
      </c>
      <c r="Z17" s="664">
        <v>3120</v>
      </c>
      <c r="AA17" s="665">
        <v>3840</v>
      </c>
    </row>
    <row r="18" spans="1:27" ht="16.5" customHeight="1">
      <c r="A18" s="529" t="s">
        <v>39</v>
      </c>
      <c r="B18" s="530" t="s">
        <v>624</v>
      </c>
      <c r="C18" s="660">
        <v>0.215</v>
      </c>
      <c r="D18" s="660">
        <v>0.20600000000000002</v>
      </c>
      <c r="E18" s="660">
        <v>0.22899999999999998</v>
      </c>
      <c r="F18" s="660">
        <v>0.217</v>
      </c>
      <c r="G18" s="660">
        <v>0.21100000000000002</v>
      </c>
      <c r="H18" s="660">
        <v>0.26600000000000001</v>
      </c>
      <c r="I18" s="660">
        <v>0.22899999999999998</v>
      </c>
      <c r="J18" s="660">
        <v>0.217</v>
      </c>
      <c r="K18" s="660">
        <v>0.23</v>
      </c>
      <c r="L18" s="660">
        <v>0.26500000000000001</v>
      </c>
      <c r="M18" s="661">
        <v>0.248</v>
      </c>
      <c r="N18" s="646">
        <v>0.24299999999999999</v>
      </c>
      <c r="O18" s="662"/>
      <c r="P18" s="663">
        <v>5434</v>
      </c>
      <c r="Q18" s="663">
        <v>5116</v>
      </c>
      <c r="R18" s="663">
        <v>5610</v>
      </c>
      <c r="S18" s="663">
        <v>5208</v>
      </c>
      <c r="T18" s="663">
        <v>4990</v>
      </c>
      <c r="U18" s="663">
        <v>6221</v>
      </c>
      <c r="V18" s="663">
        <v>5282</v>
      </c>
      <c r="W18" s="663">
        <v>4913</v>
      </c>
      <c r="X18" s="663">
        <v>5127</v>
      </c>
      <c r="Y18" s="663">
        <v>5737</v>
      </c>
      <c r="Z18" s="664">
        <v>5676</v>
      </c>
      <c r="AA18" s="665">
        <v>5459</v>
      </c>
    </row>
    <row r="19" spans="1:27" ht="16.5" customHeight="1">
      <c r="A19" s="529" t="s">
        <v>41</v>
      </c>
      <c r="B19" s="530" t="s">
        <v>625</v>
      </c>
      <c r="C19" s="660">
        <v>0.16899999999999998</v>
      </c>
      <c r="D19" s="660">
        <v>0.16600000000000001</v>
      </c>
      <c r="E19" s="660">
        <v>0.18</v>
      </c>
      <c r="F19" s="660">
        <v>0.17300000000000001</v>
      </c>
      <c r="G19" s="660">
        <v>0.17300000000000001</v>
      </c>
      <c r="H19" s="660">
        <v>0.20800000000000002</v>
      </c>
      <c r="I19" s="660">
        <v>0.17600000000000002</v>
      </c>
      <c r="J19" s="660">
        <v>0.193</v>
      </c>
      <c r="K19" s="660">
        <v>0.19399999999999998</v>
      </c>
      <c r="L19" s="660">
        <v>0.21600000000000003</v>
      </c>
      <c r="M19" s="661">
        <v>0.20499999999999999</v>
      </c>
      <c r="N19" s="646">
        <v>0.21299999999999999</v>
      </c>
      <c r="O19" s="662"/>
      <c r="P19" s="663">
        <v>2304</v>
      </c>
      <c r="Q19" s="663">
        <v>2261</v>
      </c>
      <c r="R19" s="663">
        <v>2471</v>
      </c>
      <c r="S19" s="663">
        <v>2376</v>
      </c>
      <c r="T19" s="663">
        <v>2401</v>
      </c>
      <c r="U19" s="663">
        <v>2859</v>
      </c>
      <c r="V19" s="663">
        <v>2429</v>
      </c>
      <c r="W19" s="663">
        <v>2631</v>
      </c>
      <c r="X19" s="663">
        <v>2640</v>
      </c>
      <c r="Y19" s="663">
        <v>2964</v>
      </c>
      <c r="Z19" s="664">
        <v>3042</v>
      </c>
      <c r="AA19" s="665">
        <v>3190</v>
      </c>
    </row>
    <row r="20" spans="1:27" ht="16.5" customHeight="1">
      <c r="A20" s="529" t="s">
        <v>43</v>
      </c>
      <c r="B20" s="530" t="s">
        <v>626</v>
      </c>
      <c r="C20" s="660">
        <v>9.6000000000000002E-2</v>
      </c>
      <c r="D20" s="660">
        <v>9.6000000000000002E-2</v>
      </c>
      <c r="E20" s="660">
        <v>0.10800000000000001</v>
      </c>
      <c r="F20" s="660">
        <v>0.115</v>
      </c>
      <c r="G20" s="660">
        <v>0.111</v>
      </c>
      <c r="H20" s="660">
        <v>0.11199999999999999</v>
      </c>
      <c r="I20" s="660">
        <v>0.11800000000000001</v>
      </c>
      <c r="J20" s="660">
        <v>0.11599999999999999</v>
      </c>
      <c r="K20" s="660">
        <v>0.121</v>
      </c>
      <c r="L20" s="660">
        <v>0.13100000000000001</v>
      </c>
      <c r="M20" s="661">
        <v>0.14300000000000002</v>
      </c>
      <c r="N20" s="646">
        <v>0.152</v>
      </c>
      <c r="O20" s="662"/>
      <c r="P20" s="663">
        <v>4861</v>
      </c>
      <c r="Q20" s="663">
        <v>4873</v>
      </c>
      <c r="R20" s="663">
        <v>5502</v>
      </c>
      <c r="S20" s="663">
        <v>5936</v>
      </c>
      <c r="T20" s="663">
        <v>5792</v>
      </c>
      <c r="U20" s="663">
        <v>5770</v>
      </c>
      <c r="V20" s="663">
        <v>6152</v>
      </c>
      <c r="W20" s="663">
        <v>6028</v>
      </c>
      <c r="X20" s="663">
        <v>6334</v>
      </c>
      <c r="Y20" s="663">
        <v>6859</v>
      </c>
      <c r="Z20" s="664">
        <v>7770</v>
      </c>
      <c r="AA20" s="665">
        <v>8303</v>
      </c>
    </row>
    <row r="21" spans="1:27" ht="16.5" customHeight="1">
      <c r="A21" s="529" t="s">
        <v>45</v>
      </c>
      <c r="B21" s="530" t="s">
        <v>627</v>
      </c>
      <c r="C21" s="660">
        <v>0.10400000000000001</v>
      </c>
      <c r="D21" s="660">
        <v>0.1</v>
      </c>
      <c r="E21" s="660">
        <v>0.109</v>
      </c>
      <c r="F21" s="660">
        <v>0.1</v>
      </c>
      <c r="G21" s="660">
        <v>9.5000000000000001E-2</v>
      </c>
      <c r="H21" s="660">
        <v>9.9000000000000005E-2</v>
      </c>
      <c r="I21" s="660">
        <v>9.4E-2</v>
      </c>
      <c r="J21" s="660">
        <v>9.1999999999999998E-2</v>
      </c>
      <c r="K21" s="660">
        <v>9.3000000000000013E-2</v>
      </c>
      <c r="L21" s="660">
        <v>0.105</v>
      </c>
      <c r="M21" s="661">
        <v>0.112</v>
      </c>
      <c r="N21" s="646">
        <v>0.122</v>
      </c>
      <c r="O21" s="662"/>
      <c r="P21" s="663">
        <v>2265</v>
      </c>
      <c r="Q21" s="663">
        <v>2197</v>
      </c>
      <c r="R21" s="663">
        <v>2470</v>
      </c>
      <c r="S21" s="663">
        <v>2352</v>
      </c>
      <c r="T21" s="663">
        <v>2396</v>
      </c>
      <c r="U21" s="663">
        <v>2472</v>
      </c>
      <c r="V21" s="663">
        <v>2449</v>
      </c>
      <c r="W21" s="663">
        <v>2446</v>
      </c>
      <c r="X21" s="663">
        <v>2518</v>
      </c>
      <c r="Y21" s="663">
        <v>2845</v>
      </c>
      <c r="Z21" s="664">
        <v>3150</v>
      </c>
      <c r="AA21" s="665">
        <v>3422</v>
      </c>
    </row>
    <row r="22" spans="1:27" ht="16.5" customHeight="1">
      <c r="A22" s="529" t="s">
        <v>47</v>
      </c>
      <c r="B22" s="530" t="s">
        <v>628</v>
      </c>
      <c r="C22" s="660">
        <v>0.12300000000000001</v>
      </c>
      <c r="D22" s="660">
        <v>0.128</v>
      </c>
      <c r="E22" s="660">
        <v>0.13600000000000001</v>
      </c>
      <c r="F22" s="660">
        <v>0.13900000000000001</v>
      </c>
      <c r="G22" s="660">
        <v>0.13300000000000001</v>
      </c>
      <c r="H22" s="660">
        <v>0.16399999999999998</v>
      </c>
      <c r="I22" s="660">
        <v>0.13900000000000001</v>
      </c>
      <c r="J22" s="660">
        <v>0.13900000000000001</v>
      </c>
      <c r="K22" s="660">
        <v>0.157</v>
      </c>
      <c r="L22" s="660">
        <v>0.16899999999999998</v>
      </c>
      <c r="M22" s="661">
        <v>0.17600000000000002</v>
      </c>
      <c r="N22" s="646">
        <v>0.19899999999999998</v>
      </c>
      <c r="O22" s="662"/>
      <c r="P22" s="663">
        <v>3612</v>
      </c>
      <c r="Q22" s="663">
        <v>3725</v>
      </c>
      <c r="R22" s="663">
        <v>4004</v>
      </c>
      <c r="S22" s="663">
        <v>4090</v>
      </c>
      <c r="T22" s="663">
        <v>3931</v>
      </c>
      <c r="U22" s="663">
        <v>4720</v>
      </c>
      <c r="V22" s="663">
        <v>4070</v>
      </c>
      <c r="W22" s="663">
        <v>4033</v>
      </c>
      <c r="X22" s="663">
        <v>4549</v>
      </c>
      <c r="Y22" s="663">
        <v>4886</v>
      </c>
      <c r="Z22" s="664">
        <v>5248</v>
      </c>
      <c r="AA22" s="665">
        <v>5929</v>
      </c>
    </row>
    <row r="23" spans="1:27" ht="16.5" customHeight="1">
      <c r="A23" s="529" t="s">
        <v>49</v>
      </c>
      <c r="B23" s="530" t="s">
        <v>629</v>
      </c>
      <c r="C23" s="660">
        <v>9.5000000000000001E-2</v>
      </c>
      <c r="D23" s="660">
        <v>8.5999999999999993E-2</v>
      </c>
      <c r="E23" s="660">
        <v>9.6000000000000002E-2</v>
      </c>
      <c r="F23" s="660">
        <v>0.10400000000000001</v>
      </c>
      <c r="G23" s="660">
        <v>9.9000000000000005E-2</v>
      </c>
      <c r="H23" s="660">
        <v>0.109</v>
      </c>
      <c r="I23" s="660">
        <v>0.105</v>
      </c>
      <c r="J23" s="660">
        <v>0.106</v>
      </c>
      <c r="K23" s="660">
        <v>0.11199999999999999</v>
      </c>
      <c r="L23" s="660">
        <v>0.10199999999999999</v>
      </c>
      <c r="M23" s="661">
        <v>0.11900000000000001</v>
      </c>
      <c r="N23" s="646">
        <v>0.11699999999999999</v>
      </c>
      <c r="O23" s="662"/>
      <c r="P23" s="667">
        <v>672</v>
      </c>
      <c r="Q23" s="667">
        <v>611</v>
      </c>
      <c r="R23" s="667">
        <v>686</v>
      </c>
      <c r="S23" s="667">
        <v>744</v>
      </c>
      <c r="T23" s="667">
        <v>712</v>
      </c>
      <c r="U23" s="667">
        <v>772</v>
      </c>
      <c r="V23" s="667">
        <v>753</v>
      </c>
      <c r="W23" s="667">
        <v>755</v>
      </c>
      <c r="X23" s="663">
        <v>809</v>
      </c>
      <c r="Y23" s="663">
        <v>735</v>
      </c>
      <c r="Z23" s="664">
        <v>864</v>
      </c>
      <c r="AA23" s="665">
        <v>843</v>
      </c>
    </row>
    <row r="24" spans="1:27" ht="16.5" customHeight="1">
      <c r="A24" s="529" t="s">
        <v>51</v>
      </c>
      <c r="B24" s="530" t="s">
        <v>630</v>
      </c>
      <c r="C24" s="660">
        <v>0.14699999999999999</v>
      </c>
      <c r="D24" s="660">
        <v>0.14400000000000002</v>
      </c>
      <c r="E24" s="660">
        <v>0.157</v>
      </c>
      <c r="F24" s="660">
        <v>0.161</v>
      </c>
      <c r="G24" s="660">
        <v>0.152</v>
      </c>
      <c r="H24" s="660">
        <v>0.17399999999999999</v>
      </c>
      <c r="I24" s="660">
        <v>0.17300000000000001</v>
      </c>
      <c r="J24" s="660">
        <v>0.18100000000000002</v>
      </c>
      <c r="K24" s="660">
        <v>0.17199999999999999</v>
      </c>
      <c r="L24" s="660">
        <v>0.18899999999999997</v>
      </c>
      <c r="M24" s="661">
        <v>0.18600000000000003</v>
      </c>
      <c r="N24" s="646">
        <v>0.20899999999999999</v>
      </c>
      <c r="O24" s="662"/>
      <c r="P24" s="663">
        <v>1779</v>
      </c>
      <c r="Q24" s="663">
        <v>1781</v>
      </c>
      <c r="R24" s="663">
        <v>1935</v>
      </c>
      <c r="S24" s="663">
        <v>1974</v>
      </c>
      <c r="T24" s="663">
        <v>1871</v>
      </c>
      <c r="U24" s="663">
        <v>2097</v>
      </c>
      <c r="V24" s="663">
        <v>2118</v>
      </c>
      <c r="W24" s="663">
        <v>2187</v>
      </c>
      <c r="X24" s="663">
        <v>2071</v>
      </c>
      <c r="Y24" s="663">
        <v>2237</v>
      </c>
      <c r="Z24" s="664">
        <v>2309</v>
      </c>
      <c r="AA24" s="665">
        <v>2572</v>
      </c>
    </row>
    <row r="25" spans="1:27" ht="16.5" customHeight="1">
      <c r="A25" s="529" t="s">
        <v>57</v>
      </c>
      <c r="B25" s="530" t="s">
        <v>1009</v>
      </c>
      <c r="C25" s="660">
        <v>4.8799999999999996E-2</v>
      </c>
      <c r="D25" s="660">
        <v>5.0799999999999998E-2</v>
      </c>
      <c r="E25" s="660">
        <v>5.9500000000000004E-2</v>
      </c>
      <c r="F25" s="660">
        <v>6.7400000000000002E-2</v>
      </c>
      <c r="G25" s="660">
        <v>6.5500000000000003E-2</v>
      </c>
      <c r="H25" s="660">
        <v>6.4500000000000002E-2</v>
      </c>
      <c r="I25" s="660">
        <v>5.5999999999999994E-2</v>
      </c>
      <c r="J25" s="660">
        <v>5.8899999999999994E-2</v>
      </c>
      <c r="K25" s="660">
        <v>5.8799999999999998E-2</v>
      </c>
      <c r="L25" s="660">
        <v>6.2300000000000001E-2</v>
      </c>
      <c r="M25" s="661">
        <v>7.0308637779240374E-2</v>
      </c>
      <c r="N25" s="646">
        <v>7.3295784531991093E-2</v>
      </c>
      <c r="O25" s="662"/>
      <c r="P25" s="663">
        <v>13693</v>
      </c>
      <c r="Q25" s="663">
        <v>14416</v>
      </c>
      <c r="R25" s="663">
        <v>17303</v>
      </c>
      <c r="S25" s="663">
        <v>19974</v>
      </c>
      <c r="T25" s="663">
        <v>20050</v>
      </c>
      <c r="U25" s="663">
        <v>19397</v>
      </c>
      <c r="V25" s="663">
        <v>17221</v>
      </c>
      <c r="W25" s="663">
        <v>18421</v>
      </c>
      <c r="X25" s="663">
        <v>18608</v>
      </c>
      <c r="Y25" s="663">
        <v>19992</v>
      </c>
      <c r="Z25" s="664">
        <v>23091</v>
      </c>
      <c r="AA25" s="665">
        <v>24231</v>
      </c>
    </row>
    <row r="26" spans="1:27" ht="16.5" customHeight="1">
      <c r="A26" s="529" t="s">
        <v>59</v>
      </c>
      <c r="B26" s="530" t="s">
        <v>631</v>
      </c>
      <c r="C26" s="660">
        <v>6.5000000000000002E-2</v>
      </c>
      <c r="D26" s="660">
        <v>6.4000000000000001E-2</v>
      </c>
      <c r="E26" s="660">
        <v>6.7000000000000004E-2</v>
      </c>
      <c r="F26" s="660">
        <v>6.7000000000000004E-2</v>
      </c>
      <c r="G26" s="660">
        <v>6.0999999999999999E-2</v>
      </c>
      <c r="H26" s="660">
        <v>6.6000000000000003E-2</v>
      </c>
      <c r="I26" s="660">
        <v>6.4000000000000001E-2</v>
      </c>
      <c r="J26" s="660">
        <v>6.3E-2</v>
      </c>
      <c r="K26" s="660">
        <v>7.5999999999999998E-2</v>
      </c>
      <c r="L26" s="660">
        <v>7.5999999999999998E-2</v>
      </c>
      <c r="M26" s="661">
        <v>8.3000000000000004E-2</v>
      </c>
      <c r="N26" s="646">
        <v>8.199999999999999E-2</v>
      </c>
      <c r="O26" s="662"/>
      <c r="P26" s="667">
        <v>831</v>
      </c>
      <c r="Q26" s="667">
        <v>833</v>
      </c>
      <c r="R26" s="667">
        <v>878</v>
      </c>
      <c r="S26" s="667">
        <v>914</v>
      </c>
      <c r="T26" s="667">
        <v>857</v>
      </c>
      <c r="U26" s="667">
        <v>917</v>
      </c>
      <c r="V26" s="667">
        <v>917</v>
      </c>
      <c r="W26" s="667">
        <v>892</v>
      </c>
      <c r="X26" s="663">
        <v>1085</v>
      </c>
      <c r="Y26" s="663">
        <v>1091</v>
      </c>
      <c r="Z26" s="664">
        <v>1147</v>
      </c>
      <c r="AA26" s="665">
        <v>1145</v>
      </c>
    </row>
    <row r="27" spans="1:27" ht="16.5" customHeight="1">
      <c r="A27" s="529" t="s">
        <v>61</v>
      </c>
      <c r="B27" s="530" t="s">
        <v>632</v>
      </c>
      <c r="C27" s="660">
        <v>8.4000000000000005E-2</v>
      </c>
      <c r="D27" s="660">
        <v>0.08</v>
      </c>
      <c r="E27" s="660">
        <v>8.8000000000000009E-2</v>
      </c>
      <c r="F27" s="660">
        <v>9.6000000000000002E-2</v>
      </c>
      <c r="G27" s="660">
        <v>9.0999999999999998E-2</v>
      </c>
      <c r="H27" s="660">
        <v>0.10400000000000001</v>
      </c>
      <c r="I27" s="660">
        <v>0.106</v>
      </c>
      <c r="J27" s="660">
        <v>0.10300000000000001</v>
      </c>
      <c r="K27" s="660">
        <v>0.11199999999999999</v>
      </c>
      <c r="L27" s="660">
        <v>9.8000000000000004E-2</v>
      </c>
      <c r="M27" s="661">
        <v>0.11599999999999999</v>
      </c>
      <c r="N27" s="646">
        <v>0.122</v>
      </c>
      <c r="O27" s="662"/>
      <c r="P27" s="667">
        <v>428</v>
      </c>
      <c r="Q27" s="667">
        <v>407</v>
      </c>
      <c r="R27" s="667">
        <v>457</v>
      </c>
      <c r="S27" s="667">
        <v>493</v>
      </c>
      <c r="T27" s="667">
        <v>471</v>
      </c>
      <c r="U27" s="667">
        <v>531</v>
      </c>
      <c r="V27" s="667">
        <v>544</v>
      </c>
      <c r="W27" s="667">
        <v>528</v>
      </c>
      <c r="X27" s="663">
        <v>565</v>
      </c>
      <c r="Y27" s="663">
        <v>486</v>
      </c>
      <c r="Z27" s="664">
        <v>599</v>
      </c>
      <c r="AA27" s="665">
        <v>619</v>
      </c>
    </row>
    <row r="28" spans="1:27" ht="16.5" customHeight="1">
      <c r="A28" s="529" t="s">
        <v>63</v>
      </c>
      <c r="B28" s="530" t="s">
        <v>633</v>
      </c>
      <c r="C28" s="660">
        <v>0.09</v>
      </c>
      <c r="D28" s="660">
        <v>8.5999999999999993E-2</v>
      </c>
      <c r="E28" s="660">
        <v>8.8000000000000009E-2</v>
      </c>
      <c r="F28" s="660">
        <v>9.1999999999999998E-2</v>
      </c>
      <c r="G28" s="660">
        <v>8.8000000000000009E-2</v>
      </c>
      <c r="H28" s="660">
        <v>9.0999999999999998E-2</v>
      </c>
      <c r="I28" s="660">
        <v>8.4000000000000005E-2</v>
      </c>
      <c r="J28" s="660">
        <v>8.3000000000000004E-2</v>
      </c>
      <c r="K28" s="660">
        <v>8.1000000000000003E-2</v>
      </c>
      <c r="L28" s="660">
        <v>9.6000000000000002E-2</v>
      </c>
      <c r="M28" s="661">
        <v>0.105</v>
      </c>
      <c r="N28" s="646">
        <v>0.11699999999999999</v>
      </c>
      <c r="O28" s="662"/>
      <c r="P28" s="663">
        <v>3050</v>
      </c>
      <c r="Q28" s="663">
        <v>3019</v>
      </c>
      <c r="R28" s="663">
        <v>3271</v>
      </c>
      <c r="S28" s="663">
        <v>3571</v>
      </c>
      <c r="T28" s="663">
        <v>3613</v>
      </c>
      <c r="U28" s="663">
        <v>3722</v>
      </c>
      <c r="V28" s="663">
        <v>3620</v>
      </c>
      <c r="W28" s="663">
        <v>3621</v>
      </c>
      <c r="X28" s="663">
        <v>3612</v>
      </c>
      <c r="Y28" s="663">
        <v>4296</v>
      </c>
      <c r="Z28" s="664">
        <v>4720</v>
      </c>
      <c r="AA28" s="665">
        <v>5335</v>
      </c>
    </row>
    <row r="29" spans="1:27" ht="16.5" customHeight="1">
      <c r="A29" s="529" t="s">
        <v>65</v>
      </c>
      <c r="B29" s="530" t="s">
        <v>634</v>
      </c>
      <c r="C29" s="660">
        <v>0.13500000000000001</v>
      </c>
      <c r="D29" s="660">
        <v>0.13100000000000001</v>
      </c>
      <c r="E29" s="660">
        <v>0.13699999999999998</v>
      </c>
      <c r="F29" s="660">
        <v>0.14099999999999999</v>
      </c>
      <c r="G29" s="660">
        <v>0.13900000000000001</v>
      </c>
      <c r="H29" s="660">
        <v>0.161</v>
      </c>
      <c r="I29" s="660">
        <v>0.15</v>
      </c>
      <c r="J29" s="660">
        <v>0.14899999999999999</v>
      </c>
      <c r="K29" s="660">
        <v>0.158</v>
      </c>
      <c r="L29" s="660">
        <v>0.155</v>
      </c>
      <c r="M29" s="661">
        <v>0.17199999999999999</v>
      </c>
      <c r="N29" s="646">
        <v>0.17899999999999999</v>
      </c>
      <c r="O29" s="662"/>
      <c r="P29" s="663">
        <v>1205</v>
      </c>
      <c r="Q29" s="663">
        <v>1185</v>
      </c>
      <c r="R29" s="663">
        <v>1261</v>
      </c>
      <c r="S29" s="663">
        <v>1301</v>
      </c>
      <c r="T29" s="663">
        <v>1306</v>
      </c>
      <c r="U29" s="663">
        <v>1502</v>
      </c>
      <c r="V29" s="663">
        <v>1411</v>
      </c>
      <c r="W29" s="663">
        <v>1432</v>
      </c>
      <c r="X29" s="663">
        <v>1520</v>
      </c>
      <c r="Y29" s="663">
        <v>1503</v>
      </c>
      <c r="Z29" s="664">
        <v>1721</v>
      </c>
      <c r="AA29" s="665">
        <v>1782</v>
      </c>
    </row>
    <row r="30" spans="1:27" ht="16.5" customHeight="1">
      <c r="A30" s="529" t="s">
        <v>69</v>
      </c>
      <c r="B30" s="530" t="s">
        <v>635</v>
      </c>
      <c r="C30" s="660">
        <v>0.193</v>
      </c>
      <c r="D30" s="660">
        <v>0.183</v>
      </c>
      <c r="E30" s="660">
        <v>0.18899999999999997</v>
      </c>
      <c r="F30" s="660">
        <v>0.185</v>
      </c>
      <c r="G30" s="660">
        <v>0.183</v>
      </c>
      <c r="H30" s="660">
        <v>0.22800000000000001</v>
      </c>
      <c r="I30" s="660">
        <v>0.192</v>
      </c>
      <c r="J30" s="660">
        <v>0.21299999999999999</v>
      </c>
      <c r="K30" s="660">
        <v>0.218</v>
      </c>
      <c r="L30" s="660">
        <v>0.20499999999999999</v>
      </c>
      <c r="M30" s="661">
        <v>0.22999999999999998</v>
      </c>
      <c r="N30" s="646">
        <v>0.218</v>
      </c>
      <c r="O30" s="662"/>
      <c r="P30" s="663">
        <v>3126</v>
      </c>
      <c r="Q30" s="663">
        <v>2945</v>
      </c>
      <c r="R30" s="663">
        <v>3038</v>
      </c>
      <c r="S30" s="663">
        <v>2988</v>
      </c>
      <c r="T30" s="663">
        <v>2972</v>
      </c>
      <c r="U30" s="663">
        <v>3664</v>
      </c>
      <c r="V30" s="663">
        <v>3078</v>
      </c>
      <c r="W30" s="663">
        <v>3382</v>
      </c>
      <c r="X30" s="663">
        <v>3508</v>
      </c>
      <c r="Y30" s="663">
        <v>3240</v>
      </c>
      <c r="Z30" s="664">
        <v>3567</v>
      </c>
      <c r="AA30" s="665">
        <v>3357</v>
      </c>
    </row>
    <row r="31" spans="1:27" ht="16.5" customHeight="1">
      <c r="A31" s="529" t="s">
        <v>71</v>
      </c>
      <c r="B31" s="530" t="s">
        <v>636</v>
      </c>
      <c r="C31" s="660">
        <v>9.4E-2</v>
      </c>
      <c r="D31" s="660">
        <v>8.8000000000000009E-2</v>
      </c>
      <c r="E31" s="660">
        <v>9.1999999999999998E-2</v>
      </c>
      <c r="F31" s="660">
        <v>0.10400000000000001</v>
      </c>
      <c r="G31" s="660">
        <v>0.10099999999999999</v>
      </c>
      <c r="H31" s="660">
        <v>0.10199999999999999</v>
      </c>
      <c r="I31" s="660">
        <v>0.111</v>
      </c>
      <c r="J31" s="660">
        <v>0.11</v>
      </c>
      <c r="K31" s="660">
        <v>0.113</v>
      </c>
      <c r="L31" s="660">
        <v>0.11199999999999999</v>
      </c>
      <c r="M31" s="661">
        <v>0.11900000000000001</v>
      </c>
      <c r="N31" s="646">
        <v>0.13300000000000001</v>
      </c>
      <c r="O31" s="662"/>
      <c r="P31" s="663">
        <v>2223</v>
      </c>
      <c r="Q31" s="663">
        <v>2095</v>
      </c>
      <c r="R31" s="663">
        <v>2229</v>
      </c>
      <c r="S31" s="663">
        <v>2547</v>
      </c>
      <c r="T31" s="663">
        <v>2508</v>
      </c>
      <c r="U31" s="663">
        <v>2499</v>
      </c>
      <c r="V31" s="663">
        <v>2768</v>
      </c>
      <c r="W31" s="663">
        <v>2748</v>
      </c>
      <c r="X31" s="663">
        <v>2850</v>
      </c>
      <c r="Y31" s="663">
        <v>2839</v>
      </c>
      <c r="Z31" s="664">
        <v>3249</v>
      </c>
      <c r="AA31" s="665">
        <v>3625</v>
      </c>
    </row>
    <row r="32" spans="1:27" ht="16.5" customHeight="1">
      <c r="A32" s="529" t="s">
        <v>73</v>
      </c>
      <c r="B32" s="530" t="s">
        <v>637</v>
      </c>
      <c r="C32" s="660">
        <v>0.122</v>
      </c>
      <c r="D32" s="660">
        <v>0.113</v>
      </c>
      <c r="E32" s="660">
        <v>0.124</v>
      </c>
      <c r="F32" s="660">
        <v>0.126</v>
      </c>
      <c r="G32" s="660">
        <v>0.11699999999999999</v>
      </c>
      <c r="H32" s="660">
        <v>0.126</v>
      </c>
      <c r="I32" s="660">
        <v>0.124</v>
      </c>
      <c r="J32" s="660">
        <v>0.121</v>
      </c>
      <c r="K32" s="660">
        <v>0.13</v>
      </c>
      <c r="L32" s="660">
        <v>0.13300000000000001</v>
      </c>
      <c r="M32" s="661">
        <v>0.14099999999999999</v>
      </c>
      <c r="N32" s="646">
        <v>0.14899999999999999</v>
      </c>
      <c r="O32" s="662"/>
      <c r="P32" s="663">
        <v>1195</v>
      </c>
      <c r="Q32" s="663">
        <v>1121</v>
      </c>
      <c r="R32" s="663">
        <v>1264</v>
      </c>
      <c r="S32" s="663">
        <v>1286</v>
      </c>
      <c r="T32" s="663">
        <v>1211</v>
      </c>
      <c r="U32" s="663">
        <v>1291</v>
      </c>
      <c r="V32" s="663">
        <v>1294</v>
      </c>
      <c r="W32" s="663">
        <v>1295</v>
      </c>
      <c r="X32" s="663">
        <v>1412</v>
      </c>
      <c r="Y32" s="663">
        <v>1459</v>
      </c>
      <c r="Z32" s="664">
        <v>1553</v>
      </c>
      <c r="AA32" s="665">
        <v>1646</v>
      </c>
    </row>
    <row r="33" spans="1:27" ht="16.5" customHeight="1">
      <c r="A33" s="529" t="s">
        <v>75</v>
      </c>
      <c r="B33" s="530" t="s">
        <v>803</v>
      </c>
      <c r="C33" s="660">
        <v>4.0999999999999995E-2</v>
      </c>
      <c r="D33" s="660">
        <v>4.3899999999999995E-2</v>
      </c>
      <c r="E33" s="660">
        <v>0.05</v>
      </c>
      <c r="F33" s="660">
        <v>5.7599999999999998E-2</v>
      </c>
      <c r="G33" s="660">
        <v>5.2699999999999997E-2</v>
      </c>
      <c r="H33" s="660">
        <v>5.0799999999999998E-2</v>
      </c>
      <c r="I33" s="660">
        <v>5.1799999999999999E-2</v>
      </c>
      <c r="J33" s="660">
        <v>4.8899999999999999E-2</v>
      </c>
      <c r="K33" s="660">
        <v>4.8899999999999999E-2</v>
      </c>
      <c r="L33" s="660">
        <v>5.5999999999999994E-2</v>
      </c>
      <c r="M33" s="661">
        <v>5.8925506050903943E-2</v>
      </c>
      <c r="N33" s="646">
        <v>6.7652399342249744E-2</v>
      </c>
      <c r="O33" s="662"/>
      <c r="P33" s="663">
        <v>42235</v>
      </c>
      <c r="Q33" s="663">
        <v>44521</v>
      </c>
      <c r="R33" s="663">
        <v>51470</v>
      </c>
      <c r="S33" s="663">
        <v>59756</v>
      </c>
      <c r="T33" s="663">
        <v>54921</v>
      </c>
      <c r="U33" s="663">
        <v>52050</v>
      </c>
      <c r="V33" s="663">
        <v>53870</v>
      </c>
      <c r="W33" s="663">
        <v>50909</v>
      </c>
      <c r="X33" s="663">
        <v>50622</v>
      </c>
      <c r="Y33" s="663">
        <v>59537</v>
      </c>
      <c r="Z33" s="664">
        <v>65890</v>
      </c>
      <c r="AA33" s="665">
        <v>75783</v>
      </c>
    </row>
    <row r="34" spans="1:27" ht="16.5" customHeight="1">
      <c r="A34" s="529" t="s">
        <v>77</v>
      </c>
      <c r="B34" s="530" t="s">
        <v>638</v>
      </c>
      <c r="C34" s="660">
        <v>5.4000000000000006E-2</v>
      </c>
      <c r="D34" s="660">
        <v>0.05</v>
      </c>
      <c r="E34" s="660">
        <v>5.2999999999999999E-2</v>
      </c>
      <c r="F34" s="660">
        <v>5.7999999999999996E-2</v>
      </c>
      <c r="G34" s="660">
        <v>5.7999999999999996E-2</v>
      </c>
      <c r="H34" s="660">
        <v>5.2000000000000005E-2</v>
      </c>
      <c r="I34" s="660">
        <v>5.2999999999999999E-2</v>
      </c>
      <c r="J34" s="660">
        <v>5.7000000000000002E-2</v>
      </c>
      <c r="K34" s="660">
        <v>6.0999999999999999E-2</v>
      </c>
      <c r="L34" s="660">
        <v>5.9000000000000004E-2</v>
      </c>
      <c r="M34" s="661">
        <v>7.4999999999999997E-2</v>
      </c>
      <c r="N34" s="646">
        <v>6.3E-2</v>
      </c>
      <c r="O34" s="662"/>
      <c r="P34" s="663">
        <v>3072</v>
      </c>
      <c r="Q34" s="663">
        <v>2928</v>
      </c>
      <c r="R34" s="663">
        <v>3249</v>
      </c>
      <c r="S34" s="663">
        <v>3642</v>
      </c>
      <c r="T34" s="663">
        <v>3741</v>
      </c>
      <c r="U34" s="663">
        <v>3360</v>
      </c>
      <c r="V34" s="663">
        <v>3484</v>
      </c>
      <c r="W34" s="663">
        <v>3736</v>
      </c>
      <c r="X34" s="663">
        <v>4048</v>
      </c>
      <c r="Y34" s="663">
        <v>4003</v>
      </c>
      <c r="Z34" s="664">
        <v>4839</v>
      </c>
      <c r="AA34" s="665">
        <v>4148</v>
      </c>
    </row>
    <row r="35" spans="1:27" ht="16.5" customHeight="1">
      <c r="A35" s="529" t="s">
        <v>79</v>
      </c>
      <c r="B35" s="530" t="s">
        <v>639</v>
      </c>
      <c r="C35" s="660">
        <v>0.106</v>
      </c>
      <c r="D35" s="660">
        <v>0.105</v>
      </c>
      <c r="E35" s="660">
        <v>0.111</v>
      </c>
      <c r="F35" s="660">
        <v>0.114</v>
      </c>
      <c r="G35" s="660">
        <v>0.109</v>
      </c>
      <c r="H35" s="660">
        <v>0.12300000000000001</v>
      </c>
      <c r="I35" s="660">
        <v>0.13400000000000001</v>
      </c>
      <c r="J35" s="660">
        <v>0.129</v>
      </c>
      <c r="K35" s="660">
        <v>0.11900000000000001</v>
      </c>
      <c r="L35" s="660">
        <v>0.15</v>
      </c>
      <c r="M35" s="661">
        <v>0.13599999999999998</v>
      </c>
      <c r="N35" s="646">
        <v>0.13500000000000001</v>
      </c>
      <c r="O35" s="662"/>
      <c r="P35" s="663">
        <v>1491</v>
      </c>
      <c r="Q35" s="663">
        <v>1499</v>
      </c>
      <c r="R35" s="663">
        <v>1593</v>
      </c>
      <c r="S35" s="663">
        <v>1649</v>
      </c>
      <c r="T35" s="663">
        <v>1598</v>
      </c>
      <c r="U35" s="663">
        <v>1788</v>
      </c>
      <c r="V35" s="663">
        <v>1975</v>
      </c>
      <c r="W35" s="663">
        <v>1883</v>
      </c>
      <c r="X35" s="663">
        <v>1751</v>
      </c>
      <c r="Y35" s="663">
        <v>2236</v>
      </c>
      <c r="Z35" s="664">
        <v>2066</v>
      </c>
      <c r="AA35" s="665">
        <v>2056</v>
      </c>
    </row>
    <row r="36" spans="1:27" ht="16.5" customHeight="1">
      <c r="A36" s="529" t="s">
        <v>81</v>
      </c>
      <c r="B36" s="530" t="s">
        <v>640</v>
      </c>
      <c r="C36" s="660">
        <v>6.5000000000000002E-2</v>
      </c>
      <c r="D36" s="660">
        <v>6.0999999999999999E-2</v>
      </c>
      <c r="E36" s="660">
        <v>6.8000000000000005E-2</v>
      </c>
      <c r="F36" s="660">
        <v>6.6000000000000003E-2</v>
      </c>
      <c r="G36" s="660">
        <v>6.2E-2</v>
      </c>
      <c r="H36" s="660">
        <v>7.8E-2</v>
      </c>
      <c r="I36" s="660">
        <v>6.7000000000000004E-2</v>
      </c>
      <c r="J36" s="660">
        <v>7.0000000000000007E-2</v>
      </c>
      <c r="K36" s="660">
        <v>6.7000000000000004E-2</v>
      </c>
      <c r="L36" s="660">
        <v>7.2000000000000008E-2</v>
      </c>
      <c r="M36" s="661">
        <v>7.2999999999999995E-2</v>
      </c>
      <c r="N36" s="646">
        <v>7.5999999999999998E-2</v>
      </c>
      <c r="O36" s="662"/>
      <c r="P36" s="663">
        <v>1307</v>
      </c>
      <c r="Q36" s="663">
        <v>1287</v>
      </c>
      <c r="R36" s="663">
        <v>1498</v>
      </c>
      <c r="S36" s="663">
        <v>1499</v>
      </c>
      <c r="T36" s="663">
        <v>1477</v>
      </c>
      <c r="U36" s="663">
        <v>1834</v>
      </c>
      <c r="V36" s="663">
        <v>1597</v>
      </c>
      <c r="W36" s="663">
        <v>1674</v>
      </c>
      <c r="X36" s="663">
        <v>1624</v>
      </c>
      <c r="Y36" s="663">
        <v>1747</v>
      </c>
      <c r="Z36" s="664">
        <v>1784</v>
      </c>
      <c r="AA36" s="665">
        <v>1876</v>
      </c>
    </row>
    <row r="37" spans="1:27" ht="16.5" customHeight="1">
      <c r="A37" s="529" t="s">
        <v>85</v>
      </c>
      <c r="B37" s="530" t="s">
        <v>86</v>
      </c>
      <c r="C37" s="660">
        <v>0.1</v>
      </c>
      <c r="D37" s="660">
        <v>0.10099999999999999</v>
      </c>
      <c r="E37" s="660">
        <v>0.113</v>
      </c>
      <c r="F37" s="660">
        <v>0.115</v>
      </c>
      <c r="G37" s="660">
        <v>0.109</v>
      </c>
      <c r="H37" s="660">
        <v>0.105</v>
      </c>
      <c r="I37" s="660">
        <v>0.106</v>
      </c>
      <c r="J37" s="660">
        <v>0.115</v>
      </c>
      <c r="K37" s="660">
        <v>0.13200000000000001</v>
      </c>
      <c r="L37" s="660">
        <v>0.14000000000000001</v>
      </c>
      <c r="M37" s="661">
        <v>0.14400000000000002</v>
      </c>
      <c r="N37" s="646">
        <v>0.13100000000000001</v>
      </c>
      <c r="O37" s="662"/>
      <c r="P37" s="663">
        <v>4701</v>
      </c>
      <c r="Q37" s="663">
        <v>4813</v>
      </c>
      <c r="R37" s="663">
        <v>5464</v>
      </c>
      <c r="S37" s="663">
        <v>5618</v>
      </c>
      <c r="T37" s="663">
        <v>5402</v>
      </c>
      <c r="U37" s="663">
        <v>5187</v>
      </c>
      <c r="V37" s="663">
        <v>5254</v>
      </c>
      <c r="W37" s="663">
        <v>5704</v>
      </c>
      <c r="X37" s="663">
        <v>6610</v>
      </c>
      <c r="Y37" s="663">
        <v>7043</v>
      </c>
      <c r="Z37" s="664">
        <v>7844</v>
      </c>
      <c r="AA37" s="665">
        <v>7171</v>
      </c>
    </row>
    <row r="38" spans="1:27" ht="16.5" customHeight="1">
      <c r="A38" s="529" t="s">
        <v>87</v>
      </c>
      <c r="B38" s="530" t="s">
        <v>641</v>
      </c>
      <c r="C38" s="660">
        <v>6.0999999999999999E-2</v>
      </c>
      <c r="D38" s="660">
        <v>0.06</v>
      </c>
      <c r="E38" s="660">
        <v>6.4000000000000001E-2</v>
      </c>
      <c r="F38" s="660">
        <v>6.7000000000000004E-2</v>
      </c>
      <c r="G38" s="660">
        <v>5.7999999999999996E-2</v>
      </c>
      <c r="H38" s="660">
        <v>6.5000000000000002E-2</v>
      </c>
      <c r="I38" s="660">
        <v>7.0999999999999994E-2</v>
      </c>
      <c r="J38" s="660">
        <v>6.6000000000000003E-2</v>
      </c>
      <c r="K38" s="660">
        <v>7.2999999999999995E-2</v>
      </c>
      <c r="L38" s="660">
        <v>9.1999999999999998E-2</v>
      </c>
      <c r="M38" s="661">
        <v>7.3999999999999996E-2</v>
      </c>
      <c r="N38" s="646">
        <v>8.900000000000001E-2</v>
      </c>
      <c r="O38" s="662"/>
      <c r="P38" s="663">
        <v>3719</v>
      </c>
      <c r="Q38" s="663">
        <v>3714</v>
      </c>
      <c r="R38" s="663">
        <v>4114</v>
      </c>
      <c r="S38" s="663">
        <v>4446</v>
      </c>
      <c r="T38" s="663">
        <v>3989</v>
      </c>
      <c r="U38" s="663">
        <v>4429</v>
      </c>
      <c r="V38" s="663">
        <v>5012</v>
      </c>
      <c r="W38" s="663">
        <v>4736</v>
      </c>
      <c r="X38" s="663">
        <v>5310</v>
      </c>
      <c r="Y38" s="663">
        <v>6796</v>
      </c>
      <c r="Z38" s="664">
        <v>5756</v>
      </c>
      <c r="AA38" s="665">
        <v>7026</v>
      </c>
    </row>
    <row r="39" spans="1:27" ht="16.5" customHeight="1">
      <c r="A39" s="529" t="s">
        <v>93</v>
      </c>
      <c r="B39" s="530" t="s">
        <v>642</v>
      </c>
      <c r="C39" s="660">
        <v>9.5000000000000001E-2</v>
      </c>
      <c r="D39" s="660">
        <v>9.6000000000000002E-2</v>
      </c>
      <c r="E39" s="660">
        <v>0.10400000000000001</v>
      </c>
      <c r="F39" s="660">
        <v>0.10800000000000001</v>
      </c>
      <c r="G39" s="660">
        <v>0.10300000000000001</v>
      </c>
      <c r="H39" s="660">
        <v>0.122</v>
      </c>
      <c r="I39" s="660">
        <v>0.11</v>
      </c>
      <c r="J39" s="660">
        <v>0.114</v>
      </c>
      <c r="K39" s="660">
        <v>0.125</v>
      </c>
      <c r="L39" s="660">
        <v>0.13100000000000001</v>
      </c>
      <c r="M39" s="661">
        <v>0.13399999999999998</v>
      </c>
      <c r="N39" s="646">
        <v>0.126</v>
      </c>
      <c r="O39" s="662"/>
      <c r="P39" s="663">
        <v>1611</v>
      </c>
      <c r="Q39" s="663">
        <v>1612</v>
      </c>
      <c r="R39" s="663">
        <v>1771</v>
      </c>
      <c r="S39" s="663">
        <v>1837</v>
      </c>
      <c r="T39" s="663">
        <v>1770</v>
      </c>
      <c r="U39" s="663">
        <v>2068</v>
      </c>
      <c r="V39" s="663">
        <v>1896</v>
      </c>
      <c r="W39" s="663">
        <v>1953</v>
      </c>
      <c r="X39" s="663">
        <v>2149</v>
      </c>
      <c r="Y39" s="663">
        <v>2255</v>
      </c>
      <c r="Z39" s="664">
        <v>2292</v>
      </c>
      <c r="AA39" s="665">
        <v>2136</v>
      </c>
    </row>
    <row r="40" spans="1:27" ht="16.5" customHeight="1">
      <c r="A40" s="529" t="s">
        <v>95</v>
      </c>
      <c r="B40" s="530" t="s">
        <v>643</v>
      </c>
      <c r="C40" s="660">
        <v>8.3000000000000004E-2</v>
      </c>
      <c r="D40" s="660">
        <v>7.8E-2</v>
      </c>
      <c r="E40" s="660">
        <v>8.5999999999999993E-2</v>
      </c>
      <c r="F40" s="660">
        <v>0.09</v>
      </c>
      <c r="G40" s="660">
        <v>8.6999999999999994E-2</v>
      </c>
      <c r="H40" s="660">
        <v>8.8000000000000009E-2</v>
      </c>
      <c r="I40" s="660">
        <v>9.6000000000000002E-2</v>
      </c>
      <c r="J40" s="660">
        <v>8.4000000000000005E-2</v>
      </c>
      <c r="K40" s="660">
        <v>9.0999999999999998E-2</v>
      </c>
      <c r="L40" s="660">
        <v>9.5000000000000001E-2</v>
      </c>
      <c r="M40" s="661">
        <v>9.9000000000000005E-2</v>
      </c>
      <c r="N40" s="646">
        <v>0.10199999999999999</v>
      </c>
      <c r="O40" s="662"/>
      <c r="P40" s="663">
        <v>2911</v>
      </c>
      <c r="Q40" s="663">
        <v>2787</v>
      </c>
      <c r="R40" s="663">
        <v>3150</v>
      </c>
      <c r="S40" s="663">
        <v>3349</v>
      </c>
      <c r="T40" s="663">
        <v>3285</v>
      </c>
      <c r="U40" s="663">
        <v>3292</v>
      </c>
      <c r="V40" s="663">
        <v>3621</v>
      </c>
      <c r="W40" s="663">
        <v>3179</v>
      </c>
      <c r="X40" s="663">
        <v>3487</v>
      </c>
      <c r="Y40" s="663">
        <v>3704</v>
      </c>
      <c r="Z40" s="664">
        <v>3603</v>
      </c>
      <c r="AA40" s="665">
        <v>3721</v>
      </c>
    </row>
    <row r="41" spans="1:27" ht="16.5" customHeight="1">
      <c r="A41" s="529" t="s">
        <v>97</v>
      </c>
      <c r="B41" s="530" t="s">
        <v>644</v>
      </c>
      <c r="C41" s="660">
        <v>6.7000000000000004E-2</v>
      </c>
      <c r="D41" s="660">
        <v>5.7000000000000002E-2</v>
      </c>
      <c r="E41" s="660">
        <v>6.5000000000000002E-2</v>
      </c>
      <c r="F41" s="660">
        <v>7.2000000000000008E-2</v>
      </c>
      <c r="G41" s="660">
        <v>6.9000000000000006E-2</v>
      </c>
      <c r="H41" s="660">
        <v>6.7000000000000004E-2</v>
      </c>
      <c r="I41" s="660">
        <v>6.3E-2</v>
      </c>
      <c r="J41" s="660">
        <v>8.5000000000000006E-2</v>
      </c>
      <c r="K41" s="660">
        <v>6.4000000000000001E-2</v>
      </c>
      <c r="L41" s="660">
        <v>6.6000000000000003E-2</v>
      </c>
      <c r="M41" s="661">
        <v>7.7000000000000013E-2</v>
      </c>
      <c r="N41" s="646">
        <v>8.1000000000000003E-2</v>
      </c>
      <c r="O41" s="662"/>
      <c r="P41" s="663">
        <v>1071</v>
      </c>
      <c r="Q41" s="667">
        <v>925</v>
      </c>
      <c r="R41" s="663">
        <v>1098</v>
      </c>
      <c r="S41" s="663">
        <v>1263</v>
      </c>
      <c r="T41" s="663">
        <v>1252</v>
      </c>
      <c r="U41" s="663">
        <v>1192</v>
      </c>
      <c r="V41" s="663">
        <v>1176</v>
      </c>
      <c r="W41" s="663">
        <v>1620</v>
      </c>
      <c r="X41" s="663">
        <v>1240</v>
      </c>
      <c r="Y41" s="663">
        <v>1298</v>
      </c>
      <c r="Z41" s="664">
        <v>1566</v>
      </c>
      <c r="AA41" s="665">
        <v>1661</v>
      </c>
    </row>
    <row r="42" spans="1:27" ht="16.5" customHeight="1">
      <c r="A42" s="529" t="s">
        <v>99</v>
      </c>
      <c r="B42" s="530" t="s">
        <v>645</v>
      </c>
      <c r="C42" s="660">
        <v>0.13500000000000001</v>
      </c>
      <c r="D42" s="660">
        <v>0.13900000000000001</v>
      </c>
      <c r="E42" s="660">
        <v>0.15</v>
      </c>
      <c r="F42" s="660">
        <v>0.14899999999999999</v>
      </c>
      <c r="G42" s="660">
        <v>0.14300000000000002</v>
      </c>
      <c r="H42" s="660">
        <v>0.16699999999999998</v>
      </c>
      <c r="I42" s="660">
        <v>0.159</v>
      </c>
      <c r="J42" s="660">
        <v>0.17600000000000002</v>
      </c>
      <c r="K42" s="660">
        <v>0.17699999999999999</v>
      </c>
      <c r="L42" s="660">
        <v>0.16500000000000001</v>
      </c>
      <c r="M42" s="661">
        <v>0.17100000000000001</v>
      </c>
      <c r="N42" s="646">
        <v>0.18600000000000003</v>
      </c>
      <c r="O42" s="662"/>
      <c r="P42" s="663">
        <v>2230</v>
      </c>
      <c r="Q42" s="663">
        <v>2302</v>
      </c>
      <c r="R42" s="663">
        <v>2478</v>
      </c>
      <c r="S42" s="663">
        <v>2448</v>
      </c>
      <c r="T42" s="663">
        <v>2339</v>
      </c>
      <c r="U42" s="663">
        <v>2710</v>
      </c>
      <c r="V42" s="663">
        <v>2546</v>
      </c>
      <c r="W42" s="663">
        <v>2801</v>
      </c>
      <c r="X42" s="663">
        <v>2790</v>
      </c>
      <c r="Y42" s="663">
        <v>2574</v>
      </c>
      <c r="Z42" s="664">
        <v>2617</v>
      </c>
      <c r="AA42" s="665">
        <v>2817</v>
      </c>
    </row>
    <row r="43" spans="1:27" ht="16.5" customHeight="1">
      <c r="A43" s="529" t="s">
        <v>101</v>
      </c>
      <c r="B43" s="530" t="s">
        <v>646</v>
      </c>
      <c r="C43" s="660">
        <v>7.0999999999999994E-2</v>
      </c>
      <c r="D43" s="660">
        <v>6.9000000000000006E-2</v>
      </c>
      <c r="E43" s="660">
        <v>7.400000000000001E-2</v>
      </c>
      <c r="F43" s="660">
        <v>7.9000000000000001E-2</v>
      </c>
      <c r="G43" s="660">
        <v>7.8E-2</v>
      </c>
      <c r="H43" s="660">
        <v>0.08</v>
      </c>
      <c r="I43" s="660">
        <v>7.6999999999999999E-2</v>
      </c>
      <c r="J43" s="660">
        <v>7.400000000000001E-2</v>
      </c>
      <c r="K43" s="660">
        <v>7.2999999999999995E-2</v>
      </c>
      <c r="L43" s="660">
        <v>8.5999999999999993E-2</v>
      </c>
      <c r="M43" s="661">
        <v>9.7000000000000003E-2</v>
      </c>
      <c r="N43" s="646">
        <v>9.1999999999999998E-2</v>
      </c>
      <c r="O43" s="662"/>
      <c r="P43" s="663">
        <v>1121</v>
      </c>
      <c r="Q43" s="663">
        <v>1124</v>
      </c>
      <c r="R43" s="663">
        <v>1244</v>
      </c>
      <c r="S43" s="663">
        <v>1342</v>
      </c>
      <c r="T43" s="663">
        <v>1355</v>
      </c>
      <c r="U43" s="663">
        <v>1369</v>
      </c>
      <c r="V43" s="663">
        <v>1343</v>
      </c>
      <c r="W43" s="663">
        <v>1309</v>
      </c>
      <c r="X43" s="663">
        <v>1294</v>
      </c>
      <c r="Y43" s="663">
        <v>1568</v>
      </c>
      <c r="Z43" s="664">
        <v>1774</v>
      </c>
      <c r="AA43" s="665">
        <v>1693</v>
      </c>
    </row>
    <row r="44" spans="1:27" ht="16.5" customHeight="1">
      <c r="A44" s="529" t="s">
        <v>103</v>
      </c>
      <c r="B44" s="530" t="s">
        <v>1010</v>
      </c>
      <c r="C44" s="660">
        <v>0.17</v>
      </c>
      <c r="D44" s="660">
        <v>0.18280000000000002</v>
      </c>
      <c r="E44" s="660">
        <v>0.19070000000000001</v>
      </c>
      <c r="F44" s="660">
        <v>0.16339999999999999</v>
      </c>
      <c r="G44" s="660">
        <v>0.16500000000000001</v>
      </c>
      <c r="H44" s="660">
        <v>0.18809999999999999</v>
      </c>
      <c r="I44" s="660">
        <v>0.18760000000000002</v>
      </c>
      <c r="J44" s="660">
        <v>0.1948</v>
      </c>
      <c r="K44" s="660">
        <v>0.22699999999999998</v>
      </c>
      <c r="L44" s="660">
        <v>0.23089999999999999</v>
      </c>
      <c r="M44" s="661">
        <v>0.23464616256133752</v>
      </c>
      <c r="N44" s="646">
        <v>0.23945846848117333</v>
      </c>
      <c r="O44" s="662"/>
      <c r="P44" s="663">
        <v>2389</v>
      </c>
      <c r="Q44" s="663">
        <v>2561</v>
      </c>
      <c r="R44" s="663">
        <v>2682</v>
      </c>
      <c r="S44" s="663">
        <v>2277</v>
      </c>
      <c r="T44" s="663">
        <v>2312</v>
      </c>
      <c r="U44" s="663">
        <v>2595</v>
      </c>
      <c r="V44" s="663">
        <v>2602</v>
      </c>
      <c r="W44" s="663">
        <v>2716</v>
      </c>
      <c r="X44" s="663">
        <v>3193</v>
      </c>
      <c r="Y44" s="663">
        <v>3240</v>
      </c>
      <c r="Z44" s="664">
        <v>3375</v>
      </c>
      <c r="AA44" s="665">
        <v>3396</v>
      </c>
    </row>
    <row r="45" spans="1:27" ht="16.5" customHeight="1">
      <c r="A45" s="529" t="s">
        <v>105</v>
      </c>
      <c r="B45" s="530" t="s">
        <v>1011</v>
      </c>
      <c r="C45" s="660">
        <v>0.14599999999999999</v>
      </c>
      <c r="D45" s="660">
        <v>0.14800000000000002</v>
      </c>
      <c r="E45" s="660">
        <v>0.16699999999999998</v>
      </c>
      <c r="F45" s="660">
        <v>0.16399999999999998</v>
      </c>
      <c r="G45" s="660">
        <v>0.16</v>
      </c>
      <c r="H45" s="660">
        <v>0.156</v>
      </c>
      <c r="I45" s="660">
        <v>0.184</v>
      </c>
      <c r="J45" s="660">
        <v>0.18600000000000003</v>
      </c>
      <c r="K45" s="660">
        <v>0.19500000000000001</v>
      </c>
      <c r="L45" s="660">
        <v>0.19800000000000001</v>
      </c>
      <c r="M45" s="661">
        <v>0.193</v>
      </c>
      <c r="N45" s="646">
        <v>0.193</v>
      </c>
      <c r="O45" s="662"/>
      <c r="P45" s="663">
        <v>5297</v>
      </c>
      <c r="Q45" s="663">
        <v>5345</v>
      </c>
      <c r="R45" s="663">
        <v>6015</v>
      </c>
      <c r="S45" s="663">
        <v>5875</v>
      </c>
      <c r="T45" s="663">
        <v>5715</v>
      </c>
      <c r="U45" s="663">
        <v>5506</v>
      </c>
      <c r="V45" s="663">
        <v>6507</v>
      </c>
      <c r="W45" s="663">
        <v>6462</v>
      </c>
      <c r="X45" s="663">
        <v>6732</v>
      </c>
      <c r="Y45" s="663">
        <v>6819</v>
      </c>
      <c r="Z45" s="664">
        <v>6833</v>
      </c>
      <c r="AA45" s="665">
        <v>6795</v>
      </c>
    </row>
    <row r="46" spans="1:27" ht="16.5" customHeight="1">
      <c r="A46" s="529" t="s">
        <v>109</v>
      </c>
      <c r="B46" s="530" t="s">
        <v>647</v>
      </c>
      <c r="C46" s="660">
        <v>4.0999999999999995E-2</v>
      </c>
      <c r="D46" s="660">
        <v>0.04</v>
      </c>
      <c r="E46" s="660">
        <v>4.5999999999999999E-2</v>
      </c>
      <c r="F46" s="660">
        <v>5.2999999999999999E-2</v>
      </c>
      <c r="G46" s="660">
        <v>5.0999999999999997E-2</v>
      </c>
      <c r="H46" s="660">
        <v>4.8000000000000001E-2</v>
      </c>
      <c r="I46" s="660">
        <v>4.0999999999999995E-2</v>
      </c>
      <c r="J46" s="660">
        <v>5.0999999999999997E-2</v>
      </c>
      <c r="K46" s="660">
        <v>4.5999999999999999E-2</v>
      </c>
      <c r="L46" s="660">
        <v>4.9000000000000002E-2</v>
      </c>
      <c r="M46" s="661">
        <v>5.2999999999999999E-2</v>
      </c>
      <c r="N46" s="646">
        <v>6.0999999999999999E-2</v>
      </c>
      <c r="O46" s="662"/>
      <c r="P46" s="663">
        <v>3611</v>
      </c>
      <c r="Q46" s="663">
        <v>3637</v>
      </c>
      <c r="R46" s="663">
        <v>4303</v>
      </c>
      <c r="S46" s="663">
        <v>5030</v>
      </c>
      <c r="T46" s="663">
        <v>4938</v>
      </c>
      <c r="U46" s="663">
        <v>4542</v>
      </c>
      <c r="V46" s="663">
        <v>3965</v>
      </c>
      <c r="W46" s="663">
        <v>4909</v>
      </c>
      <c r="X46" s="663">
        <v>4518</v>
      </c>
      <c r="Y46" s="663">
        <v>4747</v>
      </c>
      <c r="Z46" s="664">
        <v>5218</v>
      </c>
      <c r="AA46" s="665">
        <v>6001</v>
      </c>
    </row>
    <row r="47" spans="1:27" ht="16.5" customHeight="1">
      <c r="A47" s="529" t="s">
        <v>111</v>
      </c>
      <c r="B47" s="530" t="s">
        <v>648</v>
      </c>
      <c r="C47" s="660">
        <v>6.2E-2</v>
      </c>
      <c r="D47" s="660">
        <v>6.3E-2</v>
      </c>
      <c r="E47" s="660">
        <v>7.0000000000000007E-2</v>
      </c>
      <c r="F47" s="660">
        <v>7.9000000000000001E-2</v>
      </c>
      <c r="G47" s="660">
        <v>7.8E-2</v>
      </c>
      <c r="H47" s="660">
        <v>7.9000000000000001E-2</v>
      </c>
      <c r="I47" s="660">
        <v>7.9000000000000001E-2</v>
      </c>
      <c r="J47" s="660">
        <v>8.5000000000000006E-2</v>
      </c>
      <c r="K47" s="660">
        <v>8.4000000000000005E-2</v>
      </c>
      <c r="L47" s="660">
        <v>0.1</v>
      </c>
      <c r="M47" s="661">
        <v>9.8000000000000004E-2</v>
      </c>
      <c r="N47" s="646">
        <v>0.10800000000000001</v>
      </c>
      <c r="O47" s="662"/>
      <c r="P47" s="663">
        <v>16209</v>
      </c>
      <c r="Q47" s="663">
        <v>16609</v>
      </c>
      <c r="R47" s="663">
        <v>18976</v>
      </c>
      <c r="S47" s="663">
        <v>21631</v>
      </c>
      <c r="T47" s="663">
        <v>21612</v>
      </c>
      <c r="U47" s="663">
        <v>21858</v>
      </c>
      <c r="V47" s="663">
        <v>22038</v>
      </c>
      <c r="W47" s="663">
        <v>24163</v>
      </c>
      <c r="X47" s="663">
        <v>24078</v>
      </c>
      <c r="Y47" s="663">
        <v>29165</v>
      </c>
      <c r="Z47" s="664">
        <v>29987</v>
      </c>
      <c r="AA47" s="665">
        <v>33123</v>
      </c>
    </row>
    <row r="48" spans="1:27" ht="16.5" customHeight="1">
      <c r="A48" s="529" t="s">
        <v>113</v>
      </c>
      <c r="B48" s="530" t="s">
        <v>1012</v>
      </c>
      <c r="C48" s="660">
        <v>0.12179999999999999</v>
      </c>
      <c r="D48" s="660">
        <v>0.1265</v>
      </c>
      <c r="E48" s="660">
        <v>0.14000000000000001</v>
      </c>
      <c r="F48" s="660">
        <v>0.14419999999999999</v>
      </c>
      <c r="G48" s="660">
        <v>0.1444</v>
      </c>
      <c r="H48" s="660">
        <v>0.16</v>
      </c>
      <c r="I48" s="660">
        <v>0.15590000000000001</v>
      </c>
      <c r="J48" s="660">
        <v>0.16949999999999998</v>
      </c>
      <c r="K48" s="660">
        <v>0.17499999999999999</v>
      </c>
      <c r="L48" s="660">
        <v>0.18659999999999999</v>
      </c>
      <c r="M48" s="661">
        <v>0.18966798312007913</v>
      </c>
      <c r="N48" s="646">
        <v>0.21296101159114858</v>
      </c>
      <c r="O48" s="662"/>
      <c r="P48" s="663">
        <v>8798</v>
      </c>
      <c r="Q48" s="663">
        <v>9061</v>
      </c>
      <c r="R48" s="663">
        <v>10017</v>
      </c>
      <c r="S48" s="663">
        <v>10271</v>
      </c>
      <c r="T48" s="663">
        <v>10210</v>
      </c>
      <c r="U48" s="663">
        <v>11198</v>
      </c>
      <c r="V48" s="663">
        <v>10877</v>
      </c>
      <c r="W48" s="663">
        <v>11653</v>
      </c>
      <c r="X48" s="663">
        <v>12089</v>
      </c>
      <c r="Y48" s="663">
        <v>12724</v>
      </c>
      <c r="Z48" s="664">
        <v>12671</v>
      </c>
      <c r="AA48" s="665">
        <v>14147</v>
      </c>
    </row>
    <row r="49" spans="1:27" ht="16.5" customHeight="1">
      <c r="A49" s="529" t="s">
        <v>115</v>
      </c>
      <c r="B49" s="530" t="s">
        <v>649</v>
      </c>
      <c r="C49" s="660">
        <v>0.11900000000000001</v>
      </c>
      <c r="D49" s="660">
        <v>0.12</v>
      </c>
      <c r="E49" s="660">
        <v>0.121</v>
      </c>
      <c r="F49" s="660">
        <v>0.11599999999999999</v>
      </c>
      <c r="G49" s="660">
        <v>0.10800000000000001</v>
      </c>
      <c r="H49" s="660">
        <v>0.128</v>
      </c>
      <c r="I49" s="660">
        <v>0.129</v>
      </c>
      <c r="J49" s="660">
        <v>0.128</v>
      </c>
      <c r="K49" s="660">
        <v>0.128</v>
      </c>
      <c r="L49" s="660">
        <v>0.13800000000000001</v>
      </c>
      <c r="M49" s="661">
        <v>0.14400000000000002</v>
      </c>
      <c r="N49" s="646">
        <v>0.13800000000000001</v>
      </c>
      <c r="O49" s="662"/>
      <c r="P49" s="667">
        <v>300</v>
      </c>
      <c r="Q49" s="667">
        <v>298</v>
      </c>
      <c r="R49" s="667">
        <v>304</v>
      </c>
      <c r="S49" s="667">
        <v>290</v>
      </c>
      <c r="T49" s="667">
        <v>270</v>
      </c>
      <c r="U49" s="667">
        <v>316</v>
      </c>
      <c r="V49" s="667">
        <v>324</v>
      </c>
      <c r="W49" s="667">
        <v>313</v>
      </c>
      <c r="X49" s="663">
        <v>311</v>
      </c>
      <c r="Y49" s="663">
        <v>323</v>
      </c>
      <c r="Z49" s="664">
        <v>330</v>
      </c>
      <c r="AA49" s="665">
        <v>312</v>
      </c>
    </row>
    <row r="50" spans="1:27" ht="16.5" customHeight="1">
      <c r="A50" s="529" t="s">
        <v>119</v>
      </c>
      <c r="B50" s="530" t="s">
        <v>1013</v>
      </c>
      <c r="C50" s="660">
        <v>8.6999999999999994E-2</v>
      </c>
      <c r="D50" s="660">
        <v>0.08</v>
      </c>
      <c r="E50" s="660">
        <v>8.5000000000000006E-2</v>
      </c>
      <c r="F50" s="660">
        <v>9.3000000000000013E-2</v>
      </c>
      <c r="G50" s="660">
        <v>9.1999999999999998E-2</v>
      </c>
      <c r="H50" s="660">
        <v>8.5999999999999993E-2</v>
      </c>
      <c r="I50" s="660">
        <v>8.199999999999999E-2</v>
      </c>
      <c r="J50" s="660">
        <v>8.3000000000000004E-2</v>
      </c>
      <c r="K50" s="660">
        <v>7.8E-2</v>
      </c>
      <c r="L50" s="660">
        <v>0.10099999999999999</v>
      </c>
      <c r="M50" s="661">
        <v>8.7999999999999995E-2</v>
      </c>
      <c r="N50" s="646">
        <v>0.11199999999999999</v>
      </c>
      <c r="O50" s="662"/>
      <c r="P50" s="663">
        <v>2640</v>
      </c>
      <c r="Q50" s="663">
        <v>2463</v>
      </c>
      <c r="R50" s="663">
        <v>2727</v>
      </c>
      <c r="S50" s="663">
        <v>3052</v>
      </c>
      <c r="T50" s="663">
        <v>3070</v>
      </c>
      <c r="U50" s="663">
        <v>2842</v>
      </c>
      <c r="V50" s="663">
        <v>2829</v>
      </c>
      <c r="W50" s="663">
        <v>2902</v>
      </c>
      <c r="X50" s="663">
        <v>2740</v>
      </c>
      <c r="Y50" s="663">
        <v>3612</v>
      </c>
      <c r="Z50" s="664">
        <v>3082</v>
      </c>
      <c r="AA50" s="665">
        <v>3914</v>
      </c>
    </row>
    <row r="51" spans="1:27" ht="16.5" customHeight="1">
      <c r="A51" s="529" t="s">
        <v>121</v>
      </c>
      <c r="B51" s="530" t="s">
        <v>294</v>
      </c>
      <c r="C51" s="660">
        <v>5.7999999999999996E-2</v>
      </c>
      <c r="D51" s="660">
        <v>5.9000000000000004E-2</v>
      </c>
      <c r="E51" s="660">
        <v>6.4000000000000001E-2</v>
      </c>
      <c r="F51" s="660">
        <v>7.2000000000000008E-2</v>
      </c>
      <c r="G51" s="660">
        <v>6.6000000000000003E-2</v>
      </c>
      <c r="H51" s="660">
        <v>6.0999999999999999E-2</v>
      </c>
      <c r="I51" s="660">
        <v>6.4000000000000001E-2</v>
      </c>
      <c r="J51" s="660">
        <v>5.7000000000000002E-2</v>
      </c>
      <c r="K51" s="660">
        <v>0.06</v>
      </c>
      <c r="L51" s="660">
        <v>7.0999999999999994E-2</v>
      </c>
      <c r="M51" s="661">
        <v>7.7000000000000013E-2</v>
      </c>
      <c r="N51" s="646">
        <v>7.400000000000001E-2</v>
      </c>
      <c r="O51" s="662"/>
      <c r="P51" s="663">
        <v>2805</v>
      </c>
      <c r="Q51" s="663">
        <v>2962</v>
      </c>
      <c r="R51" s="663">
        <v>3406</v>
      </c>
      <c r="S51" s="663">
        <v>3922</v>
      </c>
      <c r="T51" s="663">
        <v>3780</v>
      </c>
      <c r="U51" s="663">
        <v>3445</v>
      </c>
      <c r="V51" s="663">
        <v>3771</v>
      </c>
      <c r="W51" s="663">
        <v>3440</v>
      </c>
      <c r="X51" s="663">
        <v>3706</v>
      </c>
      <c r="Y51" s="663">
        <v>4449</v>
      </c>
      <c r="Z51" s="664">
        <v>5067</v>
      </c>
      <c r="AA51" s="665">
        <v>4991</v>
      </c>
    </row>
    <row r="52" spans="1:27" ht="16.5" customHeight="1">
      <c r="A52" s="529" t="s">
        <v>123</v>
      </c>
      <c r="B52" s="530" t="s">
        <v>1014</v>
      </c>
      <c r="C52" s="660">
        <v>0.11900000000000001</v>
      </c>
      <c r="D52" s="660">
        <v>0.11699999999999999</v>
      </c>
      <c r="E52" s="660">
        <v>0.121</v>
      </c>
      <c r="F52" s="660">
        <v>0.11599999999999999</v>
      </c>
      <c r="G52" s="660">
        <v>0.11199999999999999</v>
      </c>
      <c r="H52" s="660">
        <v>0.13400000000000001</v>
      </c>
      <c r="I52" s="660">
        <v>0.122</v>
      </c>
      <c r="J52" s="660">
        <v>0.121</v>
      </c>
      <c r="K52" s="660">
        <v>0.12300000000000001</v>
      </c>
      <c r="L52" s="660">
        <v>0.13200000000000001</v>
      </c>
      <c r="M52" s="661">
        <v>0.128</v>
      </c>
      <c r="N52" s="646">
        <v>0.13200000000000001</v>
      </c>
      <c r="O52" s="662"/>
      <c r="P52" s="667">
        <v>786</v>
      </c>
      <c r="Q52" s="667">
        <v>771</v>
      </c>
      <c r="R52" s="667">
        <v>798</v>
      </c>
      <c r="S52" s="667">
        <v>787</v>
      </c>
      <c r="T52" s="667">
        <v>761</v>
      </c>
      <c r="U52" s="667">
        <v>905</v>
      </c>
      <c r="V52" s="667">
        <v>839</v>
      </c>
      <c r="W52" s="667">
        <v>829</v>
      </c>
      <c r="X52" s="663">
        <v>840</v>
      </c>
      <c r="Y52" s="663">
        <v>895</v>
      </c>
      <c r="Z52" s="664">
        <v>888</v>
      </c>
      <c r="AA52" s="665">
        <v>919</v>
      </c>
    </row>
    <row r="53" spans="1:27" ht="16.5" customHeight="1">
      <c r="A53" s="529" t="s">
        <v>125</v>
      </c>
      <c r="B53" s="530" t="s">
        <v>652</v>
      </c>
      <c r="C53" s="660">
        <v>7.0000000000000007E-2</v>
      </c>
      <c r="D53" s="660">
        <v>6.3E-2</v>
      </c>
      <c r="E53" s="660">
        <v>6.5000000000000002E-2</v>
      </c>
      <c r="F53" s="660">
        <v>7.0000000000000007E-2</v>
      </c>
      <c r="G53" s="660">
        <v>6.6000000000000003E-2</v>
      </c>
      <c r="H53" s="660">
        <v>6.2E-2</v>
      </c>
      <c r="I53" s="660">
        <v>0.06</v>
      </c>
      <c r="J53" s="660">
        <v>6.2E-2</v>
      </c>
      <c r="K53" s="660">
        <v>6.2E-2</v>
      </c>
      <c r="L53" s="660">
        <v>7.0000000000000007E-2</v>
      </c>
      <c r="M53" s="661">
        <v>6.9000000000000006E-2</v>
      </c>
      <c r="N53" s="646">
        <v>6.9000000000000006E-2</v>
      </c>
      <c r="O53" s="662"/>
      <c r="P53" s="663">
        <v>1176</v>
      </c>
      <c r="Q53" s="663">
        <v>1088</v>
      </c>
      <c r="R53" s="663">
        <v>1157</v>
      </c>
      <c r="S53" s="663">
        <v>1336</v>
      </c>
      <c r="T53" s="663">
        <v>1338</v>
      </c>
      <c r="U53" s="663">
        <v>1259</v>
      </c>
      <c r="V53" s="663">
        <v>1276</v>
      </c>
      <c r="W53" s="663">
        <v>1384</v>
      </c>
      <c r="X53" s="663">
        <v>1399</v>
      </c>
      <c r="Y53" s="663">
        <v>1614</v>
      </c>
      <c r="Z53" s="664">
        <v>1609</v>
      </c>
      <c r="AA53" s="665">
        <v>1645</v>
      </c>
    </row>
    <row r="54" spans="1:27" ht="16.5" customHeight="1">
      <c r="A54" s="529" t="s">
        <v>127</v>
      </c>
      <c r="B54" s="530" t="s">
        <v>653</v>
      </c>
      <c r="C54" s="660">
        <v>6.6000000000000003E-2</v>
      </c>
      <c r="D54" s="660">
        <v>6.3E-2</v>
      </c>
      <c r="E54" s="660">
        <v>6.5000000000000002E-2</v>
      </c>
      <c r="F54" s="660">
        <v>7.0999999999999994E-2</v>
      </c>
      <c r="G54" s="660">
        <v>6.8000000000000005E-2</v>
      </c>
      <c r="H54" s="660">
        <v>6.8000000000000005E-2</v>
      </c>
      <c r="I54" s="660">
        <v>6.9000000000000006E-2</v>
      </c>
      <c r="J54" s="660">
        <v>6.3E-2</v>
      </c>
      <c r="K54" s="660">
        <v>6.5000000000000002E-2</v>
      </c>
      <c r="L54" s="660">
        <v>7.2000000000000008E-2</v>
      </c>
      <c r="M54" s="661">
        <v>7.6999999999999999E-2</v>
      </c>
      <c r="N54" s="646">
        <v>8.6999999999999994E-2</v>
      </c>
      <c r="O54" s="662"/>
      <c r="P54" s="667">
        <v>894</v>
      </c>
      <c r="Q54" s="667">
        <v>872</v>
      </c>
      <c r="R54" s="667">
        <v>921</v>
      </c>
      <c r="S54" s="663">
        <v>1014</v>
      </c>
      <c r="T54" s="663">
        <v>1007</v>
      </c>
      <c r="U54" s="667">
        <v>994</v>
      </c>
      <c r="V54" s="663">
        <v>1060</v>
      </c>
      <c r="W54" s="667">
        <v>981</v>
      </c>
      <c r="X54" s="663">
        <v>1033</v>
      </c>
      <c r="Y54" s="663">
        <v>1158</v>
      </c>
      <c r="Z54" s="664">
        <v>1230</v>
      </c>
      <c r="AA54" s="665">
        <v>1387</v>
      </c>
    </row>
    <row r="55" spans="1:27" ht="16.5" customHeight="1">
      <c r="A55" s="529" t="s">
        <v>129</v>
      </c>
      <c r="B55" s="530" t="s">
        <v>654</v>
      </c>
      <c r="C55" s="660">
        <v>0.129</v>
      </c>
      <c r="D55" s="660">
        <v>0.125</v>
      </c>
      <c r="E55" s="660">
        <v>0.13400000000000001</v>
      </c>
      <c r="F55" s="660">
        <v>0.13300000000000001</v>
      </c>
      <c r="G55" s="660">
        <v>0.12300000000000001</v>
      </c>
      <c r="H55" s="660">
        <v>0.13600000000000001</v>
      </c>
      <c r="I55" s="660">
        <v>0.13500000000000001</v>
      </c>
      <c r="J55" s="660">
        <v>0.129</v>
      </c>
      <c r="K55" s="660">
        <v>0.13200000000000001</v>
      </c>
      <c r="L55" s="660">
        <v>0.127</v>
      </c>
      <c r="M55" s="661">
        <v>0.13900000000000001</v>
      </c>
      <c r="N55" s="646">
        <v>0.157</v>
      </c>
      <c r="O55" s="662"/>
      <c r="P55" s="663">
        <v>1435</v>
      </c>
      <c r="Q55" s="663">
        <v>1399</v>
      </c>
      <c r="R55" s="663">
        <v>1513</v>
      </c>
      <c r="S55" s="663">
        <v>1498</v>
      </c>
      <c r="T55" s="663">
        <v>1395</v>
      </c>
      <c r="U55" s="663">
        <v>1518</v>
      </c>
      <c r="V55" s="663">
        <v>1507</v>
      </c>
      <c r="W55" s="663">
        <v>1434</v>
      </c>
      <c r="X55" s="663">
        <v>1463</v>
      </c>
      <c r="Y55" s="663">
        <v>1379</v>
      </c>
      <c r="Z55" s="664">
        <v>1557</v>
      </c>
      <c r="AA55" s="665">
        <v>1741</v>
      </c>
    </row>
    <row r="56" spans="1:27" ht="16.5" customHeight="1">
      <c r="A56" s="529" t="s">
        <v>131</v>
      </c>
      <c r="B56" s="530" t="s">
        <v>655</v>
      </c>
      <c r="C56" s="660">
        <v>0.223</v>
      </c>
      <c r="D56" s="660">
        <v>0.21199999999999999</v>
      </c>
      <c r="E56" s="660">
        <v>0.23300000000000001</v>
      </c>
      <c r="F56" s="660">
        <v>0.21600000000000003</v>
      </c>
      <c r="G56" s="660">
        <v>0.21100000000000002</v>
      </c>
      <c r="H56" s="660">
        <v>0.26400000000000001</v>
      </c>
      <c r="I56" s="660">
        <v>0.22399999999999998</v>
      </c>
      <c r="J56" s="660">
        <v>0.22899999999999998</v>
      </c>
      <c r="K56" s="660">
        <v>0.23300000000000001</v>
      </c>
      <c r="L56" s="660">
        <v>0.26100000000000001</v>
      </c>
      <c r="M56" s="661">
        <v>0.255</v>
      </c>
      <c r="N56" s="646">
        <v>0.27600000000000002</v>
      </c>
      <c r="O56" s="662"/>
      <c r="P56" s="663">
        <v>5171</v>
      </c>
      <c r="Q56" s="663">
        <v>4988</v>
      </c>
      <c r="R56" s="663">
        <v>5547</v>
      </c>
      <c r="S56" s="663">
        <v>5144</v>
      </c>
      <c r="T56" s="663">
        <v>4987</v>
      </c>
      <c r="U56" s="663">
        <v>6163</v>
      </c>
      <c r="V56" s="663">
        <v>5285</v>
      </c>
      <c r="W56" s="663">
        <v>5343</v>
      </c>
      <c r="X56" s="663">
        <v>5433</v>
      </c>
      <c r="Y56" s="663">
        <v>6079</v>
      </c>
      <c r="Z56" s="664">
        <v>6087</v>
      </c>
      <c r="AA56" s="665">
        <v>6454</v>
      </c>
    </row>
    <row r="57" spans="1:27" ht="16.5" customHeight="1">
      <c r="A57" s="529" t="s">
        <v>133</v>
      </c>
      <c r="B57" s="530" t="s">
        <v>656</v>
      </c>
      <c r="C57" s="660">
        <v>2.7999999999999997E-2</v>
      </c>
      <c r="D57" s="660">
        <v>2.8999999999999998E-2</v>
      </c>
      <c r="E57" s="660">
        <v>3.2000000000000001E-2</v>
      </c>
      <c r="F57" s="660">
        <v>3.6000000000000004E-2</v>
      </c>
      <c r="G57" s="660">
        <v>3.4000000000000002E-2</v>
      </c>
      <c r="H57" s="660">
        <v>2.7000000000000003E-2</v>
      </c>
      <c r="I57" s="660">
        <v>2.8999999999999998E-2</v>
      </c>
      <c r="J57" s="660">
        <v>0.03</v>
      </c>
      <c r="K57" s="660">
        <v>3.1E-2</v>
      </c>
      <c r="L57" s="660">
        <v>3.4000000000000002E-2</v>
      </c>
      <c r="M57" s="661">
        <v>3.7000000000000005E-2</v>
      </c>
      <c r="N57" s="646">
        <v>0.04</v>
      </c>
      <c r="O57" s="662"/>
      <c r="P57" s="663">
        <v>5340</v>
      </c>
      <c r="Q57" s="663">
        <v>5869</v>
      </c>
      <c r="R57" s="663">
        <v>7055</v>
      </c>
      <c r="S57" s="663">
        <v>8721</v>
      </c>
      <c r="T57" s="663">
        <v>8788</v>
      </c>
      <c r="U57" s="663">
        <v>6966</v>
      </c>
      <c r="V57" s="663">
        <v>7794</v>
      </c>
      <c r="W57" s="663">
        <v>8284</v>
      </c>
      <c r="X57" s="663">
        <v>9033</v>
      </c>
      <c r="Y57" s="663">
        <v>10069</v>
      </c>
      <c r="Z57" s="664">
        <v>11525</v>
      </c>
      <c r="AA57" s="665">
        <v>12996</v>
      </c>
    </row>
    <row r="58" spans="1:27" ht="16.5" customHeight="1">
      <c r="A58" s="529" t="s">
        <v>135</v>
      </c>
      <c r="B58" s="530" t="s">
        <v>657</v>
      </c>
      <c r="C58" s="660">
        <v>9.1999999999999998E-2</v>
      </c>
      <c r="D58" s="660">
        <v>9.0999999999999998E-2</v>
      </c>
      <c r="E58" s="660">
        <v>0.1</v>
      </c>
      <c r="F58" s="660">
        <v>0.10199999999999999</v>
      </c>
      <c r="G58" s="660">
        <v>9.6999999999999989E-2</v>
      </c>
      <c r="H58" s="660">
        <v>0.113</v>
      </c>
      <c r="I58" s="660">
        <v>9.9000000000000005E-2</v>
      </c>
      <c r="J58" s="660">
        <v>9.6999999999999989E-2</v>
      </c>
      <c r="K58" s="660">
        <v>9.6000000000000002E-2</v>
      </c>
      <c r="L58" s="660">
        <v>0.11699999999999999</v>
      </c>
      <c r="M58" s="661">
        <v>9.9000000000000019E-2</v>
      </c>
      <c r="N58" s="646">
        <v>0.10800000000000001</v>
      </c>
      <c r="O58" s="662"/>
      <c r="P58" s="663">
        <v>2411</v>
      </c>
      <c r="Q58" s="663">
        <v>2456</v>
      </c>
      <c r="R58" s="663">
        <v>2793</v>
      </c>
      <c r="S58" s="663">
        <v>2928</v>
      </c>
      <c r="T58" s="663">
        <v>2911</v>
      </c>
      <c r="U58" s="663">
        <v>3364</v>
      </c>
      <c r="V58" s="663">
        <v>3054</v>
      </c>
      <c r="W58" s="663">
        <v>3080</v>
      </c>
      <c r="X58" s="663">
        <v>3119</v>
      </c>
      <c r="Y58" s="663">
        <v>3828</v>
      </c>
      <c r="Z58" s="664">
        <v>3259</v>
      </c>
      <c r="AA58" s="665">
        <v>3597</v>
      </c>
    </row>
    <row r="59" spans="1:27" ht="16.5" customHeight="1">
      <c r="A59" s="529" t="s">
        <v>137</v>
      </c>
      <c r="B59" s="530" t="s">
        <v>658</v>
      </c>
      <c r="C59" s="660">
        <v>0.16300000000000001</v>
      </c>
      <c r="D59" s="660">
        <v>0.16600000000000001</v>
      </c>
      <c r="E59" s="660">
        <v>0.18</v>
      </c>
      <c r="F59" s="660">
        <v>0.17300000000000001</v>
      </c>
      <c r="G59" s="660">
        <v>0.17100000000000001</v>
      </c>
      <c r="H59" s="660">
        <v>0.22800000000000001</v>
      </c>
      <c r="I59" s="660">
        <v>0.19800000000000001</v>
      </c>
      <c r="J59" s="660">
        <v>0.193</v>
      </c>
      <c r="K59" s="660">
        <v>0.215</v>
      </c>
      <c r="L59" s="660">
        <v>0.22500000000000001</v>
      </c>
      <c r="M59" s="661">
        <v>0.20499999999999999</v>
      </c>
      <c r="N59" s="646">
        <v>0.22600000000000001</v>
      </c>
      <c r="O59" s="662"/>
      <c r="P59" s="663">
        <v>1965</v>
      </c>
      <c r="Q59" s="663">
        <v>1986</v>
      </c>
      <c r="R59" s="663">
        <v>2164</v>
      </c>
      <c r="S59" s="663">
        <v>2061</v>
      </c>
      <c r="T59" s="663">
        <v>2055</v>
      </c>
      <c r="U59" s="663">
        <v>2718</v>
      </c>
      <c r="V59" s="663">
        <v>2368</v>
      </c>
      <c r="W59" s="663">
        <v>2276</v>
      </c>
      <c r="X59" s="663">
        <v>2516</v>
      </c>
      <c r="Y59" s="663">
        <v>2597</v>
      </c>
      <c r="Z59" s="664">
        <v>2396</v>
      </c>
      <c r="AA59" s="665">
        <v>2636</v>
      </c>
    </row>
    <row r="60" spans="1:27" ht="16.5" customHeight="1">
      <c r="A60" s="529" t="s">
        <v>141</v>
      </c>
      <c r="B60" s="530" t="s">
        <v>659</v>
      </c>
      <c r="C60" s="660">
        <v>9.8000000000000004E-2</v>
      </c>
      <c r="D60" s="660">
        <v>8.900000000000001E-2</v>
      </c>
      <c r="E60" s="660">
        <v>9.4E-2</v>
      </c>
      <c r="F60" s="660">
        <v>9.5000000000000001E-2</v>
      </c>
      <c r="G60" s="660">
        <v>9.0999999999999998E-2</v>
      </c>
      <c r="H60" s="660">
        <v>9.8000000000000004E-2</v>
      </c>
      <c r="I60" s="660">
        <v>0.10199999999999999</v>
      </c>
      <c r="J60" s="660">
        <v>9.8000000000000004E-2</v>
      </c>
      <c r="K60" s="660">
        <v>0.107</v>
      </c>
      <c r="L60" s="660">
        <v>0.10800000000000001</v>
      </c>
      <c r="M60" s="661">
        <v>0.11699999999999999</v>
      </c>
      <c r="N60" s="646">
        <v>0.11900000000000001</v>
      </c>
      <c r="O60" s="662"/>
      <c r="P60" s="663">
        <v>1235</v>
      </c>
      <c r="Q60" s="663">
        <v>1141</v>
      </c>
      <c r="R60" s="663">
        <v>1221</v>
      </c>
      <c r="S60" s="663">
        <v>1231</v>
      </c>
      <c r="T60" s="663">
        <v>1209</v>
      </c>
      <c r="U60" s="663">
        <v>1293</v>
      </c>
      <c r="V60" s="663">
        <v>1369</v>
      </c>
      <c r="W60" s="663">
        <v>1319</v>
      </c>
      <c r="X60" s="663">
        <v>1434</v>
      </c>
      <c r="Y60" s="663">
        <v>1456</v>
      </c>
      <c r="Z60" s="664">
        <v>1544</v>
      </c>
      <c r="AA60" s="665">
        <v>1549</v>
      </c>
    </row>
    <row r="61" spans="1:27" ht="16.5" customHeight="1">
      <c r="A61" s="529" t="s">
        <v>147</v>
      </c>
      <c r="B61" s="530" t="s">
        <v>660</v>
      </c>
      <c r="C61" s="660">
        <v>8.6999999999999994E-2</v>
      </c>
      <c r="D61" s="660">
        <v>8.5999999999999993E-2</v>
      </c>
      <c r="E61" s="660">
        <v>8.900000000000001E-2</v>
      </c>
      <c r="F61" s="660">
        <v>8.6999999999999994E-2</v>
      </c>
      <c r="G61" s="660">
        <v>8.3000000000000004E-2</v>
      </c>
      <c r="H61" s="660">
        <v>8.1000000000000003E-2</v>
      </c>
      <c r="I61" s="660">
        <v>8.3000000000000004E-2</v>
      </c>
      <c r="J61" s="660">
        <v>8.1000000000000003E-2</v>
      </c>
      <c r="K61" s="660">
        <v>8.6999999999999994E-2</v>
      </c>
      <c r="L61" s="660">
        <v>9.6999999999999989E-2</v>
      </c>
      <c r="M61" s="661">
        <v>0.10199999999999999</v>
      </c>
      <c r="N61" s="646">
        <v>0.1</v>
      </c>
      <c r="O61" s="662"/>
      <c r="P61" s="667">
        <v>799</v>
      </c>
      <c r="Q61" s="667">
        <v>785</v>
      </c>
      <c r="R61" s="667">
        <v>819</v>
      </c>
      <c r="S61" s="667">
        <v>800</v>
      </c>
      <c r="T61" s="667">
        <v>766</v>
      </c>
      <c r="U61" s="667">
        <v>735</v>
      </c>
      <c r="V61" s="667">
        <v>756</v>
      </c>
      <c r="W61" s="667">
        <v>723</v>
      </c>
      <c r="X61" s="663">
        <v>777</v>
      </c>
      <c r="Y61" s="663">
        <v>860</v>
      </c>
      <c r="Z61" s="664">
        <v>903</v>
      </c>
      <c r="AA61" s="665">
        <v>888</v>
      </c>
    </row>
    <row r="62" spans="1:27" ht="16.5" customHeight="1">
      <c r="A62" s="529" t="s">
        <v>149</v>
      </c>
      <c r="B62" s="530" t="s">
        <v>661</v>
      </c>
      <c r="C62" s="660">
        <v>0.13400000000000001</v>
      </c>
      <c r="D62" s="660">
        <v>0.13300000000000001</v>
      </c>
      <c r="E62" s="660">
        <v>0.153</v>
      </c>
      <c r="F62" s="660">
        <v>0.154</v>
      </c>
      <c r="G62" s="660">
        <v>0.14800000000000002</v>
      </c>
      <c r="H62" s="660">
        <v>0.16399999999999998</v>
      </c>
      <c r="I62" s="660">
        <v>0.14800000000000002</v>
      </c>
      <c r="J62" s="660">
        <v>0.16</v>
      </c>
      <c r="K62" s="660">
        <v>0.17399999999999999</v>
      </c>
      <c r="L62" s="660">
        <v>0.188</v>
      </c>
      <c r="M62" s="661">
        <v>0.20199999999999999</v>
      </c>
      <c r="N62" s="646">
        <v>0.19</v>
      </c>
      <c r="O62" s="662"/>
      <c r="P62" s="663">
        <v>4156</v>
      </c>
      <c r="Q62" s="663">
        <v>4113</v>
      </c>
      <c r="R62" s="663">
        <v>4773</v>
      </c>
      <c r="S62" s="663">
        <v>4779</v>
      </c>
      <c r="T62" s="663">
        <v>4609</v>
      </c>
      <c r="U62" s="663">
        <v>5062</v>
      </c>
      <c r="V62" s="663">
        <v>4570</v>
      </c>
      <c r="W62" s="663">
        <v>4889</v>
      </c>
      <c r="X62" s="663">
        <v>5331</v>
      </c>
      <c r="Y62" s="663">
        <v>5731</v>
      </c>
      <c r="Z62" s="664">
        <v>6241</v>
      </c>
      <c r="AA62" s="665">
        <v>5870</v>
      </c>
    </row>
    <row r="63" spans="1:27" ht="16.5" customHeight="1">
      <c r="A63" s="529" t="s">
        <v>151</v>
      </c>
      <c r="B63" s="530" t="s">
        <v>662</v>
      </c>
      <c r="C63" s="660">
        <v>0.115</v>
      </c>
      <c r="D63" s="660">
        <v>0.11199999999999999</v>
      </c>
      <c r="E63" s="660">
        <v>0.11800000000000001</v>
      </c>
      <c r="F63" s="660">
        <v>0.11599999999999999</v>
      </c>
      <c r="G63" s="660">
        <v>0.11599999999999999</v>
      </c>
      <c r="H63" s="660">
        <v>0.13300000000000001</v>
      </c>
      <c r="I63" s="660">
        <v>0.127</v>
      </c>
      <c r="J63" s="660">
        <v>0.122</v>
      </c>
      <c r="K63" s="660">
        <v>0.124</v>
      </c>
      <c r="L63" s="660">
        <v>0.13800000000000001</v>
      </c>
      <c r="M63" s="661">
        <v>0.13599999999999998</v>
      </c>
      <c r="N63" s="646">
        <v>0.128</v>
      </c>
      <c r="O63" s="662"/>
      <c r="P63" s="663">
        <v>1117</v>
      </c>
      <c r="Q63" s="663">
        <v>1103</v>
      </c>
      <c r="R63" s="663">
        <v>1189</v>
      </c>
      <c r="S63" s="663">
        <v>1193</v>
      </c>
      <c r="T63" s="663">
        <v>1190</v>
      </c>
      <c r="U63" s="663">
        <v>1354</v>
      </c>
      <c r="V63" s="663">
        <v>1307</v>
      </c>
      <c r="W63" s="663">
        <v>1259</v>
      </c>
      <c r="X63" s="663">
        <v>1272</v>
      </c>
      <c r="Y63" s="663">
        <v>1435</v>
      </c>
      <c r="Z63" s="664">
        <v>1442</v>
      </c>
      <c r="AA63" s="665">
        <v>1343</v>
      </c>
    </row>
    <row r="64" spans="1:27" ht="16.5" customHeight="1">
      <c r="A64" s="529" t="s">
        <v>153</v>
      </c>
      <c r="B64" s="530" t="s">
        <v>663</v>
      </c>
      <c r="C64" s="660">
        <v>0.125</v>
      </c>
      <c r="D64" s="660">
        <v>0.128</v>
      </c>
      <c r="E64" s="660">
        <v>0.14000000000000001</v>
      </c>
      <c r="F64" s="660">
        <v>0.152</v>
      </c>
      <c r="G64" s="660">
        <v>0.14899999999999999</v>
      </c>
      <c r="H64" s="660">
        <v>0.20899999999999999</v>
      </c>
      <c r="I64" s="660">
        <v>0.20300000000000001</v>
      </c>
      <c r="J64" s="660">
        <v>0.19899999999999998</v>
      </c>
      <c r="K64" s="660">
        <v>0.20600000000000002</v>
      </c>
      <c r="L64" s="660">
        <v>0.19</v>
      </c>
      <c r="M64" s="661">
        <v>0.20500000000000002</v>
      </c>
      <c r="N64" s="646">
        <v>0.22500000000000001</v>
      </c>
      <c r="O64" s="662"/>
      <c r="P64" s="663">
        <v>9453</v>
      </c>
      <c r="Q64" s="663">
        <v>9761</v>
      </c>
      <c r="R64" s="663">
        <v>10779</v>
      </c>
      <c r="S64" s="663">
        <v>11417</v>
      </c>
      <c r="T64" s="663">
        <v>11267</v>
      </c>
      <c r="U64" s="663">
        <v>15671</v>
      </c>
      <c r="V64" s="663">
        <v>15296</v>
      </c>
      <c r="W64" s="663">
        <v>15836</v>
      </c>
      <c r="X64" s="663">
        <v>16498</v>
      </c>
      <c r="Y64" s="663">
        <v>15475</v>
      </c>
      <c r="Z64" s="664">
        <v>17470</v>
      </c>
      <c r="AA64" s="665">
        <v>19169</v>
      </c>
    </row>
    <row r="65" spans="1:27" ht="16.5" customHeight="1">
      <c r="A65" s="529" t="s">
        <v>155</v>
      </c>
      <c r="B65" s="530" t="s">
        <v>664</v>
      </c>
      <c r="C65" s="660">
        <v>0.10300000000000001</v>
      </c>
      <c r="D65" s="660">
        <v>0.10199999999999999</v>
      </c>
      <c r="E65" s="660">
        <v>0.109</v>
      </c>
      <c r="F65" s="660">
        <v>0.11199999999999999</v>
      </c>
      <c r="G65" s="660">
        <v>0.10400000000000001</v>
      </c>
      <c r="H65" s="660">
        <v>0.11900000000000001</v>
      </c>
      <c r="I65" s="660">
        <v>0.113</v>
      </c>
      <c r="J65" s="660">
        <v>0.114</v>
      </c>
      <c r="K65" s="660">
        <v>0.13200000000000001</v>
      </c>
      <c r="L65" s="660">
        <v>0.127</v>
      </c>
      <c r="M65" s="661">
        <v>0.13100000000000001</v>
      </c>
      <c r="N65" s="646">
        <v>0.13600000000000001</v>
      </c>
      <c r="O65" s="662"/>
      <c r="P65" s="663">
        <v>1493</v>
      </c>
      <c r="Q65" s="663">
        <v>1495</v>
      </c>
      <c r="R65" s="663">
        <v>1638</v>
      </c>
      <c r="S65" s="663">
        <v>1674</v>
      </c>
      <c r="T65" s="663">
        <v>1574</v>
      </c>
      <c r="U65" s="663">
        <v>1770</v>
      </c>
      <c r="V65" s="663">
        <v>1704</v>
      </c>
      <c r="W65" s="663">
        <v>1730</v>
      </c>
      <c r="X65" s="663">
        <v>2009</v>
      </c>
      <c r="Y65" s="663">
        <v>1960</v>
      </c>
      <c r="Z65" s="664">
        <v>1956</v>
      </c>
      <c r="AA65" s="665">
        <v>2036</v>
      </c>
    </row>
    <row r="66" spans="1:27" ht="16.5" customHeight="1">
      <c r="A66" s="529" t="s">
        <v>157</v>
      </c>
      <c r="B66" s="530" t="s">
        <v>665</v>
      </c>
      <c r="C66" s="660">
        <v>5.0999999999999997E-2</v>
      </c>
      <c r="D66" s="660">
        <v>5.2000000000000005E-2</v>
      </c>
      <c r="E66" s="660">
        <v>5.7000000000000002E-2</v>
      </c>
      <c r="F66" s="660">
        <v>5.5999999999999994E-2</v>
      </c>
      <c r="G66" s="660">
        <v>5.5E-2</v>
      </c>
      <c r="H66" s="660">
        <v>5.2000000000000005E-2</v>
      </c>
      <c r="I66" s="660">
        <v>5.5E-2</v>
      </c>
      <c r="J66" s="660">
        <v>5.2999999999999999E-2</v>
      </c>
      <c r="K66" s="660">
        <v>5.5999999999999994E-2</v>
      </c>
      <c r="L66" s="660">
        <v>5.5999999999999994E-2</v>
      </c>
      <c r="M66" s="661">
        <v>5.7999999999999996E-2</v>
      </c>
      <c r="N66" s="646">
        <v>6.9000000000000006E-2</v>
      </c>
      <c r="O66" s="662"/>
      <c r="P66" s="667">
        <v>683</v>
      </c>
      <c r="Q66" s="667">
        <v>720</v>
      </c>
      <c r="R66" s="667">
        <v>823</v>
      </c>
      <c r="S66" s="667">
        <v>858</v>
      </c>
      <c r="T66" s="667">
        <v>864</v>
      </c>
      <c r="U66" s="667">
        <v>821</v>
      </c>
      <c r="V66" s="667">
        <v>905</v>
      </c>
      <c r="W66" s="667">
        <v>880</v>
      </c>
      <c r="X66" s="663">
        <v>959</v>
      </c>
      <c r="Y66" s="663">
        <v>981</v>
      </c>
      <c r="Z66" s="664">
        <v>1037</v>
      </c>
      <c r="AA66" s="665">
        <v>1257</v>
      </c>
    </row>
    <row r="67" spans="1:27" ht="16.5" customHeight="1">
      <c r="A67" s="529" t="s">
        <v>163</v>
      </c>
      <c r="B67" s="530" t="s">
        <v>666</v>
      </c>
      <c r="C67" s="660">
        <v>0.18600000000000003</v>
      </c>
      <c r="D67" s="660">
        <v>0.17600000000000002</v>
      </c>
      <c r="E67" s="660">
        <v>0.184</v>
      </c>
      <c r="F67" s="660">
        <v>0.18100000000000002</v>
      </c>
      <c r="G67" s="660">
        <v>0.17600000000000002</v>
      </c>
      <c r="H67" s="660">
        <v>0.19899999999999998</v>
      </c>
      <c r="I67" s="660">
        <v>0.18899999999999997</v>
      </c>
      <c r="J67" s="660">
        <v>0.20800000000000002</v>
      </c>
      <c r="K67" s="660">
        <v>0.19500000000000001</v>
      </c>
      <c r="L67" s="660">
        <v>0.20600000000000002</v>
      </c>
      <c r="M67" s="661">
        <v>0.18699999999999997</v>
      </c>
      <c r="N67" s="646">
        <v>0.22699999999999998</v>
      </c>
      <c r="O67" s="662"/>
      <c r="P67" s="663">
        <v>2377</v>
      </c>
      <c r="Q67" s="663">
        <v>2271</v>
      </c>
      <c r="R67" s="663">
        <v>2426</v>
      </c>
      <c r="S67" s="663">
        <v>2380</v>
      </c>
      <c r="T67" s="663">
        <v>2359</v>
      </c>
      <c r="U67" s="663">
        <v>2614</v>
      </c>
      <c r="V67" s="663">
        <v>2527</v>
      </c>
      <c r="W67" s="663">
        <v>2732</v>
      </c>
      <c r="X67" s="663">
        <v>2560</v>
      </c>
      <c r="Y67" s="663">
        <v>2723</v>
      </c>
      <c r="Z67" s="664">
        <v>2258</v>
      </c>
      <c r="AA67" s="665">
        <v>2744</v>
      </c>
    </row>
    <row r="68" spans="1:27" ht="16.5" customHeight="1">
      <c r="A68" s="529" t="s">
        <v>165</v>
      </c>
      <c r="B68" s="530" t="s">
        <v>667</v>
      </c>
      <c r="C68" s="660">
        <v>0.11800000000000001</v>
      </c>
      <c r="D68" s="660">
        <v>0.11699999999999999</v>
      </c>
      <c r="E68" s="660">
        <v>0.13</v>
      </c>
      <c r="F68" s="660">
        <v>0.12300000000000001</v>
      </c>
      <c r="G68" s="660">
        <v>0.11800000000000001</v>
      </c>
      <c r="H68" s="660">
        <v>0.124</v>
      </c>
      <c r="I68" s="660">
        <v>0.13400000000000001</v>
      </c>
      <c r="J68" s="660">
        <v>0.13600000000000001</v>
      </c>
      <c r="K68" s="660">
        <v>0.13</v>
      </c>
      <c r="L68" s="660">
        <v>0.13600000000000001</v>
      </c>
      <c r="M68" s="661">
        <v>0.14399999999999999</v>
      </c>
      <c r="N68" s="646">
        <v>0.13800000000000001</v>
      </c>
      <c r="O68" s="662"/>
      <c r="P68" s="663">
        <v>1458</v>
      </c>
      <c r="Q68" s="663">
        <v>1477</v>
      </c>
      <c r="R68" s="663">
        <v>1666</v>
      </c>
      <c r="S68" s="663">
        <v>1592</v>
      </c>
      <c r="T68" s="663">
        <v>1523</v>
      </c>
      <c r="U68" s="663">
        <v>1591</v>
      </c>
      <c r="V68" s="663">
        <v>1709</v>
      </c>
      <c r="W68" s="663">
        <v>1756</v>
      </c>
      <c r="X68" s="663">
        <v>1679</v>
      </c>
      <c r="Y68" s="663">
        <v>1766</v>
      </c>
      <c r="Z68" s="664">
        <v>1766</v>
      </c>
      <c r="AA68" s="665">
        <v>1719</v>
      </c>
    </row>
    <row r="69" spans="1:27" ht="16.5" customHeight="1">
      <c r="A69" s="529" t="s">
        <v>169</v>
      </c>
      <c r="B69" s="530" t="s">
        <v>668</v>
      </c>
      <c r="C69" s="660">
        <v>0.16399999999999998</v>
      </c>
      <c r="D69" s="660">
        <v>0.156</v>
      </c>
      <c r="E69" s="660">
        <v>0.17</v>
      </c>
      <c r="F69" s="660">
        <v>0.17300000000000001</v>
      </c>
      <c r="G69" s="660">
        <v>0.16800000000000001</v>
      </c>
      <c r="H69" s="660">
        <v>0.19399999999999998</v>
      </c>
      <c r="I69" s="660">
        <v>0.193</v>
      </c>
      <c r="J69" s="660">
        <v>0.19899999999999998</v>
      </c>
      <c r="K69" s="660">
        <v>0.20600000000000002</v>
      </c>
      <c r="L69" s="660">
        <v>0.20300000000000001</v>
      </c>
      <c r="M69" s="661">
        <v>0.20799999999999999</v>
      </c>
      <c r="N69" s="646">
        <v>0.221</v>
      </c>
      <c r="O69" s="662"/>
      <c r="P69" s="663">
        <v>2331</v>
      </c>
      <c r="Q69" s="663">
        <v>2210</v>
      </c>
      <c r="R69" s="663">
        <v>2405</v>
      </c>
      <c r="S69" s="663">
        <v>2444</v>
      </c>
      <c r="T69" s="663">
        <v>2367</v>
      </c>
      <c r="U69" s="663">
        <v>2703</v>
      </c>
      <c r="V69" s="663">
        <v>2702</v>
      </c>
      <c r="W69" s="663">
        <v>2785</v>
      </c>
      <c r="X69" s="663">
        <v>2921</v>
      </c>
      <c r="Y69" s="663">
        <v>2880</v>
      </c>
      <c r="Z69" s="664">
        <v>2903</v>
      </c>
      <c r="AA69" s="665">
        <v>3085</v>
      </c>
    </row>
    <row r="70" spans="1:27" ht="16.5" customHeight="1">
      <c r="A70" s="529" t="s">
        <v>171</v>
      </c>
      <c r="B70" s="530" t="s">
        <v>669</v>
      </c>
      <c r="C70" s="660">
        <v>8.900000000000001E-2</v>
      </c>
      <c r="D70" s="660">
        <v>8.6999999999999994E-2</v>
      </c>
      <c r="E70" s="660">
        <v>8.8000000000000009E-2</v>
      </c>
      <c r="F70" s="660">
        <v>8.5999999999999993E-2</v>
      </c>
      <c r="G70" s="660">
        <v>0.08</v>
      </c>
      <c r="H70" s="660">
        <v>8.4000000000000005E-2</v>
      </c>
      <c r="I70" s="660">
        <v>7.8E-2</v>
      </c>
      <c r="J70" s="660">
        <v>8.5999999999999993E-2</v>
      </c>
      <c r="K70" s="660">
        <v>8.199999999999999E-2</v>
      </c>
      <c r="L70" s="660">
        <v>9.5000000000000001E-2</v>
      </c>
      <c r="M70" s="661">
        <v>0.10699999999999998</v>
      </c>
      <c r="N70" s="646">
        <v>0.11900000000000001</v>
      </c>
      <c r="O70" s="662"/>
      <c r="P70" s="663">
        <v>2338</v>
      </c>
      <c r="Q70" s="663">
        <v>2333</v>
      </c>
      <c r="R70" s="663">
        <v>2447</v>
      </c>
      <c r="S70" s="663">
        <v>2444</v>
      </c>
      <c r="T70" s="663">
        <v>2375</v>
      </c>
      <c r="U70" s="663">
        <v>2490</v>
      </c>
      <c r="V70" s="663">
        <v>2412</v>
      </c>
      <c r="W70" s="663">
        <v>2728</v>
      </c>
      <c r="X70" s="663">
        <v>2677</v>
      </c>
      <c r="Y70" s="663">
        <v>3130</v>
      </c>
      <c r="Z70" s="664">
        <v>3517</v>
      </c>
      <c r="AA70" s="665">
        <v>3950</v>
      </c>
    </row>
    <row r="71" spans="1:27" ht="16.5" customHeight="1">
      <c r="A71" s="529" t="s">
        <v>173</v>
      </c>
      <c r="B71" s="530" t="s">
        <v>670</v>
      </c>
      <c r="C71" s="660">
        <v>0.106</v>
      </c>
      <c r="D71" s="660">
        <v>0.10099999999999999</v>
      </c>
      <c r="E71" s="660">
        <v>0.11</v>
      </c>
      <c r="F71" s="660">
        <v>0.12</v>
      </c>
      <c r="G71" s="660">
        <v>0.11599999999999999</v>
      </c>
      <c r="H71" s="660">
        <v>0.13300000000000001</v>
      </c>
      <c r="I71" s="660">
        <v>0.13</v>
      </c>
      <c r="J71" s="660">
        <v>0.122</v>
      </c>
      <c r="K71" s="660">
        <v>0.14199999999999999</v>
      </c>
      <c r="L71" s="660">
        <v>0.125</v>
      </c>
      <c r="M71" s="661">
        <v>0.15699999999999997</v>
      </c>
      <c r="N71" s="646">
        <v>0.17100000000000001</v>
      </c>
      <c r="O71" s="662"/>
      <c r="P71" s="663">
        <v>2439</v>
      </c>
      <c r="Q71" s="663">
        <v>2339</v>
      </c>
      <c r="R71" s="663">
        <v>2578</v>
      </c>
      <c r="S71" s="663">
        <v>2818</v>
      </c>
      <c r="T71" s="663">
        <v>2752</v>
      </c>
      <c r="U71" s="663">
        <v>3116</v>
      </c>
      <c r="V71" s="663">
        <v>3093</v>
      </c>
      <c r="W71" s="663">
        <v>2912</v>
      </c>
      <c r="X71" s="663">
        <v>3370</v>
      </c>
      <c r="Y71" s="663">
        <v>2964</v>
      </c>
      <c r="Z71" s="664">
        <v>3725</v>
      </c>
      <c r="AA71" s="665">
        <v>4055</v>
      </c>
    </row>
    <row r="72" spans="1:27" ht="16.5" customHeight="1">
      <c r="A72" s="529" t="s">
        <v>175</v>
      </c>
      <c r="B72" s="530" t="s">
        <v>671</v>
      </c>
      <c r="C72" s="660">
        <v>0.125</v>
      </c>
      <c r="D72" s="660">
        <v>0.129</v>
      </c>
      <c r="E72" s="660">
        <v>0.13600000000000001</v>
      </c>
      <c r="F72" s="660">
        <v>0.14099999999999999</v>
      </c>
      <c r="G72" s="660">
        <v>0.14000000000000001</v>
      </c>
      <c r="H72" s="660">
        <v>0.161</v>
      </c>
      <c r="I72" s="660">
        <v>0.14099999999999999</v>
      </c>
      <c r="J72" s="660">
        <v>0.15</v>
      </c>
      <c r="K72" s="660">
        <v>0.17100000000000001</v>
      </c>
      <c r="L72" s="660">
        <v>0.17600000000000002</v>
      </c>
      <c r="M72" s="661">
        <v>0.187</v>
      </c>
      <c r="N72" s="646">
        <v>0.18</v>
      </c>
      <c r="O72" s="662"/>
      <c r="P72" s="663">
        <v>2427</v>
      </c>
      <c r="Q72" s="663">
        <v>2471</v>
      </c>
      <c r="R72" s="663">
        <v>2610</v>
      </c>
      <c r="S72" s="663">
        <v>2701</v>
      </c>
      <c r="T72" s="663">
        <v>2690</v>
      </c>
      <c r="U72" s="663">
        <v>3039</v>
      </c>
      <c r="V72" s="663">
        <v>2686</v>
      </c>
      <c r="W72" s="663">
        <v>2797</v>
      </c>
      <c r="X72" s="663">
        <v>3185</v>
      </c>
      <c r="Y72" s="663">
        <v>3246</v>
      </c>
      <c r="Z72" s="664">
        <v>3407</v>
      </c>
      <c r="AA72" s="665">
        <v>3260</v>
      </c>
    </row>
    <row r="73" spans="1:27" ht="16.5" customHeight="1">
      <c r="A73" s="529" t="s">
        <v>179</v>
      </c>
      <c r="B73" s="530" t="s">
        <v>180</v>
      </c>
      <c r="C73" s="660">
        <v>0.10099999999999999</v>
      </c>
      <c r="D73" s="660">
        <v>0.10199999999999999</v>
      </c>
      <c r="E73" s="660">
        <v>0.11599999999999999</v>
      </c>
      <c r="F73" s="660">
        <v>0.124</v>
      </c>
      <c r="G73" s="660">
        <v>0.121</v>
      </c>
      <c r="H73" s="660">
        <v>0.14300000000000002</v>
      </c>
      <c r="I73" s="660">
        <v>0.13</v>
      </c>
      <c r="J73" s="660">
        <v>0.121</v>
      </c>
      <c r="K73" s="660">
        <v>0.14400000000000002</v>
      </c>
      <c r="L73" s="660">
        <v>0.156</v>
      </c>
      <c r="M73" s="661">
        <v>0.159</v>
      </c>
      <c r="N73" s="646">
        <v>0.14699999999999999</v>
      </c>
      <c r="O73" s="662"/>
      <c r="P73" s="663">
        <v>6252</v>
      </c>
      <c r="Q73" s="663">
        <v>6276</v>
      </c>
      <c r="R73" s="663">
        <v>7149</v>
      </c>
      <c r="S73" s="663">
        <v>7661</v>
      </c>
      <c r="T73" s="663">
        <v>7497</v>
      </c>
      <c r="U73" s="663">
        <v>8779</v>
      </c>
      <c r="V73" s="663">
        <v>7914</v>
      </c>
      <c r="W73" s="663">
        <v>7281</v>
      </c>
      <c r="X73" s="663">
        <v>8732</v>
      </c>
      <c r="Y73" s="663">
        <v>9386</v>
      </c>
      <c r="Z73" s="664">
        <v>9951</v>
      </c>
      <c r="AA73" s="665">
        <v>9113</v>
      </c>
    </row>
    <row r="74" spans="1:27" ht="16.5" customHeight="1">
      <c r="A74" s="529" t="s">
        <v>183</v>
      </c>
      <c r="B74" s="530" t="s">
        <v>673</v>
      </c>
      <c r="C74" s="660">
        <v>5.4000000000000006E-2</v>
      </c>
      <c r="D74" s="660">
        <v>5.2999999999999999E-2</v>
      </c>
      <c r="E74" s="660">
        <v>5.5999999999999994E-2</v>
      </c>
      <c r="F74" s="660">
        <v>5.9000000000000004E-2</v>
      </c>
      <c r="G74" s="660">
        <v>5.7000000000000002E-2</v>
      </c>
      <c r="H74" s="660">
        <v>5.9000000000000004E-2</v>
      </c>
      <c r="I74" s="660">
        <v>5.7999999999999996E-2</v>
      </c>
      <c r="J74" s="660">
        <v>5.7999999999999996E-2</v>
      </c>
      <c r="K74" s="660">
        <v>5.7999999999999996E-2</v>
      </c>
      <c r="L74" s="660">
        <v>6.0999999999999999E-2</v>
      </c>
      <c r="M74" s="661">
        <v>7.1000000000000008E-2</v>
      </c>
      <c r="N74" s="646">
        <v>7.400000000000001E-2</v>
      </c>
      <c r="O74" s="662"/>
      <c r="P74" s="663">
        <v>1116</v>
      </c>
      <c r="Q74" s="663">
        <v>1152</v>
      </c>
      <c r="R74" s="663">
        <v>1271</v>
      </c>
      <c r="S74" s="663">
        <v>1383</v>
      </c>
      <c r="T74" s="663">
        <v>1375</v>
      </c>
      <c r="U74" s="663">
        <v>1404</v>
      </c>
      <c r="V74" s="663">
        <v>1445</v>
      </c>
      <c r="W74" s="663">
        <v>1451</v>
      </c>
      <c r="X74" s="663">
        <v>1489</v>
      </c>
      <c r="Y74" s="663">
        <v>1573</v>
      </c>
      <c r="Z74" s="664">
        <v>1821</v>
      </c>
      <c r="AA74" s="665">
        <v>1894</v>
      </c>
    </row>
    <row r="75" spans="1:27" ht="16.5" customHeight="1">
      <c r="A75" s="529" t="s">
        <v>185</v>
      </c>
      <c r="B75" s="530" t="s">
        <v>674</v>
      </c>
      <c r="C75" s="660">
        <v>0.18600000000000003</v>
      </c>
      <c r="D75" s="660">
        <v>0.19699999999999998</v>
      </c>
      <c r="E75" s="660">
        <v>0.221</v>
      </c>
      <c r="F75" s="660">
        <v>0.184</v>
      </c>
      <c r="G75" s="660">
        <v>0.187</v>
      </c>
      <c r="H75" s="660">
        <v>0.222</v>
      </c>
      <c r="I75" s="660">
        <v>0.19600000000000001</v>
      </c>
      <c r="J75" s="660">
        <v>0.20300000000000001</v>
      </c>
      <c r="K75" s="660">
        <v>0.23699999999999999</v>
      </c>
      <c r="L75" s="660">
        <v>0.222</v>
      </c>
      <c r="M75" s="661">
        <v>0.22800000000000001</v>
      </c>
      <c r="N75" s="646">
        <v>0.25</v>
      </c>
      <c r="O75" s="662"/>
      <c r="P75" s="663">
        <v>2980</v>
      </c>
      <c r="Q75" s="663">
        <v>3195</v>
      </c>
      <c r="R75" s="663">
        <v>3635</v>
      </c>
      <c r="S75" s="663">
        <v>3050</v>
      </c>
      <c r="T75" s="663">
        <v>3136</v>
      </c>
      <c r="U75" s="663">
        <v>3653</v>
      </c>
      <c r="V75" s="663">
        <v>3275</v>
      </c>
      <c r="W75" s="663">
        <v>3449</v>
      </c>
      <c r="X75" s="663">
        <v>4105</v>
      </c>
      <c r="Y75" s="663">
        <v>3897</v>
      </c>
      <c r="Z75" s="664">
        <v>4338</v>
      </c>
      <c r="AA75" s="665">
        <v>4748</v>
      </c>
    </row>
    <row r="76" spans="1:27" ht="16.5" customHeight="1">
      <c r="A76" s="529" t="s">
        <v>187</v>
      </c>
      <c r="B76" s="530" t="s">
        <v>675</v>
      </c>
      <c r="C76" s="660">
        <v>7.5999999999999998E-2</v>
      </c>
      <c r="D76" s="660">
        <v>7.5999999999999998E-2</v>
      </c>
      <c r="E76" s="660">
        <v>8.1000000000000003E-2</v>
      </c>
      <c r="F76" s="660">
        <v>9.1999999999999998E-2</v>
      </c>
      <c r="G76" s="660">
        <v>8.5999999999999993E-2</v>
      </c>
      <c r="H76" s="660">
        <v>9.1999999999999998E-2</v>
      </c>
      <c r="I76" s="660">
        <v>8.5999999999999993E-2</v>
      </c>
      <c r="J76" s="660">
        <v>9.3000000000000013E-2</v>
      </c>
      <c r="K76" s="660">
        <v>0.105</v>
      </c>
      <c r="L76" s="660">
        <v>0.10199999999999999</v>
      </c>
      <c r="M76" s="661">
        <v>9.6999999999999989E-2</v>
      </c>
      <c r="N76" s="646">
        <v>0.107</v>
      </c>
      <c r="O76" s="662"/>
      <c r="P76" s="663">
        <v>2206</v>
      </c>
      <c r="Q76" s="663">
        <v>2201</v>
      </c>
      <c r="R76" s="663">
        <v>2373</v>
      </c>
      <c r="S76" s="663">
        <v>2716</v>
      </c>
      <c r="T76" s="663">
        <v>2557</v>
      </c>
      <c r="U76" s="663">
        <v>2706</v>
      </c>
      <c r="V76" s="663">
        <v>2498</v>
      </c>
      <c r="W76" s="663">
        <v>2663</v>
      </c>
      <c r="X76" s="663">
        <v>3018</v>
      </c>
      <c r="Y76" s="663">
        <v>3025</v>
      </c>
      <c r="Z76" s="664">
        <v>3002</v>
      </c>
      <c r="AA76" s="665">
        <v>3404</v>
      </c>
    </row>
    <row r="77" spans="1:27" ht="16.5" customHeight="1">
      <c r="A77" s="529" t="s">
        <v>189</v>
      </c>
      <c r="B77" s="530" t="s">
        <v>676</v>
      </c>
      <c r="C77" s="660">
        <v>4.8000000000000001E-2</v>
      </c>
      <c r="D77" s="660">
        <v>4.8000000000000001E-2</v>
      </c>
      <c r="E77" s="660">
        <v>5.5E-2</v>
      </c>
      <c r="F77" s="660">
        <v>0.06</v>
      </c>
      <c r="G77" s="660">
        <v>5.5999999999999994E-2</v>
      </c>
      <c r="H77" s="660">
        <v>0.05</v>
      </c>
      <c r="I77" s="660">
        <v>5.0999999999999997E-2</v>
      </c>
      <c r="J77" s="660">
        <v>0.05</v>
      </c>
      <c r="K77" s="660">
        <v>5.2999999999999999E-2</v>
      </c>
      <c r="L77" s="660">
        <v>0.06</v>
      </c>
      <c r="M77" s="661">
        <v>6.0999999999999999E-2</v>
      </c>
      <c r="N77" s="646">
        <v>6.9000000000000006E-2</v>
      </c>
      <c r="O77" s="662"/>
      <c r="P77" s="663">
        <v>14234</v>
      </c>
      <c r="Q77" s="663">
        <v>14982</v>
      </c>
      <c r="R77" s="663">
        <v>17871</v>
      </c>
      <c r="S77" s="663">
        <v>20293</v>
      </c>
      <c r="T77" s="663">
        <v>19550</v>
      </c>
      <c r="U77" s="663">
        <v>17235</v>
      </c>
      <c r="V77" s="663">
        <v>18174</v>
      </c>
      <c r="W77" s="663">
        <v>17703</v>
      </c>
      <c r="X77" s="663">
        <v>19016</v>
      </c>
      <c r="Y77" s="663">
        <v>22535</v>
      </c>
      <c r="Z77" s="664">
        <v>24696</v>
      </c>
      <c r="AA77" s="665">
        <v>28639</v>
      </c>
    </row>
    <row r="78" spans="1:27" ht="16.5" customHeight="1">
      <c r="A78" s="529" t="s">
        <v>191</v>
      </c>
      <c r="B78" s="530" t="s">
        <v>677</v>
      </c>
      <c r="C78" s="660">
        <v>0.11199999999999999</v>
      </c>
      <c r="D78" s="660">
        <v>0.113</v>
      </c>
      <c r="E78" s="660">
        <v>0.124</v>
      </c>
      <c r="F78" s="660">
        <v>0.13</v>
      </c>
      <c r="G78" s="660">
        <v>0.13100000000000001</v>
      </c>
      <c r="H78" s="660">
        <v>0.157</v>
      </c>
      <c r="I78" s="660">
        <v>0.14099999999999999</v>
      </c>
      <c r="J78" s="660">
        <v>0.14099999999999999</v>
      </c>
      <c r="K78" s="660">
        <v>0.154</v>
      </c>
      <c r="L78" s="660">
        <v>0.14199999999999999</v>
      </c>
      <c r="M78" s="661">
        <v>0.158</v>
      </c>
      <c r="N78" s="646">
        <v>0.16500000000000001</v>
      </c>
      <c r="O78" s="662"/>
      <c r="P78" s="663">
        <v>3813</v>
      </c>
      <c r="Q78" s="663">
        <v>3825</v>
      </c>
      <c r="R78" s="663">
        <v>4236</v>
      </c>
      <c r="S78" s="663">
        <v>4427</v>
      </c>
      <c r="T78" s="663">
        <v>4463</v>
      </c>
      <c r="U78" s="663">
        <v>5295</v>
      </c>
      <c r="V78" s="663">
        <v>4751</v>
      </c>
      <c r="W78" s="663">
        <v>4753</v>
      </c>
      <c r="X78" s="663">
        <v>5193</v>
      </c>
      <c r="Y78" s="663">
        <v>4766</v>
      </c>
      <c r="Z78" s="664">
        <v>5355</v>
      </c>
      <c r="AA78" s="665">
        <v>5533</v>
      </c>
    </row>
    <row r="79" spans="1:27" ht="16.5" customHeight="1">
      <c r="A79" s="529" t="s">
        <v>195</v>
      </c>
      <c r="B79" s="530" t="s">
        <v>196</v>
      </c>
      <c r="C79" s="660">
        <v>7.9000000000000001E-2</v>
      </c>
      <c r="D79" s="660">
        <v>7.5999999999999998E-2</v>
      </c>
      <c r="E79" s="660">
        <v>7.5999999999999998E-2</v>
      </c>
      <c r="F79" s="660">
        <v>7.400000000000001E-2</v>
      </c>
      <c r="G79" s="660">
        <v>6.6000000000000003E-2</v>
      </c>
      <c r="H79" s="660">
        <v>7.0999999999999994E-2</v>
      </c>
      <c r="I79" s="660">
        <v>7.8E-2</v>
      </c>
      <c r="J79" s="660">
        <v>7.8E-2</v>
      </c>
      <c r="K79" s="660">
        <v>8.199999999999999E-2</v>
      </c>
      <c r="L79" s="660">
        <v>9.1999999999999998E-2</v>
      </c>
      <c r="M79" s="661">
        <v>9.8000000000000004E-2</v>
      </c>
      <c r="N79" s="646">
        <v>0.1</v>
      </c>
      <c r="O79" s="662"/>
      <c r="P79" s="667">
        <v>557</v>
      </c>
      <c r="Q79" s="667">
        <v>541</v>
      </c>
      <c r="R79" s="667">
        <v>542</v>
      </c>
      <c r="S79" s="667">
        <v>532</v>
      </c>
      <c r="T79" s="667">
        <v>482</v>
      </c>
      <c r="U79" s="667">
        <v>515</v>
      </c>
      <c r="V79" s="667">
        <v>555</v>
      </c>
      <c r="W79" s="667">
        <v>561</v>
      </c>
      <c r="X79" s="663">
        <v>581</v>
      </c>
      <c r="Y79" s="663">
        <v>644</v>
      </c>
      <c r="Z79" s="664">
        <v>720</v>
      </c>
      <c r="AA79" s="665">
        <v>742</v>
      </c>
    </row>
    <row r="80" spans="1:27" ht="16.5" customHeight="1">
      <c r="A80" s="529" t="s">
        <v>199</v>
      </c>
      <c r="B80" s="530" t="s">
        <v>279</v>
      </c>
      <c r="C80" s="660">
        <v>0.157</v>
      </c>
      <c r="D80" s="660">
        <v>0.16</v>
      </c>
      <c r="E80" s="660">
        <v>0.16800000000000001</v>
      </c>
      <c r="F80" s="660">
        <v>0.156</v>
      </c>
      <c r="G80" s="660">
        <v>0.158</v>
      </c>
      <c r="H80" s="660">
        <v>0.17</v>
      </c>
      <c r="I80" s="660">
        <v>0.16500000000000001</v>
      </c>
      <c r="J80" s="660">
        <v>0.17699999999999999</v>
      </c>
      <c r="K80" s="660">
        <v>0.184</v>
      </c>
      <c r="L80" s="660">
        <v>0.193</v>
      </c>
      <c r="M80" s="661">
        <v>0.185</v>
      </c>
      <c r="N80" s="646">
        <v>0.20399999999999999</v>
      </c>
      <c r="O80" s="662"/>
      <c r="P80" s="663">
        <v>1110</v>
      </c>
      <c r="Q80" s="663">
        <v>1144</v>
      </c>
      <c r="R80" s="663">
        <v>1216</v>
      </c>
      <c r="S80" s="663">
        <v>1120</v>
      </c>
      <c r="T80" s="663">
        <v>1141</v>
      </c>
      <c r="U80" s="663">
        <v>1219</v>
      </c>
      <c r="V80" s="663">
        <v>1192</v>
      </c>
      <c r="W80" s="663">
        <v>1272</v>
      </c>
      <c r="X80" s="663">
        <v>1315</v>
      </c>
      <c r="Y80" s="663">
        <v>1342</v>
      </c>
      <c r="Z80" s="664">
        <v>1377</v>
      </c>
      <c r="AA80" s="665">
        <v>1510</v>
      </c>
    </row>
    <row r="81" spans="1:27" ht="16.5" customHeight="1">
      <c r="A81" s="529" t="s">
        <v>203</v>
      </c>
      <c r="B81" s="530" t="s">
        <v>805</v>
      </c>
      <c r="C81" s="660">
        <v>5.2900000000000003E-2</v>
      </c>
      <c r="D81" s="660">
        <v>5.7000000000000002E-2</v>
      </c>
      <c r="E81" s="660">
        <v>6.5299999999999997E-2</v>
      </c>
      <c r="F81" s="660">
        <v>7.2300000000000003E-2</v>
      </c>
      <c r="G81" s="660">
        <v>6.8699999999999997E-2</v>
      </c>
      <c r="H81" s="660">
        <v>6.3E-2</v>
      </c>
      <c r="I81" s="660">
        <v>6.1500000000000006E-2</v>
      </c>
      <c r="J81" s="660">
        <v>6.480000000000001E-2</v>
      </c>
      <c r="K81" s="660">
        <v>7.0800000000000002E-2</v>
      </c>
      <c r="L81" s="660">
        <v>6.8199999999999997E-2</v>
      </c>
      <c r="M81" s="661">
        <v>7.553320643060675E-2</v>
      </c>
      <c r="N81" s="646">
        <v>0.191</v>
      </c>
      <c r="O81" s="662"/>
      <c r="P81" s="663">
        <v>5681</v>
      </c>
      <c r="Q81" s="663">
        <v>6098</v>
      </c>
      <c r="R81" s="663">
        <v>7107</v>
      </c>
      <c r="S81" s="663">
        <v>7856</v>
      </c>
      <c r="T81" s="663">
        <v>7558</v>
      </c>
      <c r="U81" s="663">
        <v>6809</v>
      </c>
      <c r="V81" s="663">
        <v>6852</v>
      </c>
      <c r="W81" s="663">
        <v>7238</v>
      </c>
      <c r="X81" s="663">
        <v>7950</v>
      </c>
      <c r="Y81" s="663">
        <v>7619</v>
      </c>
      <c r="Z81" s="664">
        <v>8538</v>
      </c>
      <c r="AA81" s="665">
        <v>9852</v>
      </c>
    </row>
    <row r="82" spans="1:27" ht="16.5" customHeight="1">
      <c r="A82" s="529" t="s">
        <v>205</v>
      </c>
      <c r="B82" s="530" t="s">
        <v>1015</v>
      </c>
      <c r="C82" s="660">
        <v>0.1038</v>
      </c>
      <c r="D82" s="660">
        <v>0.10199999999999999</v>
      </c>
      <c r="E82" s="660">
        <v>0.1124</v>
      </c>
      <c r="F82" s="660">
        <v>0.1109</v>
      </c>
      <c r="G82" s="660">
        <v>0.10630000000000001</v>
      </c>
      <c r="H82" s="660">
        <v>0.12130000000000001</v>
      </c>
      <c r="I82" s="660">
        <v>0.13339999999999999</v>
      </c>
      <c r="J82" s="660">
        <v>0.1273</v>
      </c>
      <c r="K82" s="660">
        <v>0.1346</v>
      </c>
      <c r="L82" s="660">
        <v>0.1338</v>
      </c>
      <c r="M82" s="661">
        <v>0.14077673638184915</v>
      </c>
      <c r="N82" s="646">
        <v>0.14656092725331707</v>
      </c>
      <c r="O82" s="662"/>
      <c r="P82" s="663">
        <v>3255</v>
      </c>
      <c r="Q82" s="663">
        <v>3202</v>
      </c>
      <c r="R82" s="663">
        <v>3574</v>
      </c>
      <c r="S82" s="663">
        <v>3517</v>
      </c>
      <c r="T82" s="663">
        <v>3365</v>
      </c>
      <c r="U82" s="663">
        <v>3820</v>
      </c>
      <c r="V82" s="663">
        <v>4213</v>
      </c>
      <c r="W82" s="663">
        <v>4049</v>
      </c>
      <c r="X82" s="663">
        <v>4265</v>
      </c>
      <c r="Y82" s="663">
        <v>4221</v>
      </c>
      <c r="Z82" s="664">
        <v>4625</v>
      </c>
      <c r="AA82" s="665">
        <v>4805</v>
      </c>
    </row>
    <row r="83" spans="1:27" ht="16.5" customHeight="1">
      <c r="A83" s="529" t="s">
        <v>207</v>
      </c>
      <c r="B83" s="530" t="s">
        <v>1016</v>
      </c>
      <c r="C83" s="660">
        <v>0.11710000000000001</v>
      </c>
      <c r="D83" s="660">
        <v>0.11119999999999999</v>
      </c>
      <c r="E83" s="660">
        <v>0.1217</v>
      </c>
      <c r="F83" s="660">
        <v>0.1188</v>
      </c>
      <c r="G83" s="660">
        <v>0.11539999999999999</v>
      </c>
      <c r="H83" s="660">
        <v>0.14130000000000001</v>
      </c>
      <c r="I83" s="660">
        <v>0.14990000000000001</v>
      </c>
      <c r="J83" s="660">
        <v>0.1454</v>
      </c>
      <c r="K83" s="660">
        <v>0.158</v>
      </c>
      <c r="L83" s="660">
        <v>0.15340000000000001</v>
      </c>
      <c r="M83" s="661">
        <v>0.17707606256042166</v>
      </c>
      <c r="N83" s="646">
        <v>0.15870237569248546</v>
      </c>
      <c r="O83" s="662"/>
      <c r="P83" s="663">
        <v>11774</v>
      </c>
      <c r="Q83" s="663">
        <v>11332</v>
      </c>
      <c r="R83" s="663">
        <v>12457</v>
      </c>
      <c r="S83" s="663">
        <v>12312</v>
      </c>
      <c r="T83" s="663">
        <v>12047</v>
      </c>
      <c r="U83" s="663">
        <v>14559</v>
      </c>
      <c r="V83" s="663">
        <v>15701</v>
      </c>
      <c r="W83" s="663">
        <v>15770</v>
      </c>
      <c r="X83" s="663">
        <v>17273</v>
      </c>
      <c r="Y83" s="663">
        <v>17133</v>
      </c>
      <c r="Z83" s="664">
        <v>20566</v>
      </c>
      <c r="AA83" s="665">
        <v>18678</v>
      </c>
    </row>
    <row r="84" spans="1:27" ht="16.5" customHeight="1">
      <c r="A84" s="529" t="s">
        <v>209</v>
      </c>
      <c r="B84" s="530" t="s">
        <v>679</v>
      </c>
      <c r="C84" s="660">
        <v>0.16699999999999998</v>
      </c>
      <c r="D84" s="660">
        <v>0.159</v>
      </c>
      <c r="E84" s="660">
        <v>0.17600000000000002</v>
      </c>
      <c r="F84" s="660">
        <v>0.16800000000000001</v>
      </c>
      <c r="G84" s="660">
        <v>0.16500000000000001</v>
      </c>
      <c r="H84" s="660">
        <v>0.193</v>
      </c>
      <c r="I84" s="660">
        <v>0.17399999999999999</v>
      </c>
      <c r="J84" s="660">
        <v>0.184</v>
      </c>
      <c r="K84" s="660">
        <v>0.19399999999999998</v>
      </c>
      <c r="L84" s="660">
        <v>0.191</v>
      </c>
      <c r="M84" s="661">
        <v>0.18100000000000002</v>
      </c>
      <c r="N84" s="646">
        <v>0.23499999999999999</v>
      </c>
      <c r="O84" s="662"/>
      <c r="P84" s="663">
        <v>4793</v>
      </c>
      <c r="Q84" s="663">
        <v>4565</v>
      </c>
      <c r="R84" s="663">
        <v>5059</v>
      </c>
      <c r="S84" s="663">
        <v>4823</v>
      </c>
      <c r="T84" s="663">
        <v>4762</v>
      </c>
      <c r="U84" s="663">
        <v>5492</v>
      </c>
      <c r="V84" s="663">
        <v>4932</v>
      </c>
      <c r="W84" s="663">
        <v>5243</v>
      </c>
      <c r="X84" s="663">
        <v>5516</v>
      </c>
      <c r="Y84" s="663">
        <v>5527</v>
      </c>
      <c r="Z84" s="664">
        <v>5173</v>
      </c>
      <c r="AA84" s="665">
        <v>6704</v>
      </c>
    </row>
    <row r="85" spans="1:27" ht="16.5" customHeight="1">
      <c r="A85" s="529" t="s">
        <v>211</v>
      </c>
      <c r="B85" s="530" t="s">
        <v>680</v>
      </c>
      <c r="C85" s="660">
        <v>0.14099999999999999</v>
      </c>
      <c r="D85" s="660">
        <v>0.13900000000000001</v>
      </c>
      <c r="E85" s="660">
        <v>0.14599999999999999</v>
      </c>
      <c r="F85" s="660">
        <v>0.153</v>
      </c>
      <c r="G85" s="660">
        <v>0.14899999999999999</v>
      </c>
      <c r="H85" s="660">
        <v>0.17899999999999999</v>
      </c>
      <c r="I85" s="660">
        <v>0.17699999999999999</v>
      </c>
      <c r="J85" s="660">
        <v>0.18100000000000002</v>
      </c>
      <c r="K85" s="660">
        <v>0.17300000000000001</v>
      </c>
      <c r="L85" s="660">
        <v>0.192</v>
      </c>
      <c r="M85" s="661">
        <v>0.189</v>
      </c>
      <c r="N85" s="646">
        <v>0.187</v>
      </c>
      <c r="O85" s="662"/>
      <c r="P85" s="663">
        <v>3268</v>
      </c>
      <c r="Q85" s="663">
        <v>3183</v>
      </c>
      <c r="R85" s="663">
        <v>3348</v>
      </c>
      <c r="S85" s="663">
        <v>3508</v>
      </c>
      <c r="T85" s="663">
        <v>3402</v>
      </c>
      <c r="U85" s="663">
        <v>4040</v>
      </c>
      <c r="V85" s="663">
        <v>4000</v>
      </c>
      <c r="W85" s="663">
        <v>4033</v>
      </c>
      <c r="X85" s="663">
        <v>3856</v>
      </c>
      <c r="Y85" s="663">
        <v>4220</v>
      </c>
      <c r="Z85" s="664">
        <v>4248</v>
      </c>
      <c r="AA85" s="665">
        <v>4193</v>
      </c>
    </row>
    <row r="86" spans="1:27" ht="16.5" customHeight="1">
      <c r="A86" s="529" t="s">
        <v>213</v>
      </c>
      <c r="B86" s="530" t="s">
        <v>681</v>
      </c>
      <c r="C86" s="660">
        <v>0.08</v>
      </c>
      <c r="D86" s="660">
        <v>8.1000000000000003E-2</v>
      </c>
      <c r="E86" s="660">
        <v>8.3000000000000004E-2</v>
      </c>
      <c r="F86" s="660">
        <v>8.900000000000001E-2</v>
      </c>
      <c r="G86" s="660">
        <v>8.5999999999999993E-2</v>
      </c>
      <c r="H86" s="660">
        <v>8.4000000000000005E-2</v>
      </c>
      <c r="I86" s="660">
        <v>8.3000000000000004E-2</v>
      </c>
      <c r="J86" s="660">
        <v>0.09</v>
      </c>
      <c r="K86" s="660">
        <v>9.8000000000000004E-2</v>
      </c>
      <c r="L86" s="660">
        <v>0.10400000000000001</v>
      </c>
      <c r="M86" s="661">
        <v>0.11700000000000001</v>
      </c>
      <c r="N86" s="646">
        <v>0.13400000000000001</v>
      </c>
      <c r="O86" s="662"/>
      <c r="P86" s="663">
        <v>2849</v>
      </c>
      <c r="Q86" s="663">
        <v>2927</v>
      </c>
      <c r="R86" s="663">
        <v>3072</v>
      </c>
      <c r="S86" s="663">
        <v>3357</v>
      </c>
      <c r="T86" s="663">
        <v>3349</v>
      </c>
      <c r="U86" s="663">
        <v>3235</v>
      </c>
      <c r="V86" s="663">
        <v>3297</v>
      </c>
      <c r="W86" s="663">
        <v>3602</v>
      </c>
      <c r="X86" s="663">
        <v>3934</v>
      </c>
      <c r="Y86" s="663">
        <v>4206</v>
      </c>
      <c r="Z86" s="664">
        <v>4862</v>
      </c>
      <c r="AA86" s="665">
        <v>5620</v>
      </c>
    </row>
    <row r="87" spans="1:27" ht="16.5" customHeight="1">
      <c r="A87" s="529" t="s">
        <v>215</v>
      </c>
      <c r="B87" s="530" t="s">
        <v>682</v>
      </c>
      <c r="C87" s="660">
        <v>0.13100000000000001</v>
      </c>
      <c r="D87" s="660">
        <v>0.13300000000000001</v>
      </c>
      <c r="E87" s="660">
        <v>0.14300000000000002</v>
      </c>
      <c r="F87" s="660">
        <v>0.14800000000000002</v>
      </c>
      <c r="G87" s="660">
        <v>0.14000000000000001</v>
      </c>
      <c r="H87" s="660">
        <v>0.13300000000000001</v>
      </c>
      <c r="I87" s="660">
        <v>0.155</v>
      </c>
      <c r="J87" s="660">
        <v>0.17100000000000001</v>
      </c>
      <c r="K87" s="660">
        <v>0.18100000000000002</v>
      </c>
      <c r="L87" s="660">
        <v>0.17800000000000002</v>
      </c>
      <c r="M87" s="661">
        <v>0.187</v>
      </c>
      <c r="N87" s="646">
        <v>0.19399999999999998</v>
      </c>
      <c r="O87" s="662"/>
      <c r="P87" s="663">
        <v>4212</v>
      </c>
      <c r="Q87" s="663">
        <v>4289</v>
      </c>
      <c r="R87" s="663">
        <v>4596</v>
      </c>
      <c r="S87" s="663">
        <v>4737</v>
      </c>
      <c r="T87" s="663">
        <v>4505</v>
      </c>
      <c r="U87" s="663">
        <v>4166</v>
      </c>
      <c r="V87" s="663">
        <v>4930</v>
      </c>
      <c r="W87" s="663">
        <v>5338</v>
      </c>
      <c r="X87" s="663">
        <v>5626</v>
      </c>
      <c r="Y87" s="663">
        <v>5516</v>
      </c>
      <c r="Z87" s="664">
        <v>5874</v>
      </c>
      <c r="AA87" s="665">
        <v>6085</v>
      </c>
    </row>
    <row r="88" spans="1:27" ht="16.5" customHeight="1">
      <c r="A88" s="529" t="s">
        <v>217</v>
      </c>
      <c r="B88" s="530" t="s">
        <v>683</v>
      </c>
      <c r="C88" s="660">
        <v>0.14000000000000001</v>
      </c>
      <c r="D88" s="660">
        <v>0.13100000000000001</v>
      </c>
      <c r="E88" s="660">
        <v>0.13800000000000001</v>
      </c>
      <c r="F88" s="660">
        <v>0.14000000000000001</v>
      </c>
      <c r="G88" s="660">
        <v>0.13500000000000001</v>
      </c>
      <c r="H88" s="660">
        <v>0.151</v>
      </c>
      <c r="I88" s="660">
        <v>0.154</v>
      </c>
      <c r="J88" s="660">
        <v>0.15</v>
      </c>
      <c r="K88" s="660">
        <v>0.17499999999999999</v>
      </c>
      <c r="L88" s="660">
        <v>0.159</v>
      </c>
      <c r="M88" s="661">
        <v>0.16400000000000001</v>
      </c>
      <c r="N88" s="646">
        <v>0.16</v>
      </c>
      <c r="O88" s="662"/>
      <c r="P88" s="663">
        <v>2211</v>
      </c>
      <c r="Q88" s="663">
        <v>2053</v>
      </c>
      <c r="R88" s="663">
        <v>2186</v>
      </c>
      <c r="S88" s="663">
        <v>2240</v>
      </c>
      <c r="T88" s="663">
        <v>2194</v>
      </c>
      <c r="U88" s="663">
        <v>2433</v>
      </c>
      <c r="V88" s="663">
        <v>2504</v>
      </c>
      <c r="W88" s="663">
        <v>2431</v>
      </c>
      <c r="X88" s="663">
        <v>2843</v>
      </c>
      <c r="Y88" s="663">
        <v>2561</v>
      </c>
      <c r="Z88" s="664">
        <v>2789</v>
      </c>
      <c r="AA88" s="665">
        <v>2696</v>
      </c>
    </row>
    <row r="89" spans="1:27" ht="16.5" customHeight="1">
      <c r="A89" s="529" t="s">
        <v>219</v>
      </c>
      <c r="B89" s="530" t="s">
        <v>684</v>
      </c>
      <c r="C89" s="660">
        <v>5.2999999999999999E-2</v>
      </c>
      <c r="D89" s="660">
        <v>5.2000000000000005E-2</v>
      </c>
      <c r="E89" s="660">
        <v>5.7000000000000002E-2</v>
      </c>
      <c r="F89" s="660">
        <v>5.9000000000000004E-2</v>
      </c>
      <c r="G89" s="660">
        <v>5.7000000000000002E-2</v>
      </c>
      <c r="H89" s="660">
        <v>5.5E-2</v>
      </c>
      <c r="I89" s="660">
        <v>5.5999999999999994E-2</v>
      </c>
      <c r="J89" s="660">
        <v>0.06</v>
      </c>
      <c r="K89" s="660">
        <v>6.4000000000000001E-2</v>
      </c>
      <c r="L89" s="660">
        <v>7.5999999999999998E-2</v>
      </c>
      <c r="M89" s="661">
        <v>7.9000000000000001E-2</v>
      </c>
      <c r="N89" s="646">
        <v>7.5999999999999998E-2</v>
      </c>
      <c r="O89" s="662"/>
      <c r="P89" s="663">
        <v>5080</v>
      </c>
      <c r="Q89" s="663">
        <v>5342</v>
      </c>
      <c r="R89" s="663">
        <v>6138</v>
      </c>
      <c r="S89" s="663">
        <v>6655</v>
      </c>
      <c r="T89" s="663">
        <v>6611</v>
      </c>
      <c r="U89" s="663">
        <v>6346</v>
      </c>
      <c r="V89" s="663">
        <v>6591</v>
      </c>
      <c r="W89" s="663">
        <v>7118</v>
      </c>
      <c r="X89" s="663">
        <v>7586</v>
      </c>
      <c r="Y89" s="663">
        <v>9132</v>
      </c>
      <c r="Z89" s="664">
        <v>9645</v>
      </c>
      <c r="AA89" s="665">
        <v>9356</v>
      </c>
    </row>
    <row r="90" spans="1:27" ht="16.5" customHeight="1">
      <c r="A90" s="529" t="s">
        <v>221</v>
      </c>
      <c r="B90" s="530" t="s">
        <v>685</v>
      </c>
      <c r="C90" s="660">
        <v>4.4000000000000004E-2</v>
      </c>
      <c r="D90" s="660">
        <v>4.2999999999999997E-2</v>
      </c>
      <c r="E90" s="660">
        <v>4.4999999999999998E-2</v>
      </c>
      <c r="F90" s="660">
        <v>0.05</v>
      </c>
      <c r="G90" s="660">
        <v>4.9000000000000002E-2</v>
      </c>
      <c r="H90" s="660">
        <v>4.5999999999999999E-2</v>
      </c>
      <c r="I90" s="660">
        <v>4.4000000000000004E-2</v>
      </c>
      <c r="J90" s="660">
        <v>4.2000000000000003E-2</v>
      </c>
      <c r="K90" s="660">
        <v>4.8000000000000001E-2</v>
      </c>
      <c r="L90" s="660">
        <v>4.7E-2</v>
      </c>
      <c r="M90" s="661">
        <v>5.1999999999999998E-2</v>
      </c>
      <c r="N90" s="646">
        <v>6.3E-2</v>
      </c>
      <c r="O90" s="662"/>
      <c r="P90" s="663">
        <v>4307</v>
      </c>
      <c r="Q90" s="663">
        <v>4394</v>
      </c>
      <c r="R90" s="663">
        <v>4901</v>
      </c>
      <c r="S90" s="663">
        <v>5671</v>
      </c>
      <c r="T90" s="663">
        <v>5772</v>
      </c>
      <c r="U90" s="663">
        <v>5366</v>
      </c>
      <c r="V90" s="663">
        <v>5152</v>
      </c>
      <c r="W90" s="663">
        <v>4954</v>
      </c>
      <c r="X90" s="663">
        <v>5713</v>
      </c>
      <c r="Y90" s="663">
        <v>5764</v>
      </c>
      <c r="Z90" s="664">
        <v>6531</v>
      </c>
      <c r="AA90" s="665">
        <v>8070</v>
      </c>
    </row>
    <row r="91" spans="1:27" ht="16.5" customHeight="1">
      <c r="A91" s="529" t="s">
        <v>225</v>
      </c>
      <c r="B91" s="530" t="s">
        <v>686</v>
      </c>
      <c r="C91" s="660">
        <v>0.11599999999999999</v>
      </c>
      <c r="D91" s="660">
        <v>0.10800000000000001</v>
      </c>
      <c r="E91" s="660">
        <v>0.11199999999999999</v>
      </c>
      <c r="F91" s="660">
        <v>0.109</v>
      </c>
      <c r="G91" s="660">
        <v>0.107</v>
      </c>
      <c r="H91" s="660">
        <v>0.11900000000000001</v>
      </c>
      <c r="I91" s="660">
        <v>0.107</v>
      </c>
      <c r="J91" s="660">
        <v>0.11</v>
      </c>
      <c r="K91" s="660">
        <v>0.11599999999999999</v>
      </c>
      <c r="L91" s="660">
        <v>0.11699999999999999</v>
      </c>
      <c r="M91" s="661">
        <v>0.123</v>
      </c>
      <c r="N91" s="646">
        <v>0.128</v>
      </c>
      <c r="O91" s="662"/>
      <c r="P91" s="667">
        <v>810</v>
      </c>
      <c r="Q91" s="667">
        <v>755</v>
      </c>
      <c r="R91" s="667">
        <v>792</v>
      </c>
      <c r="S91" s="667">
        <v>764</v>
      </c>
      <c r="T91" s="667">
        <v>753</v>
      </c>
      <c r="U91" s="667">
        <v>829</v>
      </c>
      <c r="V91" s="667">
        <v>758</v>
      </c>
      <c r="W91" s="667">
        <v>775</v>
      </c>
      <c r="X91" s="663">
        <v>823</v>
      </c>
      <c r="Y91" s="663">
        <v>827</v>
      </c>
      <c r="Z91" s="664">
        <v>871</v>
      </c>
      <c r="AA91" s="665">
        <v>884</v>
      </c>
    </row>
    <row r="92" spans="1:27" ht="16.5" customHeight="1">
      <c r="A92" s="529" t="s">
        <v>227</v>
      </c>
      <c r="B92" s="530" t="s">
        <v>687</v>
      </c>
      <c r="C92" s="660">
        <v>0.17199999999999999</v>
      </c>
      <c r="D92" s="660">
        <v>0.16899999999999998</v>
      </c>
      <c r="E92" s="660">
        <v>0.17899999999999999</v>
      </c>
      <c r="F92" s="660">
        <v>0.17199999999999999</v>
      </c>
      <c r="G92" s="660">
        <v>0.17699999999999999</v>
      </c>
      <c r="H92" s="660">
        <v>0.19500000000000001</v>
      </c>
      <c r="I92" s="660">
        <v>0.23499999999999999</v>
      </c>
      <c r="J92" s="660">
        <v>0.20399999999999999</v>
      </c>
      <c r="K92" s="660">
        <v>0.20699999999999999</v>
      </c>
      <c r="L92" s="660">
        <v>0.184</v>
      </c>
      <c r="M92" s="661">
        <v>0.22500000000000001</v>
      </c>
      <c r="N92" s="646">
        <v>0.20699999999999999</v>
      </c>
      <c r="O92" s="662"/>
      <c r="P92" s="663">
        <v>1694</v>
      </c>
      <c r="Q92" s="663">
        <v>1651</v>
      </c>
      <c r="R92" s="663">
        <v>1728</v>
      </c>
      <c r="S92" s="663">
        <v>1647</v>
      </c>
      <c r="T92" s="663">
        <v>1678</v>
      </c>
      <c r="U92" s="663">
        <v>1832</v>
      </c>
      <c r="V92" s="663">
        <v>2257</v>
      </c>
      <c r="W92" s="663">
        <v>1947</v>
      </c>
      <c r="X92" s="663">
        <v>1973</v>
      </c>
      <c r="Y92" s="663">
        <v>1742</v>
      </c>
      <c r="Z92" s="664">
        <v>2132</v>
      </c>
      <c r="AA92" s="665">
        <v>1966</v>
      </c>
    </row>
    <row r="93" spans="1:27" ht="16.5" customHeight="1">
      <c r="A93" s="529" t="s">
        <v>229</v>
      </c>
      <c r="B93" s="530" t="s">
        <v>688</v>
      </c>
      <c r="C93" s="660">
        <v>0.155</v>
      </c>
      <c r="D93" s="660">
        <v>0.15</v>
      </c>
      <c r="E93" s="660">
        <v>0.16600000000000001</v>
      </c>
      <c r="F93" s="660">
        <v>0.156</v>
      </c>
      <c r="G93" s="660">
        <v>0.157</v>
      </c>
      <c r="H93" s="660">
        <v>0.17300000000000001</v>
      </c>
      <c r="I93" s="660">
        <v>0.16500000000000001</v>
      </c>
      <c r="J93" s="660">
        <v>0.17800000000000002</v>
      </c>
      <c r="K93" s="660">
        <v>0.17600000000000002</v>
      </c>
      <c r="L93" s="660">
        <v>0.159</v>
      </c>
      <c r="M93" s="661">
        <v>0.185</v>
      </c>
      <c r="N93" s="646">
        <v>0.17600000000000002</v>
      </c>
      <c r="O93" s="662"/>
      <c r="P93" s="663">
        <v>6733</v>
      </c>
      <c r="Q93" s="663">
        <v>6533</v>
      </c>
      <c r="R93" s="663">
        <v>7281</v>
      </c>
      <c r="S93" s="663">
        <v>6895</v>
      </c>
      <c r="T93" s="663">
        <v>6960</v>
      </c>
      <c r="U93" s="663">
        <v>7559</v>
      </c>
      <c r="V93" s="663">
        <v>7195</v>
      </c>
      <c r="W93" s="663">
        <v>7640</v>
      </c>
      <c r="X93" s="663">
        <v>7561</v>
      </c>
      <c r="Y93" s="663">
        <v>6852</v>
      </c>
      <c r="Z93" s="664">
        <v>8035</v>
      </c>
      <c r="AA93" s="665">
        <v>7580</v>
      </c>
    </row>
    <row r="94" spans="1:27" ht="16.5" customHeight="1">
      <c r="A94" s="529" t="s">
        <v>233</v>
      </c>
      <c r="B94" s="530" t="s">
        <v>689</v>
      </c>
      <c r="C94" s="660">
        <v>8.5999999999999993E-2</v>
      </c>
      <c r="D94" s="660">
        <v>8.3000000000000004E-2</v>
      </c>
      <c r="E94" s="660">
        <v>8.6999999999999994E-2</v>
      </c>
      <c r="F94" s="660">
        <v>9.5000000000000001E-2</v>
      </c>
      <c r="G94" s="660">
        <v>8.900000000000001E-2</v>
      </c>
      <c r="H94" s="660">
        <v>9.8000000000000004E-2</v>
      </c>
      <c r="I94" s="660">
        <v>9.6000000000000002E-2</v>
      </c>
      <c r="J94" s="660">
        <v>0.09</v>
      </c>
      <c r="K94" s="660">
        <v>0.10099999999999999</v>
      </c>
      <c r="L94" s="660">
        <v>9.8000000000000004E-2</v>
      </c>
      <c r="M94" s="661">
        <v>0.10300000000000002</v>
      </c>
      <c r="N94" s="646">
        <v>0.10400000000000001</v>
      </c>
      <c r="O94" s="662"/>
      <c r="P94" s="663">
        <v>2737</v>
      </c>
      <c r="Q94" s="663">
        <v>2697</v>
      </c>
      <c r="R94" s="663">
        <v>2908</v>
      </c>
      <c r="S94" s="663">
        <v>3236</v>
      </c>
      <c r="T94" s="663">
        <v>3114</v>
      </c>
      <c r="U94" s="663">
        <v>3399</v>
      </c>
      <c r="V94" s="663">
        <v>3382</v>
      </c>
      <c r="W94" s="663">
        <v>3180</v>
      </c>
      <c r="X94" s="663">
        <v>3625</v>
      </c>
      <c r="Y94" s="663">
        <v>3519</v>
      </c>
      <c r="Z94" s="664">
        <v>3812</v>
      </c>
      <c r="AA94" s="665">
        <v>3858</v>
      </c>
    </row>
    <row r="95" spans="1:27" ht="16.5" customHeight="1">
      <c r="A95" s="529" t="s">
        <v>235</v>
      </c>
      <c r="B95" s="530" t="s">
        <v>690</v>
      </c>
      <c r="C95" s="660">
        <v>0.114</v>
      </c>
      <c r="D95" s="660">
        <v>0.111</v>
      </c>
      <c r="E95" s="660">
        <v>0.12</v>
      </c>
      <c r="F95" s="660">
        <v>0.122</v>
      </c>
      <c r="G95" s="660">
        <v>0.12300000000000001</v>
      </c>
      <c r="H95" s="660">
        <v>0.11</v>
      </c>
      <c r="I95" s="660">
        <v>0.129</v>
      </c>
      <c r="J95" s="660">
        <v>0.14800000000000002</v>
      </c>
      <c r="K95" s="660">
        <v>0.14199999999999999</v>
      </c>
      <c r="L95" s="660">
        <v>0.13900000000000001</v>
      </c>
      <c r="M95" s="661">
        <v>0.14099999999999999</v>
      </c>
      <c r="N95" s="646">
        <v>0.128</v>
      </c>
      <c r="O95" s="662"/>
      <c r="P95" s="663">
        <v>5761</v>
      </c>
      <c r="Q95" s="663">
        <v>5609</v>
      </c>
      <c r="R95" s="663">
        <v>6108</v>
      </c>
      <c r="S95" s="663">
        <v>6265</v>
      </c>
      <c r="T95" s="663">
        <v>6344</v>
      </c>
      <c r="U95" s="663">
        <v>5561</v>
      </c>
      <c r="V95" s="663">
        <v>6576</v>
      </c>
      <c r="W95" s="663">
        <v>7589</v>
      </c>
      <c r="X95" s="663">
        <v>7302</v>
      </c>
      <c r="Y95" s="663">
        <v>7165</v>
      </c>
      <c r="Z95" s="664">
        <v>7500</v>
      </c>
      <c r="AA95" s="665">
        <v>6831</v>
      </c>
    </row>
    <row r="96" spans="1:27" ht="16.5" customHeight="1">
      <c r="A96" s="529" t="s">
        <v>237</v>
      </c>
      <c r="B96" s="530" t="s">
        <v>691</v>
      </c>
      <c r="C96" s="660">
        <v>0.13400000000000001</v>
      </c>
      <c r="D96" s="660">
        <v>0.13</v>
      </c>
      <c r="E96" s="660">
        <v>0.13800000000000001</v>
      </c>
      <c r="F96" s="660">
        <v>0.13800000000000001</v>
      </c>
      <c r="G96" s="660">
        <v>0.13300000000000001</v>
      </c>
      <c r="H96" s="660">
        <v>0.16</v>
      </c>
      <c r="I96" s="660">
        <v>0.14499999999999999</v>
      </c>
      <c r="J96" s="660">
        <v>0.124</v>
      </c>
      <c r="K96" s="660">
        <v>0.14699999999999999</v>
      </c>
      <c r="L96" s="660">
        <v>0.14099999999999999</v>
      </c>
      <c r="M96" s="661">
        <v>0.14699999999999999</v>
      </c>
      <c r="N96" s="646">
        <v>0.17300000000000001</v>
      </c>
      <c r="O96" s="662"/>
      <c r="P96" s="663">
        <v>2218</v>
      </c>
      <c r="Q96" s="663">
        <v>2171</v>
      </c>
      <c r="R96" s="663">
        <v>2347</v>
      </c>
      <c r="S96" s="663">
        <v>2355</v>
      </c>
      <c r="T96" s="663">
        <v>2293</v>
      </c>
      <c r="U96" s="663">
        <v>2736</v>
      </c>
      <c r="V96" s="663">
        <v>2476</v>
      </c>
      <c r="W96" s="663">
        <v>2118</v>
      </c>
      <c r="X96" s="663">
        <v>2546</v>
      </c>
      <c r="Y96" s="663">
        <v>2472</v>
      </c>
      <c r="Z96" s="664">
        <v>2555</v>
      </c>
      <c r="AA96" s="665">
        <v>3020</v>
      </c>
    </row>
    <row r="97" spans="1:27" ht="16.5" customHeight="1">
      <c r="A97" s="529" t="s">
        <v>243</v>
      </c>
      <c r="B97" s="530" t="s">
        <v>692</v>
      </c>
      <c r="C97" s="660">
        <v>0.193</v>
      </c>
      <c r="D97" s="660">
        <v>0.183</v>
      </c>
      <c r="E97" s="660">
        <v>0.20199999999999999</v>
      </c>
      <c r="F97" s="660">
        <v>0.19500000000000001</v>
      </c>
      <c r="G97" s="660">
        <v>0.192</v>
      </c>
      <c r="H97" s="660">
        <v>0.23300000000000001</v>
      </c>
      <c r="I97" s="660">
        <v>0.20100000000000001</v>
      </c>
      <c r="J97" s="660">
        <v>0.21600000000000003</v>
      </c>
      <c r="K97" s="660">
        <v>0.215</v>
      </c>
      <c r="L97" s="660">
        <v>0.193</v>
      </c>
      <c r="M97" s="661">
        <v>0.222</v>
      </c>
      <c r="N97" s="646">
        <v>0.22800000000000001</v>
      </c>
      <c r="O97" s="662"/>
      <c r="P97" s="663">
        <v>7550</v>
      </c>
      <c r="Q97" s="663">
        <v>7157</v>
      </c>
      <c r="R97" s="663">
        <v>7942</v>
      </c>
      <c r="S97" s="663">
        <v>7607</v>
      </c>
      <c r="T97" s="663">
        <v>7545</v>
      </c>
      <c r="U97" s="663">
        <v>9005</v>
      </c>
      <c r="V97" s="663">
        <v>7809</v>
      </c>
      <c r="W97" s="663">
        <v>8333</v>
      </c>
      <c r="X97" s="663">
        <v>8287</v>
      </c>
      <c r="Y97" s="663">
        <v>7453</v>
      </c>
      <c r="Z97" s="664">
        <v>8524</v>
      </c>
      <c r="AA97" s="665">
        <v>8782</v>
      </c>
    </row>
    <row r="98" spans="1:27" ht="16.5" customHeight="1">
      <c r="A98" s="529" t="s">
        <v>245</v>
      </c>
      <c r="B98" s="530" t="s">
        <v>693</v>
      </c>
      <c r="C98" s="660">
        <v>0.11800000000000001</v>
      </c>
      <c r="D98" s="660">
        <v>0.122</v>
      </c>
      <c r="E98" s="660">
        <v>0.13699999999999998</v>
      </c>
      <c r="F98" s="660">
        <v>0.128</v>
      </c>
      <c r="G98" s="660">
        <v>0.11900000000000001</v>
      </c>
      <c r="H98" s="660">
        <v>0.13699999999999998</v>
      </c>
      <c r="I98" s="660">
        <v>0.14599999999999999</v>
      </c>
      <c r="J98" s="660">
        <v>0.122</v>
      </c>
      <c r="K98" s="660">
        <v>0.14000000000000001</v>
      </c>
      <c r="L98" s="660">
        <v>0.14300000000000002</v>
      </c>
      <c r="M98" s="661">
        <v>0.158</v>
      </c>
      <c r="N98" s="646">
        <v>0.14300000000000002</v>
      </c>
      <c r="O98" s="662"/>
      <c r="P98" s="663">
        <v>3228</v>
      </c>
      <c r="Q98" s="663">
        <v>3351</v>
      </c>
      <c r="R98" s="663">
        <v>3806</v>
      </c>
      <c r="S98" s="663">
        <v>3543</v>
      </c>
      <c r="T98" s="663">
        <v>3366</v>
      </c>
      <c r="U98" s="663">
        <v>3825</v>
      </c>
      <c r="V98" s="663">
        <v>4130</v>
      </c>
      <c r="W98" s="663">
        <v>3421</v>
      </c>
      <c r="X98" s="663">
        <v>3967</v>
      </c>
      <c r="Y98" s="663">
        <v>4058</v>
      </c>
      <c r="Z98" s="664">
        <v>4578</v>
      </c>
      <c r="AA98" s="665">
        <v>4148</v>
      </c>
    </row>
    <row r="99" spans="1:27" ht="16.5" customHeight="1">
      <c r="A99" s="529" t="s">
        <v>247</v>
      </c>
      <c r="B99" s="530" t="s">
        <v>1017</v>
      </c>
      <c r="C99" s="660">
        <v>4.2800000000000005E-2</v>
      </c>
      <c r="D99" s="660">
        <v>4.2699999999999995E-2</v>
      </c>
      <c r="E99" s="660">
        <v>4.4400000000000002E-2</v>
      </c>
      <c r="F99" s="660">
        <v>4.9699999999999994E-2</v>
      </c>
      <c r="G99" s="660">
        <v>4.7699999999999992E-2</v>
      </c>
      <c r="H99" s="660">
        <v>4.2599999999999999E-2</v>
      </c>
      <c r="I99" s="660">
        <v>4.4000000000000004E-2</v>
      </c>
      <c r="J99" s="660">
        <v>4.2000000000000003E-2</v>
      </c>
      <c r="K99" s="660">
        <v>4.4000000000000004E-2</v>
      </c>
      <c r="L99" s="660">
        <v>4.7300000000000002E-2</v>
      </c>
      <c r="M99" s="661">
        <v>5.3157922199184374E-2</v>
      </c>
      <c r="N99" s="646">
        <v>5.3691962856227987E-2</v>
      </c>
      <c r="O99" s="662"/>
      <c r="P99" s="663">
        <v>2965</v>
      </c>
      <c r="Q99" s="663">
        <v>3035</v>
      </c>
      <c r="R99" s="663">
        <v>3230</v>
      </c>
      <c r="S99" s="663">
        <v>3589</v>
      </c>
      <c r="T99" s="663">
        <v>3510</v>
      </c>
      <c r="U99" s="663">
        <v>3102</v>
      </c>
      <c r="V99" s="663">
        <v>3228</v>
      </c>
      <c r="W99" s="663">
        <v>3067</v>
      </c>
      <c r="X99" s="663">
        <v>3172</v>
      </c>
      <c r="Y99" s="663">
        <v>3402</v>
      </c>
      <c r="Z99" s="664">
        <v>4058</v>
      </c>
      <c r="AA99" s="665">
        <v>4192</v>
      </c>
    </row>
    <row r="100" spans="1:27" ht="16.5" customHeight="1">
      <c r="A100" s="529" t="s">
        <v>14</v>
      </c>
      <c r="B100" s="530" t="s">
        <v>15</v>
      </c>
      <c r="C100" s="660">
        <v>7.4999999999999997E-2</v>
      </c>
      <c r="D100" s="660">
        <v>7.2000000000000008E-2</v>
      </c>
      <c r="E100" s="660">
        <v>7.8E-2</v>
      </c>
      <c r="F100" s="660">
        <v>8.8000000000000009E-2</v>
      </c>
      <c r="G100" s="660">
        <v>8.3000000000000004E-2</v>
      </c>
      <c r="H100" s="660">
        <v>7.6999999999999999E-2</v>
      </c>
      <c r="I100" s="660">
        <v>7.2000000000000008E-2</v>
      </c>
      <c r="J100" s="660">
        <v>8.3000000000000004E-2</v>
      </c>
      <c r="K100" s="660">
        <v>0.08</v>
      </c>
      <c r="L100" s="660">
        <v>9.0999999999999998E-2</v>
      </c>
      <c r="M100" s="661">
        <v>9.3000000000000013E-2</v>
      </c>
      <c r="N100" s="646">
        <v>8.1000000000000003E-2</v>
      </c>
      <c r="O100" s="662"/>
      <c r="P100" s="663">
        <v>9744</v>
      </c>
      <c r="Q100" s="663">
        <v>9285</v>
      </c>
      <c r="R100" s="663">
        <v>10067</v>
      </c>
      <c r="S100" s="663">
        <v>11271</v>
      </c>
      <c r="T100" s="663">
        <v>11165</v>
      </c>
      <c r="U100" s="663">
        <v>10320</v>
      </c>
      <c r="V100" s="663">
        <v>9685</v>
      </c>
      <c r="W100" s="663">
        <v>11450</v>
      </c>
      <c r="X100" s="663">
        <v>11398</v>
      </c>
      <c r="Y100" s="663">
        <v>13486</v>
      </c>
      <c r="Z100" s="664">
        <v>12898</v>
      </c>
      <c r="AA100" s="665">
        <v>11522</v>
      </c>
    </row>
    <row r="101" spans="1:27" ht="16.5" customHeight="1">
      <c r="A101" s="529" t="s">
        <v>35</v>
      </c>
      <c r="B101" s="530" t="s">
        <v>36</v>
      </c>
      <c r="C101" s="660">
        <v>0.154</v>
      </c>
      <c r="D101" s="660">
        <v>0.156</v>
      </c>
      <c r="E101" s="660">
        <v>0.17100000000000001</v>
      </c>
      <c r="F101" s="660">
        <v>0.16399999999999998</v>
      </c>
      <c r="G101" s="660">
        <v>0.16800000000000001</v>
      </c>
      <c r="H101" s="660">
        <v>0.182</v>
      </c>
      <c r="I101" s="660">
        <v>0.214</v>
      </c>
      <c r="J101" s="660">
        <v>0.183</v>
      </c>
      <c r="K101" s="660">
        <v>0.21299999999999999</v>
      </c>
      <c r="L101" s="660">
        <v>0.20199999999999999</v>
      </c>
      <c r="M101" s="661">
        <v>0.21500000000000002</v>
      </c>
      <c r="N101" s="646">
        <v>0.25800000000000001</v>
      </c>
      <c r="O101" s="662"/>
      <c r="P101" s="663">
        <v>2597</v>
      </c>
      <c r="Q101" s="663">
        <v>2577</v>
      </c>
      <c r="R101" s="663">
        <v>2861</v>
      </c>
      <c r="S101" s="663">
        <v>2763</v>
      </c>
      <c r="T101" s="663">
        <v>2805</v>
      </c>
      <c r="U101" s="663">
        <v>2999</v>
      </c>
      <c r="V101" s="663">
        <v>3584</v>
      </c>
      <c r="W101" s="663">
        <v>3098</v>
      </c>
      <c r="X101" s="663">
        <v>3605</v>
      </c>
      <c r="Y101" s="663">
        <v>3458</v>
      </c>
      <c r="Z101" s="664">
        <v>3744</v>
      </c>
      <c r="AA101" s="665">
        <v>4466</v>
      </c>
    </row>
    <row r="102" spans="1:27" ht="16.5" customHeight="1">
      <c r="A102" s="529" t="s">
        <v>53</v>
      </c>
      <c r="B102" s="530" t="s">
        <v>54</v>
      </c>
      <c r="C102" s="660">
        <v>0.16800000000000001</v>
      </c>
      <c r="D102" s="660">
        <v>0.14599999999999999</v>
      </c>
      <c r="E102" s="660">
        <v>0.16399999999999998</v>
      </c>
      <c r="F102" s="660">
        <v>0.18</v>
      </c>
      <c r="G102" s="660">
        <v>0.17199999999999999</v>
      </c>
      <c r="H102" s="660">
        <v>0.23699999999999999</v>
      </c>
      <c r="I102" s="660">
        <v>0.24</v>
      </c>
      <c r="J102" s="660">
        <v>0.23600000000000002</v>
      </c>
      <c r="K102" s="660">
        <v>0.218</v>
      </c>
      <c r="L102" s="660">
        <v>0.214</v>
      </c>
      <c r="M102" s="661">
        <v>0.20200000000000001</v>
      </c>
      <c r="N102" s="646">
        <v>0.23</v>
      </c>
      <c r="O102" s="662"/>
      <c r="P102" s="663">
        <v>6470</v>
      </c>
      <c r="Q102" s="663">
        <v>5556</v>
      </c>
      <c r="R102" s="663">
        <v>6184</v>
      </c>
      <c r="S102" s="663">
        <v>6295</v>
      </c>
      <c r="T102" s="663">
        <v>6720</v>
      </c>
      <c r="U102" s="663">
        <v>9101</v>
      </c>
      <c r="V102" s="663">
        <v>9240</v>
      </c>
      <c r="W102" s="663">
        <v>9299</v>
      </c>
      <c r="X102" s="663">
        <v>8640</v>
      </c>
      <c r="Y102" s="663">
        <v>8666</v>
      </c>
      <c r="Z102" s="664">
        <v>8387</v>
      </c>
      <c r="AA102" s="665">
        <v>9508</v>
      </c>
    </row>
    <row r="103" spans="1:27" ht="16.5" customHeight="1">
      <c r="A103" s="529" t="s">
        <v>55</v>
      </c>
      <c r="B103" s="530" t="s">
        <v>56</v>
      </c>
      <c r="C103" s="660">
        <v>7.6999999999999999E-2</v>
      </c>
      <c r="D103" s="660">
        <v>7.5999999999999998E-2</v>
      </c>
      <c r="E103" s="660">
        <v>8.3000000000000004E-2</v>
      </c>
      <c r="F103" s="660">
        <v>9.0999999999999998E-2</v>
      </c>
      <c r="G103" s="660">
        <v>8.6999999999999994E-2</v>
      </c>
      <c r="H103" s="660">
        <v>6.8000000000000005E-2</v>
      </c>
      <c r="I103" s="660">
        <v>6.8000000000000005E-2</v>
      </c>
      <c r="J103" s="660">
        <v>0.08</v>
      </c>
      <c r="K103" s="660">
        <v>7.9000000000000001E-2</v>
      </c>
      <c r="L103" s="660">
        <v>7.2999999999999995E-2</v>
      </c>
      <c r="M103" s="661">
        <v>0.08</v>
      </c>
      <c r="N103" s="646">
        <v>9.3000000000000013E-2</v>
      </c>
      <c r="O103" s="662"/>
      <c r="P103" s="663">
        <v>15364</v>
      </c>
      <c r="Q103" s="663">
        <v>15393</v>
      </c>
      <c r="R103" s="663">
        <v>17353</v>
      </c>
      <c r="S103" s="663">
        <v>19330</v>
      </c>
      <c r="T103" s="663">
        <v>18815</v>
      </c>
      <c r="U103" s="663">
        <v>14571</v>
      </c>
      <c r="V103" s="663">
        <v>14811</v>
      </c>
      <c r="W103" s="663">
        <v>17246</v>
      </c>
      <c r="X103" s="663">
        <v>17088</v>
      </c>
      <c r="Y103" s="663">
        <v>15859</v>
      </c>
      <c r="Z103" s="664">
        <v>17468</v>
      </c>
      <c r="AA103" s="665">
        <v>20551</v>
      </c>
    </row>
    <row r="104" spans="1:27" ht="16.5" customHeight="1">
      <c r="A104" s="529" t="s">
        <v>67</v>
      </c>
      <c r="B104" s="530" t="s">
        <v>68</v>
      </c>
      <c r="C104" s="660">
        <v>0.17100000000000001</v>
      </c>
      <c r="D104" s="660">
        <v>0.17300000000000001</v>
      </c>
      <c r="E104" s="660">
        <v>0.192</v>
      </c>
      <c r="F104" s="660">
        <v>0.19399999999999998</v>
      </c>
      <c r="G104" s="660">
        <v>0.19399999999999998</v>
      </c>
      <c r="H104" s="660">
        <v>0.24299999999999999</v>
      </c>
      <c r="I104" s="660">
        <v>0.223</v>
      </c>
      <c r="J104" s="660">
        <v>0.22800000000000001</v>
      </c>
      <c r="K104" s="660">
        <v>0.20800000000000002</v>
      </c>
      <c r="L104" s="660">
        <v>0.251</v>
      </c>
      <c r="M104" s="661">
        <v>0.26600000000000001</v>
      </c>
      <c r="N104" s="646">
        <v>0.26500000000000001</v>
      </c>
      <c r="O104" s="662"/>
      <c r="P104" s="663">
        <v>7972</v>
      </c>
      <c r="Q104" s="663">
        <v>7971</v>
      </c>
      <c r="R104" s="663">
        <v>8821</v>
      </c>
      <c r="S104" s="663">
        <v>8796</v>
      </c>
      <c r="T104" s="663">
        <v>8715</v>
      </c>
      <c r="U104" s="663">
        <v>10779</v>
      </c>
      <c r="V104" s="663">
        <v>9838</v>
      </c>
      <c r="W104" s="663">
        <v>9930</v>
      </c>
      <c r="X104" s="663">
        <v>8991</v>
      </c>
      <c r="Y104" s="663">
        <v>10764</v>
      </c>
      <c r="Z104" s="664">
        <v>11032</v>
      </c>
      <c r="AA104" s="665">
        <v>10984</v>
      </c>
    </row>
    <row r="105" spans="1:27" ht="16.5" customHeight="1">
      <c r="A105" s="529" t="s">
        <v>83</v>
      </c>
      <c r="B105" s="530" t="s">
        <v>84</v>
      </c>
      <c r="C105" s="660">
        <v>0.17499999999999999</v>
      </c>
      <c r="D105" s="660">
        <v>0.156</v>
      </c>
      <c r="E105" s="660">
        <v>0.17100000000000001</v>
      </c>
      <c r="F105" s="660">
        <v>0.17399999999999999</v>
      </c>
      <c r="G105" s="660">
        <v>0.16600000000000001</v>
      </c>
      <c r="H105" s="660">
        <v>0.20100000000000001</v>
      </c>
      <c r="I105" s="660">
        <v>0.185</v>
      </c>
      <c r="J105" s="660">
        <v>0.184</v>
      </c>
      <c r="K105" s="660">
        <v>0.19399999999999998</v>
      </c>
      <c r="L105" s="660">
        <v>0.17699999999999999</v>
      </c>
      <c r="M105" s="661">
        <v>0.216</v>
      </c>
      <c r="N105" s="646">
        <v>0.218</v>
      </c>
      <c r="O105" s="662"/>
      <c r="P105" s="663">
        <v>1401</v>
      </c>
      <c r="Q105" s="663">
        <v>1237</v>
      </c>
      <c r="R105" s="663">
        <v>1374</v>
      </c>
      <c r="S105" s="663">
        <v>1435</v>
      </c>
      <c r="T105" s="663">
        <v>1388</v>
      </c>
      <c r="U105" s="663">
        <v>1668</v>
      </c>
      <c r="V105" s="663">
        <v>1576</v>
      </c>
      <c r="W105" s="663">
        <v>1586</v>
      </c>
      <c r="X105" s="663">
        <v>1663</v>
      </c>
      <c r="Y105" s="663">
        <v>1506</v>
      </c>
      <c r="Z105" s="664">
        <v>1833</v>
      </c>
      <c r="AA105" s="665">
        <v>1843</v>
      </c>
    </row>
    <row r="106" spans="1:27" ht="16.5" customHeight="1">
      <c r="A106" s="529" t="s">
        <v>89</v>
      </c>
      <c r="B106" s="530" t="s">
        <v>90</v>
      </c>
      <c r="C106" s="660">
        <v>0.128</v>
      </c>
      <c r="D106" s="660">
        <v>0.126</v>
      </c>
      <c r="E106" s="660">
        <v>0.13699999999999998</v>
      </c>
      <c r="F106" s="660">
        <v>0.14199999999999999</v>
      </c>
      <c r="G106" s="660">
        <v>0.14400000000000002</v>
      </c>
      <c r="H106" s="660">
        <v>0.17</v>
      </c>
      <c r="I106" s="660">
        <v>0.14899999999999999</v>
      </c>
      <c r="J106" s="660">
        <v>0.13</v>
      </c>
      <c r="K106" s="660">
        <v>0.154</v>
      </c>
      <c r="L106" s="660">
        <v>0.17300000000000001</v>
      </c>
      <c r="M106" s="661">
        <v>0.19800000000000001</v>
      </c>
      <c r="N106" s="646">
        <v>0.159</v>
      </c>
      <c r="O106" s="662"/>
      <c r="P106" s="663">
        <v>2267</v>
      </c>
      <c r="Q106" s="663">
        <v>2247</v>
      </c>
      <c r="R106" s="663">
        <v>2476</v>
      </c>
      <c r="S106" s="663">
        <v>2594</v>
      </c>
      <c r="T106" s="663">
        <v>2630</v>
      </c>
      <c r="U106" s="663">
        <v>3050</v>
      </c>
      <c r="V106" s="663">
        <v>2783</v>
      </c>
      <c r="W106" s="663">
        <v>2585</v>
      </c>
      <c r="X106" s="663">
        <v>3118</v>
      </c>
      <c r="Y106" s="663">
        <v>3581</v>
      </c>
      <c r="Z106" s="664">
        <v>4338</v>
      </c>
      <c r="AA106" s="665">
        <v>3681</v>
      </c>
    </row>
    <row r="107" spans="1:27" ht="16.5" customHeight="1">
      <c r="A107" s="529" t="s">
        <v>91</v>
      </c>
      <c r="B107" s="530" t="s">
        <v>92</v>
      </c>
      <c r="C107" s="660">
        <v>0.184</v>
      </c>
      <c r="D107" s="660">
        <v>0.16899999999999998</v>
      </c>
      <c r="E107" s="660">
        <v>0.17699999999999999</v>
      </c>
      <c r="F107" s="660">
        <v>0.18</v>
      </c>
      <c r="G107" s="660">
        <v>0.17</v>
      </c>
      <c r="H107" s="660">
        <v>0.20699999999999999</v>
      </c>
      <c r="I107" s="660">
        <v>0.23</v>
      </c>
      <c r="J107" s="660">
        <v>0.19</v>
      </c>
      <c r="K107" s="660">
        <v>0.20699999999999999</v>
      </c>
      <c r="L107" s="660">
        <v>0.191</v>
      </c>
      <c r="M107" s="661">
        <v>0.223</v>
      </c>
      <c r="N107" s="646">
        <v>0.22899999999999998</v>
      </c>
      <c r="O107" s="662"/>
      <c r="P107" s="663">
        <v>1202</v>
      </c>
      <c r="Q107" s="663">
        <v>1094</v>
      </c>
      <c r="R107" s="663">
        <v>1163</v>
      </c>
      <c r="S107" s="663">
        <v>1180</v>
      </c>
      <c r="T107" s="663">
        <v>1118</v>
      </c>
      <c r="U107" s="663">
        <v>1349</v>
      </c>
      <c r="V107" s="663">
        <v>1504</v>
      </c>
      <c r="W107" s="663">
        <v>1267</v>
      </c>
      <c r="X107" s="663">
        <v>1378</v>
      </c>
      <c r="Y107" s="663">
        <v>1286</v>
      </c>
      <c r="Z107" s="664">
        <v>1512</v>
      </c>
      <c r="AA107" s="665">
        <v>1530</v>
      </c>
    </row>
    <row r="108" spans="1:27" ht="16.5" customHeight="1">
      <c r="A108" s="529" t="s">
        <v>107</v>
      </c>
      <c r="B108" s="530" t="s">
        <v>108</v>
      </c>
      <c r="C108" s="660">
        <v>0.122</v>
      </c>
      <c r="D108" s="660">
        <v>0.121</v>
      </c>
      <c r="E108" s="660">
        <v>0.13</v>
      </c>
      <c r="F108" s="660">
        <v>0.13100000000000001</v>
      </c>
      <c r="G108" s="660">
        <v>0.125</v>
      </c>
      <c r="H108" s="660">
        <v>0.13400000000000001</v>
      </c>
      <c r="I108" s="660">
        <v>0.121</v>
      </c>
      <c r="J108" s="660">
        <v>0.15</v>
      </c>
      <c r="K108" s="660">
        <v>0.14199999999999999</v>
      </c>
      <c r="L108" s="660">
        <v>0.14800000000000002</v>
      </c>
      <c r="M108" s="661">
        <v>0.13099999999999998</v>
      </c>
      <c r="N108" s="646">
        <v>0.153</v>
      </c>
      <c r="O108" s="662"/>
      <c r="P108" s="663">
        <v>16301</v>
      </c>
      <c r="Q108" s="663">
        <v>16154</v>
      </c>
      <c r="R108" s="663">
        <v>17671</v>
      </c>
      <c r="S108" s="663">
        <v>17544</v>
      </c>
      <c r="T108" s="663">
        <v>16802</v>
      </c>
      <c r="U108" s="663">
        <v>17885</v>
      </c>
      <c r="V108" s="663">
        <v>16140</v>
      </c>
      <c r="W108" s="663">
        <v>20115</v>
      </c>
      <c r="X108" s="663">
        <v>18827</v>
      </c>
      <c r="Y108" s="663">
        <v>19499</v>
      </c>
      <c r="Z108" s="664">
        <v>17439</v>
      </c>
      <c r="AA108" s="665">
        <v>20153</v>
      </c>
    </row>
    <row r="109" spans="1:27" ht="16.5" customHeight="1">
      <c r="A109" s="529" t="s">
        <v>117</v>
      </c>
      <c r="B109" s="530" t="s">
        <v>118</v>
      </c>
      <c r="C109" s="660">
        <v>0.14499999999999999</v>
      </c>
      <c r="D109" s="660">
        <v>0.14099999999999999</v>
      </c>
      <c r="E109" s="660">
        <v>0.16</v>
      </c>
      <c r="F109" s="660">
        <v>0.16399999999999998</v>
      </c>
      <c r="G109" s="660">
        <v>0.155</v>
      </c>
      <c r="H109" s="660">
        <v>0.16600000000000001</v>
      </c>
      <c r="I109" s="660">
        <v>0.16600000000000001</v>
      </c>
      <c r="J109" s="660">
        <v>0.15</v>
      </c>
      <c r="K109" s="660">
        <v>0.17899999999999999</v>
      </c>
      <c r="L109" s="660">
        <v>0.19699999999999998</v>
      </c>
      <c r="M109" s="661">
        <v>0.17299999999999999</v>
      </c>
      <c r="N109" s="646">
        <v>0.183</v>
      </c>
      <c r="O109" s="662"/>
      <c r="P109" s="663">
        <v>3195</v>
      </c>
      <c r="Q109" s="663">
        <v>3132</v>
      </c>
      <c r="R109" s="663">
        <v>3571</v>
      </c>
      <c r="S109" s="663">
        <v>3635</v>
      </c>
      <c r="T109" s="663">
        <v>3497</v>
      </c>
      <c r="U109" s="663">
        <v>3715</v>
      </c>
      <c r="V109" s="663">
        <v>3720</v>
      </c>
      <c r="W109" s="663">
        <v>3402</v>
      </c>
      <c r="X109" s="663">
        <v>4079</v>
      </c>
      <c r="Y109" s="663">
        <v>4486</v>
      </c>
      <c r="Z109" s="664">
        <v>3859</v>
      </c>
      <c r="AA109" s="665">
        <v>4076</v>
      </c>
    </row>
    <row r="110" spans="1:27" ht="16.5" customHeight="1">
      <c r="A110" s="529" t="s">
        <v>139</v>
      </c>
      <c r="B110" s="530" t="s">
        <v>140</v>
      </c>
      <c r="C110" s="660">
        <v>0.15</v>
      </c>
      <c r="D110" s="660">
        <v>0.157</v>
      </c>
      <c r="E110" s="660">
        <v>0.183</v>
      </c>
      <c r="F110" s="660">
        <v>0.17600000000000002</v>
      </c>
      <c r="G110" s="660">
        <v>0.17800000000000002</v>
      </c>
      <c r="H110" s="660">
        <v>0.192</v>
      </c>
      <c r="I110" s="660">
        <v>0.191</v>
      </c>
      <c r="J110" s="660">
        <v>0.19399999999999998</v>
      </c>
      <c r="K110" s="660">
        <v>0.19800000000000001</v>
      </c>
      <c r="L110" s="660">
        <v>0.20699999999999999</v>
      </c>
      <c r="M110" s="661">
        <v>0.22800000000000001</v>
      </c>
      <c r="N110" s="646">
        <v>0.221</v>
      </c>
      <c r="O110" s="662"/>
      <c r="P110" s="663">
        <v>8790</v>
      </c>
      <c r="Q110" s="663">
        <v>9167</v>
      </c>
      <c r="R110" s="663">
        <v>10764</v>
      </c>
      <c r="S110" s="663">
        <v>10265</v>
      </c>
      <c r="T110" s="663">
        <v>10524</v>
      </c>
      <c r="U110" s="663">
        <v>11145</v>
      </c>
      <c r="V110" s="663">
        <v>11322</v>
      </c>
      <c r="W110" s="663">
        <v>11980</v>
      </c>
      <c r="X110" s="663">
        <v>12344</v>
      </c>
      <c r="Y110" s="663">
        <v>13122</v>
      </c>
      <c r="Z110" s="664">
        <v>14921</v>
      </c>
      <c r="AA110" s="665">
        <v>14671</v>
      </c>
    </row>
    <row r="111" spans="1:27" ht="16.5" customHeight="1">
      <c r="A111" s="529" t="s">
        <v>143</v>
      </c>
      <c r="B111" s="530" t="s">
        <v>144</v>
      </c>
      <c r="C111" s="660">
        <v>5.9000000000000004E-2</v>
      </c>
      <c r="D111" s="660">
        <v>5.9000000000000004E-2</v>
      </c>
      <c r="E111" s="660">
        <v>6.4000000000000001E-2</v>
      </c>
      <c r="F111" s="660">
        <v>7.400000000000001E-2</v>
      </c>
      <c r="G111" s="660">
        <v>7.4999999999999997E-2</v>
      </c>
      <c r="H111" s="660">
        <v>6.8000000000000005E-2</v>
      </c>
      <c r="I111" s="660">
        <v>7.400000000000001E-2</v>
      </c>
      <c r="J111" s="660">
        <v>8.900000000000001E-2</v>
      </c>
      <c r="K111" s="660">
        <v>8.6999999999999994E-2</v>
      </c>
      <c r="L111" s="660">
        <v>0.09</v>
      </c>
      <c r="M111" s="661">
        <v>0.11699999999999998</v>
      </c>
      <c r="N111" s="646">
        <v>0.10300000000000001</v>
      </c>
      <c r="O111" s="662"/>
      <c r="P111" s="663">
        <v>2076</v>
      </c>
      <c r="Q111" s="663">
        <v>2135</v>
      </c>
      <c r="R111" s="663">
        <v>2358</v>
      </c>
      <c r="S111" s="663">
        <v>2747</v>
      </c>
      <c r="T111" s="663">
        <v>2756</v>
      </c>
      <c r="U111" s="663">
        <v>2461</v>
      </c>
      <c r="V111" s="663">
        <v>2642</v>
      </c>
      <c r="W111" s="663">
        <v>3070</v>
      </c>
      <c r="X111" s="663">
        <v>2972</v>
      </c>
      <c r="Y111" s="663">
        <v>3234</v>
      </c>
      <c r="Z111" s="664">
        <v>4427</v>
      </c>
      <c r="AA111" s="665">
        <v>4035</v>
      </c>
    </row>
    <row r="112" spans="1:27" ht="16.5" customHeight="1">
      <c r="A112" s="529" t="s">
        <v>145</v>
      </c>
      <c r="B112" s="530" t="s">
        <v>146</v>
      </c>
      <c r="C112" s="660">
        <v>5.9000000000000004E-2</v>
      </c>
      <c r="D112" s="660">
        <v>5.7000000000000002E-2</v>
      </c>
      <c r="E112" s="660">
        <v>6.0999999999999999E-2</v>
      </c>
      <c r="F112" s="660">
        <v>6.5000000000000002E-2</v>
      </c>
      <c r="G112" s="660">
        <v>0.06</v>
      </c>
      <c r="H112" s="660">
        <v>6.0999999999999999E-2</v>
      </c>
      <c r="I112" s="660">
        <v>6.9000000000000006E-2</v>
      </c>
      <c r="J112" s="660">
        <v>6.2E-2</v>
      </c>
      <c r="K112" s="660">
        <v>6.3E-2</v>
      </c>
      <c r="L112" s="660">
        <v>7.5999999999999998E-2</v>
      </c>
      <c r="M112" s="661">
        <v>8.5999999999999993E-2</v>
      </c>
      <c r="N112" s="646">
        <v>0.08</v>
      </c>
      <c r="O112" s="662"/>
      <c r="P112" s="667">
        <v>641</v>
      </c>
      <c r="Q112" s="667">
        <v>619</v>
      </c>
      <c r="R112" s="667">
        <v>671</v>
      </c>
      <c r="S112" s="667">
        <v>750</v>
      </c>
      <c r="T112" s="667">
        <v>699</v>
      </c>
      <c r="U112" s="667">
        <v>705</v>
      </c>
      <c r="V112" s="667">
        <v>794</v>
      </c>
      <c r="W112" s="667">
        <v>703</v>
      </c>
      <c r="X112" s="663">
        <v>713</v>
      </c>
      <c r="Y112" s="663">
        <v>906</v>
      </c>
      <c r="Z112" s="664">
        <v>1238</v>
      </c>
      <c r="AA112" s="665">
        <v>1214</v>
      </c>
    </row>
    <row r="113" spans="1:27" ht="16.5" customHeight="1">
      <c r="A113" s="529" t="s">
        <v>159</v>
      </c>
      <c r="B113" s="530" t="s">
        <v>160</v>
      </c>
      <c r="C113" s="660">
        <v>0.124</v>
      </c>
      <c r="D113" s="660">
        <v>0.11900000000000001</v>
      </c>
      <c r="E113" s="660">
        <v>0.13100000000000001</v>
      </c>
      <c r="F113" s="660">
        <v>0.14000000000000001</v>
      </c>
      <c r="G113" s="660">
        <v>0.13400000000000001</v>
      </c>
      <c r="H113" s="660">
        <v>0.14199999999999999</v>
      </c>
      <c r="I113" s="660">
        <v>0.126</v>
      </c>
      <c r="J113" s="660">
        <v>0.14699999999999999</v>
      </c>
      <c r="K113" s="660">
        <v>0.13200000000000001</v>
      </c>
      <c r="L113" s="660">
        <v>0.13500000000000001</v>
      </c>
      <c r="M113" s="661">
        <v>0.151</v>
      </c>
      <c r="N113" s="646">
        <v>0.155</v>
      </c>
      <c r="O113" s="662"/>
      <c r="P113" s="663">
        <v>21921</v>
      </c>
      <c r="Q113" s="663">
        <v>21150</v>
      </c>
      <c r="R113" s="663">
        <v>23577</v>
      </c>
      <c r="S113" s="663">
        <v>25148</v>
      </c>
      <c r="T113" s="663">
        <v>23864</v>
      </c>
      <c r="U113" s="663">
        <v>24948</v>
      </c>
      <c r="V113" s="663">
        <v>22043</v>
      </c>
      <c r="W113" s="663">
        <v>25758</v>
      </c>
      <c r="X113" s="663">
        <v>22966</v>
      </c>
      <c r="Y113" s="663">
        <v>25430</v>
      </c>
      <c r="Z113" s="664">
        <v>26088</v>
      </c>
      <c r="AA113" s="665">
        <v>26712</v>
      </c>
    </row>
    <row r="114" spans="1:27" ht="16.5" customHeight="1">
      <c r="A114" s="529" t="s">
        <v>161</v>
      </c>
      <c r="B114" s="530" t="s">
        <v>162</v>
      </c>
      <c r="C114" s="660">
        <v>0.18600000000000003</v>
      </c>
      <c r="D114" s="660">
        <v>0.18600000000000003</v>
      </c>
      <c r="E114" s="660">
        <v>0.20300000000000001</v>
      </c>
      <c r="F114" s="660">
        <v>0.19800000000000001</v>
      </c>
      <c r="G114" s="660">
        <v>0.188</v>
      </c>
      <c r="H114" s="660">
        <v>0.18899999999999997</v>
      </c>
      <c r="I114" s="660">
        <v>0.17499999999999999</v>
      </c>
      <c r="J114" s="660">
        <v>0.17899999999999999</v>
      </c>
      <c r="K114" s="660">
        <v>0.19500000000000001</v>
      </c>
      <c r="L114" s="660">
        <v>0.184</v>
      </c>
      <c r="M114" s="661">
        <v>0.19</v>
      </c>
      <c r="N114" s="646">
        <v>0.20300000000000001</v>
      </c>
      <c r="O114" s="662"/>
      <c r="P114" s="663">
        <v>39503</v>
      </c>
      <c r="Q114" s="663">
        <v>39711</v>
      </c>
      <c r="R114" s="663">
        <v>43514</v>
      </c>
      <c r="S114" s="663">
        <v>41488</v>
      </c>
      <c r="T114" s="663">
        <v>38960</v>
      </c>
      <c r="U114" s="663">
        <v>38857</v>
      </c>
      <c r="V114" s="663">
        <v>35487</v>
      </c>
      <c r="W114" s="663">
        <v>37343</v>
      </c>
      <c r="X114" s="663">
        <v>40407</v>
      </c>
      <c r="Y114" s="663">
        <v>37917</v>
      </c>
      <c r="Z114" s="664">
        <v>39903</v>
      </c>
      <c r="AA114" s="665">
        <v>42703</v>
      </c>
    </row>
    <row r="115" spans="1:27" ht="16.5" customHeight="1">
      <c r="A115" s="529" t="s">
        <v>167</v>
      </c>
      <c r="B115" s="530" t="s">
        <v>168</v>
      </c>
      <c r="C115" s="660">
        <v>0.18600000000000003</v>
      </c>
      <c r="D115" s="660">
        <v>0.17600000000000002</v>
      </c>
      <c r="E115" s="660">
        <v>0.16899999999999998</v>
      </c>
      <c r="F115" s="660">
        <v>0.182</v>
      </c>
      <c r="G115" s="660">
        <v>0.18</v>
      </c>
      <c r="H115" s="660">
        <v>0.221</v>
      </c>
      <c r="I115" s="660">
        <v>0.20300000000000001</v>
      </c>
      <c r="J115" s="660">
        <v>0.20600000000000002</v>
      </c>
      <c r="K115" s="660">
        <v>0.20800000000000002</v>
      </c>
      <c r="L115" s="660">
        <v>0.20899999999999999</v>
      </c>
      <c r="M115" s="661">
        <v>0.19500000000000001</v>
      </c>
      <c r="N115" s="646">
        <v>0.20499999999999999</v>
      </c>
      <c r="O115" s="662"/>
      <c r="P115" s="667">
        <v>717</v>
      </c>
      <c r="Q115" s="667">
        <v>686</v>
      </c>
      <c r="R115" s="667">
        <v>659</v>
      </c>
      <c r="S115" s="667">
        <v>678</v>
      </c>
      <c r="T115" s="667">
        <v>658</v>
      </c>
      <c r="U115" s="667">
        <v>801</v>
      </c>
      <c r="V115" s="667">
        <v>730</v>
      </c>
      <c r="W115" s="667">
        <v>757</v>
      </c>
      <c r="X115" s="663">
        <v>759</v>
      </c>
      <c r="Y115" s="663">
        <v>763</v>
      </c>
      <c r="Z115" s="664">
        <v>761</v>
      </c>
      <c r="AA115" s="665">
        <v>819</v>
      </c>
    </row>
    <row r="116" spans="1:27" ht="16.5" customHeight="1">
      <c r="A116" s="529" t="s">
        <v>177</v>
      </c>
      <c r="B116" s="530" t="s">
        <v>178</v>
      </c>
      <c r="C116" s="660">
        <v>0.17800000000000002</v>
      </c>
      <c r="D116" s="660">
        <v>0.17100000000000001</v>
      </c>
      <c r="E116" s="660">
        <v>0.185</v>
      </c>
      <c r="F116" s="660">
        <v>0.18600000000000003</v>
      </c>
      <c r="G116" s="660">
        <v>0.183</v>
      </c>
      <c r="H116" s="660">
        <v>0.218</v>
      </c>
      <c r="I116" s="660">
        <v>0.193</v>
      </c>
      <c r="J116" s="660">
        <v>0.191</v>
      </c>
      <c r="K116" s="660">
        <v>0.20100000000000001</v>
      </c>
      <c r="L116" s="660">
        <v>0.222</v>
      </c>
      <c r="M116" s="661">
        <v>0.252</v>
      </c>
      <c r="N116" s="646">
        <v>0.24299999999999999</v>
      </c>
      <c r="O116" s="662"/>
      <c r="P116" s="663">
        <v>5826</v>
      </c>
      <c r="Q116" s="663">
        <v>5569</v>
      </c>
      <c r="R116" s="663">
        <v>6046</v>
      </c>
      <c r="S116" s="663">
        <v>5978</v>
      </c>
      <c r="T116" s="663">
        <v>5874</v>
      </c>
      <c r="U116" s="663">
        <v>6854</v>
      </c>
      <c r="V116" s="663">
        <v>6098</v>
      </c>
      <c r="W116" s="663">
        <v>6131</v>
      </c>
      <c r="X116" s="663">
        <v>6478</v>
      </c>
      <c r="Y116" s="663">
        <v>7164</v>
      </c>
      <c r="Z116" s="664">
        <v>8015</v>
      </c>
      <c r="AA116" s="665">
        <v>7697</v>
      </c>
    </row>
    <row r="117" spans="1:27" ht="16.5" customHeight="1">
      <c r="A117" s="529" t="s">
        <v>181</v>
      </c>
      <c r="B117" s="530" t="s">
        <v>182</v>
      </c>
      <c r="C117" s="660">
        <v>0.157</v>
      </c>
      <c r="D117" s="660">
        <v>0.153</v>
      </c>
      <c r="E117" s="660">
        <v>0.16399999999999998</v>
      </c>
      <c r="F117" s="660">
        <v>0.16600000000000001</v>
      </c>
      <c r="G117" s="660">
        <v>0.159</v>
      </c>
      <c r="H117" s="660">
        <v>0.17199999999999999</v>
      </c>
      <c r="I117" s="660">
        <v>0.14800000000000002</v>
      </c>
      <c r="J117" s="660">
        <v>0.156</v>
      </c>
      <c r="K117" s="660">
        <v>0.17899999999999999</v>
      </c>
      <c r="L117" s="660">
        <v>0.16699999999999998</v>
      </c>
      <c r="M117" s="661">
        <v>0.183</v>
      </c>
      <c r="N117" s="646">
        <v>0.18</v>
      </c>
      <c r="O117" s="662"/>
      <c r="P117" s="663">
        <v>15026</v>
      </c>
      <c r="Q117" s="663">
        <v>14553</v>
      </c>
      <c r="R117" s="663">
        <v>15656</v>
      </c>
      <c r="S117" s="663">
        <v>15789</v>
      </c>
      <c r="T117" s="663">
        <v>15226</v>
      </c>
      <c r="U117" s="663">
        <v>16256</v>
      </c>
      <c r="V117" s="663">
        <v>14186</v>
      </c>
      <c r="W117" s="663">
        <v>15038</v>
      </c>
      <c r="X117" s="663">
        <v>16990</v>
      </c>
      <c r="Y117" s="663">
        <v>15687</v>
      </c>
      <c r="Z117" s="664">
        <v>16884</v>
      </c>
      <c r="AA117" s="665">
        <v>16640</v>
      </c>
    </row>
    <row r="118" spans="1:27" ht="16.5" customHeight="1">
      <c r="A118" s="529" t="s">
        <v>193</v>
      </c>
      <c r="B118" s="530" t="s">
        <v>194</v>
      </c>
      <c r="C118" s="660">
        <v>0.17199999999999999</v>
      </c>
      <c r="D118" s="660">
        <v>0.17300000000000001</v>
      </c>
      <c r="E118" s="660">
        <v>0.19399999999999998</v>
      </c>
      <c r="F118" s="660">
        <v>0.188</v>
      </c>
      <c r="G118" s="660">
        <v>0.191</v>
      </c>
      <c r="H118" s="660">
        <v>0.28199999999999997</v>
      </c>
      <c r="I118" s="660">
        <v>0.24</v>
      </c>
      <c r="J118" s="660">
        <v>0.309</v>
      </c>
      <c r="K118" s="660">
        <v>0.26700000000000002</v>
      </c>
      <c r="L118" s="660">
        <v>0.27699999999999997</v>
      </c>
      <c r="M118" s="661">
        <v>0.25600000000000001</v>
      </c>
      <c r="N118" s="646">
        <v>0.26800000000000002</v>
      </c>
      <c r="O118" s="662"/>
      <c r="P118" s="663">
        <v>2217</v>
      </c>
      <c r="Q118" s="663">
        <v>2194</v>
      </c>
      <c r="R118" s="663">
        <v>2408</v>
      </c>
      <c r="S118" s="663">
        <v>2282</v>
      </c>
      <c r="T118" s="663">
        <v>2299</v>
      </c>
      <c r="U118" s="663">
        <v>3357</v>
      </c>
      <c r="V118" s="663">
        <v>2857</v>
      </c>
      <c r="W118" s="663">
        <v>4146</v>
      </c>
      <c r="X118" s="663">
        <v>3573</v>
      </c>
      <c r="Y118" s="663">
        <v>3735</v>
      </c>
      <c r="Z118" s="664">
        <v>3525</v>
      </c>
      <c r="AA118" s="665">
        <v>3685</v>
      </c>
    </row>
    <row r="119" spans="1:27" ht="16.5" customHeight="1">
      <c r="A119" s="529" t="s">
        <v>197</v>
      </c>
      <c r="B119" s="530" t="s">
        <v>198</v>
      </c>
      <c r="C119" s="660">
        <v>0.18100000000000002</v>
      </c>
      <c r="D119" s="660">
        <v>0.17600000000000002</v>
      </c>
      <c r="E119" s="660">
        <v>0.20100000000000001</v>
      </c>
      <c r="F119" s="660">
        <v>0.20300000000000001</v>
      </c>
      <c r="G119" s="660">
        <v>0.19800000000000001</v>
      </c>
      <c r="H119" s="660">
        <v>0.19899999999999998</v>
      </c>
      <c r="I119" s="660">
        <v>0.20699999999999999</v>
      </c>
      <c r="J119" s="660">
        <v>0.22399999999999998</v>
      </c>
      <c r="K119" s="660">
        <v>0.251</v>
      </c>
      <c r="L119" s="660">
        <v>0.23300000000000001</v>
      </c>
      <c r="M119" s="661">
        <v>0.253</v>
      </c>
      <c r="N119" s="646">
        <v>0.26400000000000001</v>
      </c>
      <c r="O119" s="662"/>
      <c r="P119" s="663">
        <v>34154</v>
      </c>
      <c r="Q119" s="663">
        <v>32966</v>
      </c>
      <c r="R119" s="663">
        <v>37577</v>
      </c>
      <c r="S119" s="663">
        <v>37320</v>
      </c>
      <c r="T119" s="663">
        <v>36402</v>
      </c>
      <c r="U119" s="663">
        <v>35775</v>
      </c>
      <c r="V119" s="663">
        <v>37513</v>
      </c>
      <c r="W119" s="663">
        <v>42273</v>
      </c>
      <c r="X119" s="663">
        <v>47850</v>
      </c>
      <c r="Y119" s="663">
        <v>44931</v>
      </c>
      <c r="Z119" s="664">
        <v>48830</v>
      </c>
      <c r="AA119" s="665">
        <v>51117</v>
      </c>
    </row>
    <row r="120" spans="1:27" ht="16.5" customHeight="1">
      <c r="A120" s="529" t="s">
        <v>201</v>
      </c>
      <c r="B120" s="530" t="s">
        <v>202</v>
      </c>
      <c r="C120" s="660">
        <v>0.15</v>
      </c>
      <c r="D120" s="660">
        <v>0.151</v>
      </c>
      <c r="E120" s="660">
        <v>0.16600000000000001</v>
      </c>
      <c r="F120" s="660">
        <v>0.16899999999999998</v>
      </c>
      <c r="G120" s="660">
        <v>0.16300000000000001</v>
      </c>
      <c r="H120" s="660">
        <v>0.17199999999999999</v>
      </c>
      <c r="I120" s="660">
        <v>0.16699999999999998</v>
      </c>
      <c r="J120" s="660">
        <v>0.16899999999999998</v>
      </c>
      <c r="K120" s="660">
        <v>0.17800000000000002</v>
      </c>
      <c r="L120" s="660">
        <v>0.2</v>
      </c>
      <c r="M120" s="661">
        <v>0.22399999999999998</v>
      </c>
      <c r="N120" s="646">
        <v>0.19500000000000001</v>
      </c>
      <c r="O120" s="662"/>
      <c r="P120" s="663">
        <v>13870</v>
      </c>
      <c r="Q120" s="663">
        <v>13866</v>
      </c>
      <c r="R120" s="663">
        <v>15210</v>
      </c>
      <c r="S120" s="663">
        <v>15372</v>
      </c>
      <c r="T120" s="663">
        <v>14874</v>
      </c>
      <c r="U120" s="663">
        <v>15465</v>
      </c>
      <c r="V120" s="663">
        <v>14908</v>
      </c>
      <c r="W120" s="663">
        <v>15233</v>
      </c>
      <c r="X120" s="663">
        <v>16170</v>
      </c>
      <c r="Y120" s="663">
        <v>18382</v>
      </c>
      <c r="Z120" s="664">
        <v>21414</v>
      </c>
      <c r="AA120" s="665">
        <v>18565</v>
      </c>
    </row>
    <row r="121" spans="1:27" ht="16.5" customHeight="1">
      <c r="A121" s="529" t="s">
        <v>223</v>
      </c>
      <c r="B121" s="530" t="s">
        <v>224</v>
      </c>
      <c r="C121" s="660">
        <v>0.11599999999999999</v>
      </c>
      <c r="D121" s="660">
        <v>0.105</v>
      </c>
      <c r="E121" s="660">
        <v>0.109</v>
      </c>
      <c r="F121" s="660">
        <v>0.114</v>
      </c>
      <c r="G121" s="660">
        <v>0.10800000000000001</v>
      </c>
      <c r="H121" s="660">
        <v>0.11900000000000001</v>
      </c>
      <c r="I121" s="660">
        <v>0.107</v>
      </c>
      <c r="J121" s="660">
        <v>0.109</v>
      </c>
      <c r="K121" s="660">
        <v>0.10800000000000001</v>
      </c>
      <c r="L121" s="660">
        <v>0.12300000000000001</v>
      </c>
      <c r="M121" s="661">
        <v>0.11900000000000001</v>
      </c>
      <c r="N121" s="646">
        <v>0.122</v>
      </c>
      <c r="O121" s="662"/>
      <c r="P121" s="663">
        <v>7629</v>
      </c>
      <c r="Q121" s="663">
        <v>7214</v>
      </c>
      <c r="R121" s="663">
        <v>7948</v>
      </c>
      <c r="S121" s="663">
        <v>8623</v>
      </c>
      <c r="T121" s="663">
        <v>8441</v>
      </c>
      <c r="U121" s="663">
        <v>9199</v>
      </c>
      <c r="V121" s="663">
        <v>8556</v>
      </c>
      <c r="W121" s="663">
        <v>8698</v>
      </c>
      <c r="X121" s="663">
        <v>8727</v>
      </c>
      <c r="Y121" s="663">
        <v>10091</v>
      </c>
      <c r="Z121" s="664">
        <v>9956</v>
      </c>
      <c r="AA121" s="665">
        <v>10214</v>
      </c>
    </row>
    <row r="122" spans="1:27" ht="16.5" customHeight="1">
      <c r="A122" s="529" t="s">
        <v>231</v>
      </c>
      <c r="B122" s="530" t="s">
        <v>232</v>
      </c>
      <c r="C122" s="660">
        <v>6.8000000000000005E-2</v>
      </c>
      <c r="D122" s="660">
        <v>6.8000000000000005E-2</v>
      </c>
      <c r="E122" s="660">
        <v>7.400000000000001E-2</v>
      </c>
      <c r="F122" s="660">
        <v>0.08</v>
      </c>
      <c r="G122" s="660">
        <v>7.8E-2</v>
      </c>
      <c r="H122" s="660">
        <v>7.400000000000001E-2</v>
      </c>
      <c r="I122" s="660">
        <v>7.2000000000000008E-2</v>
      </c>
      <c r="J122" s="660">
        <v>6.6000000000000003E-2</v>
      </c>
      <c r="K122" s="660">
        <v>7.0000000000000007E-2</v>
      </c>
      <c r="L122" s="660">
        <v>6.8000000000000005E-2</v>
      </c>
      <c r="M122" s="661">
        <v>0.08</v>
      </c>
      <c r="N122" s="646">
        <v>8.900000000000001E-2</v>
      </c>
      <c r="O122" s="662"/>
      <c r="P122" s="663">
        <v>28643</v>
      </c>
      <c r="Q122" s="663">
        <v>28856</v>
      </c>
      <c r="R122" s="663">
        <v>32396</v>
      </c>
      <c r="S122" s="663">
        <v>34892</v>
      </c>
      <c r="T122" s="663">
        <v>33970</v>
      </c>
      <c r="U122" s="663">
        <v>31958</v>
      </c>
      <c r="V122" s="663">
        <v>30762</v>
      </c>
      <c r="W122" s="663">
        <v>28246</v>
      </c>
      <c r="X122" s="663">
        <v>29532</v>
      </c>
      <c r="Y122" s="663">
        <v>28889</v>
      </c>
      <c r="Z122" s="664">
        <v>34303</v>
      </c>
      <c r="AA122" s="665">
        <v>38498</v>
      </c>
    </row>
    <row r="123" spans="1:27" ht="16.5" customHeight="1">
      <c r="A123" s="529" t="s">
        <v>239</v>
      </c>
      <c r="B123" s="530" t="s">
        <v>240</v>
      </c>
      <c r="C123" s="660">
        <v>0.17699999999999999</v>
      </c>
      <c r="D123" s="660">
        <v>0.19500000000000001</v>
      </c>
      <c r="E123" s="660">
        <v>0.21299999999999999</v>
      </c>
      <c r="F123" s="660">
        <v>0.17800000000000002</v>
      </c>
      <c r="G123" s="660">
        <v>0.17300000000000001</v>
      </c>
      <c r="H123" s="660">
        <v>0.22699999999999998</v>
      </c>
      <c r="I123" s="660">
        <v>0.20699999999999999</v>
      </c>
      <c r="J123" s="660">
        <v>0.2</v>
      </c>
      <c r="K123" s="660">
        <v>0.187</v>
      </c>
      <c r="L123" s="660">
        <v>0.20300000000000001</v>
      </c>
      <c r="M123" s="661">
        <v>0.185</v>
      </c>
      <c r="N123" s="646">
        <v>0.191</v>
      </c>
      <c r="O123" s="662"/>
      <c r="P123" s="663">
        <v>1312</v>
      </c>
      <c r="Q123" s="663">
        <v>1402</v>
      </c>
      <c r="R123" s="663">
        <v>1518</v>
      </c>
      <c r="S123" s="663">
        <v>1244</v>
      </c>
      <c r="T123" s="663">
        <v>1266</v>
      </c>
      <c r="U123" s="663">
        <v>1643</v>
      </c>
      <c r="V123" s="663">
        <v>1509</v>
      </c>
      <c r="W123" s="663">
        <v>1570</v>
      </c>
      <c r="X123" s="663">
        <v>1474</v>
      </c>
      <c r="Y123" s="663">
        <v>1645</v>
      </c>
      <c r="Z123" s="664">
        <v>1850</v>
      </c>
      <c r="AA123" s="665">
        <v>1962</v>
      </c>
    </row>
    <row r="124" spans="1:27" ht="16.5" customHeight="1">
      <c r="A124" s="679" t="s">
        <v>241</v>
      </c>
      <c r="B124" s="680" t="s">
        <v>242</v>
      </c>
      <c r="C124" s="668">
        <v>0.11</v>
      </c>
      <c r="D124" s="668">
        <v>0.109</v>
      </c>
      <c r="E124" s="668">
        <v>0.115</v>
      </c>
      <c r="F124" s="668">
        <v>0.121</v>
      </c>
      <c r="G124" s="668">
        <v>0.115</v>
      </c>
      <c r="H124" s="668">
        <v>0.124</v>
      </c>
      <c r="I124" s="668">
        <v>0.13900000000000001</v>
      </c>
      <c r="J124" s="668">
        <v>0.12</v>
      </c>
      <c r="K124" s="668">
        <v>0.128</v>
      </c>
      <c r="L124" s="668">
        <v>0.16300000000000001</v>
      </c>
      <c r="M124" s="661">
        <v>0.193</v>
      </c>
      <c r="N124" s="646">
        <v>0.17800000000000002</v>
      </c>
      <c r="O124" s="681"/>
      <c r="P124" s="669">
        <v>2584</v>
      </c>
      <c r="Q124" s="669">
        <v>2568</v>
      </c>
      <c r="R124" s="669">
        <v>2739</v>
      </c>
      <c r="S124" s="669">
        <v>2912</v>
      </c>
      <c r="T124" s="669">
        <v>2811</v>
      </c>
      <c r="U124" s="669">
        <v>3008</v>
      </c>
      <c r="V124" s="669">
        <v>3394</v>
      </c>
      <c r="W124" s="669">
        <v>2971</v>
      </c>
      <c r="X124" s="669">
        <v>3198</v>
      </c>
      <c r="Y124" s="669">
        <v>4126</v>
      </c>
      <c r="Z124" s="670">
        <v>4873</v>
      </c>
      <c r="AA124" s="671">
        <v>4545</v>
      </c>
    </row>
    <row r="125" spans="1:27" ht="16.5" customHeight="1">
      <c r="A125" s="683" t="s">
        <v>970</v>
      </c>
      <c r="B125" s="684"/>
      <c r="C125" s="685"/>
      <c r="D125" s="685"/>
      <c r="E125" s="685"/>
      <c r="F125" s="685"/>
      <c r="G125" s="685"/>
      <c r="H125" s="685"/>
      <c r="I125" s="685"/>
      <c r="J125" s="685"/>
      <c r="K125" s="685"/>
      <c r="L125" s="685"/>
      <c r="M125" s="685"/>
      <c r="N125" s="685"/>
      <c r="O125" s="685"/>
      <c r="P125" s="686"/>
      <c r="Q125" s="686"/>
      <c r="R125" s="686"/>
      <c r="S125" s="686"/>
      <c r="T125" s="686"/>
      <c r="U125" s="686"/>
      <c r="V125" s="686"/>
      <c r="W125" s="686"/>
      <c r="X125" s="686"/>
      <c r="Y125" s="686"/>
      <c r="Z125" s="687"/>
      <c r="AA125" s="687"/>
    </row>
    <row r="126" spans="1:27">
      <c r="A126" s="511" t="s">
        <v>273</v>
      </c>
      <c r="C126" s="682">
        <v>9.3237188436489218E-2</v>
      </c>
      <c r="D126" s="676">
        <v>9.1662354335324478E-2</v>
      </c>
      <c r="E126" s="676">
        <v>0.10219205581508556</v>
      </c>
      <c r="F126" s="676">
        <v>0.10581525657938262</v>
      </c>
      <c r="G126" s="676">
        <v>0.10259856552094609</v>
      </c>
      <c r="H126" s="676">
        <v>0.10695106549307283</v>
      </c>
      <c r="I126" s="676">
        <v>0.10257514754789548</v>
      </c>
      <c r="J126" s="676">
        <v>0.10835783455696647</v>
      </c>
      <c r="K126" s="676">
        <v>0.11361696871248311</v>
      </c>
      <c r="L126" s="676">
        <v>0.11740460777833268</v>
      </c>
      <c r="M126" s="677">
        <v>0.1231238887172626</v>
      </c>
      <c r="N126" s="678">
        <v>0.13054553620300066</v>
      </c>
      <c r="P126" s="672">
        <f t="shared" ref="P126:Z126" si="0">P8+P19+P21+P23+P25+P29+P32+P36+P41+P46+P47+P52+P54+P55+P59+P63+P66+P68+P69+P74+P75+P80+P96+P109+P116+P119</f>
        <v>105872</v>
      </c>
      <c r="Q126" s="673">
        <f t="shared" si="0"/>
        <v>105143</v>
      </c>
      <c r="R126" s="673">
        <f t="shared" si="0"/>
        <v>119540</v>
      </c>
      <c r="S126" s="673">
        <f t="shared" si="0"/>
        <v>124895</v>
      </c>
      <c r="T126" s="673">
        <f t="shared" si="0"/>
        <v>123345</v>
      </c>
      <c r="U126" s="673">
        <f t="shared" si="0"/>
        <v>126877</v>
      </c>
      <c r="V126" s="673">
        <f t="shared" si="0"/>
        <v>123589</v>
      </c>
      <c r="W126" s="673">
        <f t="shared" si="0"/>
        <v>132787</v>
      </c>
      <c r="X126" s="673">
        <f t="shared" si="0"/>
        <v>140727</v>
      </c>
      <c r="Y126" s="673">
        <f t="shared" si="0"/>
        <v>146844</v>
      </c>
      <c r="Z126" s="674">
        <f t="shared" si="0"/>
        <v>157422</v>
      </c>
      <c r="AA126" s="674">
        <f>AA8+AA19+AA21+AA23+AA25+AA29+AA32+AA36+AA41+AA46+AA47+AA52+AA54+AA55+AA59+AA63+AA66+AA68+AA69+AA74+AA75+AA80+AA96+AA109+AA116+AA119</f>
        <v>167427</v>
      </c>
    </row>
    <row r="127" spans="1:27">
      <c r="A127" s="511" t="s">
        <v>271</v>
      </c>
      <c r="C127" s="675">
        <v>0.10860533120908807</v>
      </c>
      <c r="D127" s="676">
        <v>0.10641206375217382</v>
      </c>
      <c r="E127" s="676">
        <v>0.11466279980893911</v>
      </c>
      <c r="F127" s="676">
        <v>0.11758377928142934</v>
      </c>
      <c r="G127" s="676">
        <v>0.11259360124640222</v>
      </c>
      <c r="H127" s="676">
        <v>0.11367927485747498</v>
      </c>
      <c r="I127" s="676">
        <v>0.10639459370059251</v>
      </c>
      <c r="J127" s="676">
        <v>0.11202655946373949</v>
      </c>
      <c r="K127" s="676">
        <v>0.11571808952754851</v>
      </c>
      <c r="L127" s="676">
        <v>0.11429957969100746</v>
      </c>
      <c r="M127" s="677">
        <v>0.12023872863352066</v>
      </c>
      <c r="N127" s="678">
        <v>0.12870004950966066</v>
      </c>
      <c r="P127" s="672">
        <f t="shared" ref="P127:Z127" si="1">P5+P17+P31+P40+P44+P50+P51+P61+P67+P76+P88+P91+P92+P99+P103+P105+P108+P113+P114+P117+P121+P122+P123</f>
        <v>182298</v>
      </c>
      <c r="Q127" s="673">
        <f t="shared" si="1"/>
        <v>180189</v>
      </c>
      <c r="R127" s="673">
        <f t="shared" si="1"/>
        <v>198599</v>
      </c>
      <c r="S127" s="673">
        <f t="shared" si="1"/>
        <v>203585</v>
      </c>
      <c r="T127" s="673">
        <f t="shared" si="1"/>
        <v>196053</v>
      </c>
      <c r="U127" s="673">
        <f t="shared" si="1"/>
        <v>195954</v>
      </c>
      <c r="V127" s="673">
        <f t="shared" si="1"/>
        <v>183982</v>
      </c>
      <c r="W127" s="673">
        <f t="shared" si="1"/>
        <v>194397</v>
      </c>
      <c r="X127" s="673">
        <f t="shared" si="1"/>
        <v>199783</v>
      </c>
      <c r="Y127" s="673">
        <f t="shared" si="1"/>
        <v>199568</v>
      </c>
      <c r="Z127" s="674">
        <f t="shared" si="1"/>
        <v>209955</v>
      </c>
      <c r="AA127" s="674">
        <f>AA5+AA17+AA31+AA40+AA44+AA50+AA51+AA61+AA67+AA76+AA88+AA91+AA92+AA99+AA103+AA105+AA108+AA113+AA114+AA117+AA121+AA122+AA123</f>
        <v>225896</v>
      </c>
    </row>
    <row r="128" spans="1:27">
      <c r="A128" s="511" t="s">
        <v>274</v>
      </c>
      <c r="C128" s="675">
        <v>5.3819970982672265E-2</v>
      </c>
      <c r="D128" s="676">
        <v>5.4187387148898883E-2</v>
      </c>
      <c r="E128" s="676">
        <v>5.9488325891117154E-2</v>
      </c>
      <c r="F128" s="676">
        <v>6.5356715447867419E-2</v>
      </c>
      <c r="G128" s="676">
        <v>6.1376226711921139E-2</v>
      </c>
      <c r="H128" s="676">
        <v>6.0904658056330392E-2</v>
      </c>
      <c r="I128" s="676">
        <v>6.0991227226495109E-2</v>
      </c>
      <c r="J128" s="676">
        <v>5.9939990840376267E-2</v>
      </c>
      <c r="K128" s="676">
        <v>6.2179277100436824E-2</v>
      </c>
      <c r="L128" s="676">
        <v>6.816119052357604E-2</v>
      </c>
      <c r="M128" s="677">
        <v>7.2466232957629648E-2</v>
      </c>
      <c r="N128" s="678">
        <v>7.6399225436204074E-2</v>
      </c>
      <c r="P128" s="672">
        <f t="shared" ref="P128:Z128" si="2">P11+P26+P28+P33+P34+P38+P43+P53+P57+P58+P60+P70+P71+P77+P79+P83+P86+P89+P90+P94+P100+P106+P111+P112+P124</f>
        <v>138724</v>
      </c>
      <c r="Q128" s="673">
        <f t="shared" si="2"/>
        <v>141301</v>
      </c>
      <c r="R128" s="673">
        <f t="shared" si="2"/>
        <v>159450</v>
      </c>
      <c r="S128" s="673">
        <f t="shared" si="2"/>
        <v>179066</v>
      </c>
      <c r="T128" s="673">
        <f t="shared" si="2"/>
        <v>172575</v>
      </c>
      <c r="U128" s="673">
        <f t="shared" si="2"/>
        <v>169315</v>
      </c>
      <c r="V128" s="673">
        <f t="shared" si="2"/>
        <v>173120</v>
      </c>
      <c r="W128" s="673">
        <f t="shared" si="2"/>
        <v>171582</v>
      </c>
      <c r="X128" s="673">
        <f t="shared" si="2"/>
        <v>179865</v>
      </c>
      <c r="Y128" s="673">
        <f t="shared" si="2"/>
        <v>202606</v>
      </c>
      <c r="Z128" s="674">
        <f t="shared" si="2"/>
        <v>222814</v>
      </c>
      <c r="AA128" s="674">
        <f>AA11+AA26+AA28+AA33+AA34+AA38+AA43+AA53+AA57+AA58+AA60+AA70+AA71+AA77+AA79+AA83+AA86+AA89+AA90+AA94+AA100+AA106+AA111+AA112+AA124</f>
        <v>238776</v>
      </c>
    </row>
    <row r="129" spans="1:27">
      <c r="A129" s="511" t="s">
        <v>272</v>
      </c>
      <c r="C129" s="675">
        <v>0.1060107079665315</v>
      </c>
      <c r="D129" s="676">
        <v>0.1065999802563027</v>
      </c>
      <c r="E129" s="676">
        <v>0.11841703973751314</v>
      </c>
      <c r="F129" s="676">
        <v>0.12117460527154147</v>
      </c>
      <c r="G129" s="676">
        <v>0.11757933953315472</v>
      </c>
      <c r="H129" s="676">
        <v>0.12749971521740955</v>
      </c>
      <c r="I129" s="676">
        <v>0.12641918305043012</v>
      </c>
      <c r="J129" s="676">
        <v>0.13010546173078325</v>
      </c>
      <c r="K129" s="676">
        <v>0.13219259468761307</v>
      </c>
      <c r="L129" s="676">
        <v>0.142187426757521</v>
      </c>
      <c r="M129" s="677">
        <v>0.15006267141167387</v>
      </c>
      <c r="N129" s="678">
        <v>0.15103930395133242</v>
      </c>
      <c r="P129" s="672">
        <f t="shared" ref="P129:Z129" si="3">P6+P7+P9+P10+P12+P13+P14+P16+P20+P24+P27+P37+P45+P48+P49+P62+P65+P73+P81+P82+P102+P104+P110+P120</f>
        <v>112685</v>
      </c>
      <c r="Q129" s="673">
        <f t="shared" si="3"/>
        <v>113372</v>
      </c>
      <c r="R129" s="673">
        <f t="shared" si="3"/>
        <v>126853</v>
      </c>
      <c r="S129" s="673">
        <f t="shared" si="3"/>
        <v>129807</v>
      </c>
      <c r="T129" s="673">
        <f t="shared" si="3"/>
        <v>127543</v>
      </c>
      <c r="U129" s="673">
        <f t="shared" si="3"/>
        <v>136375</v>
      </c>
      <c r="V129" s="673">
        <f t="shared" si="3"/>
        <v>136569</v>
      </c>
      <c r="W129" s="673">
        <f t="shared" si="3"/>
        <v>140972</v>
      </c>
      <c r="X129" s="673">
        <f t="shared" si="3"/>
        <v>143958</v>
      </c>
      <c r="Y129" s="673">
        <f t="shared" si="3"/>
        <v>155087</v>
      </c>
      <c r="Z129" s="674">
        <f t="shared" si="3"/>
        <v>167379</v>
      </c>
      <c r="AA129" s="674">
        <f>AA6+AA7+AA9+AA10+AA12+AA13+AA14+AA16+AA20+AA24+AA27+AA37+AA45+AA48+AA49+AA62+AA65+AA73+AA81+AA82+AA102+AA104+AA110+AA120</f>
        <v>168805</v>
      </c>
    </row>
    <row r="130" spans="1:27">
      <c r="A130" s="511" t="s">
        <v>275</v>
      </c>
      <c r="C130" s="675">
        <v>0.14487555201488991</v>
      </c>
      <c r="D130" s="676">
        <v>0.14306900004758574</v>
      </c>
      <c r="E130" s="676">
        <v>0.15556163257278338</v>
      </c>
      <c r="F130" s="676">
        <v>0.15499536649748308</v>
      </c>
      <c r="G130" s="676">
        <v>0.15195219671506743</v>
      </c>
      <c r="H130" s="676">
        <v>0.18084455028541141</v>
      </c>
      <c r="I130" s="676">
        <v>0.17204522870846353</v>
      </c>
      <c r="J130" s="676">
        <v>0.17744474990181727</v>
      </c>
      <c r="K130" s="676">
        <v>0.18285150683367846</v>
      </c>
      <c r="L130" s="676">
        <v>0.18067404001948281</v>
      </c>
      <c r="M130" s="677">
        <v>0.18929818575976814</v>
      </c>
      <c r="N130" s="678">
        <v>0.19649936328107848</v>
      </c>
      <c r="P130" s="672">
        <f t="shared" ref="P130:Z130" si="4">P15+P18+P22+P30+P35+P39+P42+P56+P64+P72+P78+P84+P85+P87+P93+P95+P97+P98+P101+P107+P115+P118</f>
        <v>81357</v>
      </c>
      <c r="Q130" s="673">
        <f t="shared" si="4"/>
        <v>80233</v>
      </c>
      <c r="R130" s="673">
        <f t="shared" si="4"/>
        <v>87691</v>
      </c>
      <c r="S130" s="673">
        <f t="shared" si="4"/>
        <v>86973</v>
      </c>
      <c r="T130" s="673">
        <f t="shared" si="4"/>
        <v>85522</v>
      </c>
      <c r="U130" s="673">
        <f t="shared" si="4"/>
        <v>100339</v>
      </c>
      <c r="V130" s="673">
        <f t="shared" si="4"/>
        <v>95919</v>
      </c>
      <c r="W130" s="673">
        <f t="shared" si="4"/>
        <v>99401</v>
      </c>
      <c r="X130" s="673">
        <f t="shared" si="4"/>
        <v>102521</v>
      </c>
      <c r="Y130" s="673">
        <f t="shared" si="4"/>
        <v>101448</v>
      </c>
      <c r="Z130" s="674">
        <f t="shared" si="4"/>
        <v>108176</v>
      </c>
      <c r="AA130" s="674">
        <f>AA15+AA18+AA22+AA30+AA35+AA39+AA42+AA56+AA64+AA72+AA78+AA84+AA85+AA87+AA93+AA95+AA97+AA98+AA101+AA107+AA115+AA118</f>
        <v>111872</v>
      </c>
    </row>
    <row r="132" spans="1:27">
      <c r="A132" s="511" t="s">
        <v>1124</v>
      </c>
    </row>
    <row r="134" spans="1:27" s="542" customFormat="1">
      <c r="A134" s="542" t="s">
        <v>249</v>
      </c>
    </row>
    <row r="135" spans="1:27" s="542" customFormat="1">
      <c r="A135" s="543" t="s">
        <v>250</v>
      </c>
      <c r="B135" s="544" t="s">
        <v>251</v>
      </c>
    </row>
  </sheetData>
  <autoFilter ref="A3:B3"/>
  <mergeCells count="2">
    <mergeCell ref="C2:M2"/>
    <mergeCell ref="P2:Z2"/>
  </mergeCells>
  <hyperlinks>
    <hyperlink ref="B135" r:id="rId1"/>
  </hyperlinks>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AN137"/>
  <sheetViews>
    <sheetView workbookViewId="0">
      <pane ySplit="5" topLeftCell="A110" activePane="bottomLeft" state="frozen"/>
      <selection pane="bottomLeft" activeCell="A127" sqref="A127:A132"/>
    </sheetView>
  </sheetViews>
  <sheetFormatPr defaultRowHeight="15.75"/>
  <cols>
    <col min="1" max="1" width="11.125" style="511" customWidth="1"/>
    <col min="2" max="2" width="33.125" style="511" customWidth="1"/>
    <col min="3" max="14" width="9.875" style="280" customWidth="1"/>
    <col min="15" max="15" width="2.75" style="280" customWidth="1"/>
    <col min="16" max="27" width="9" style="280"/>
    <col min="28" max="28" width="2.25" style="280" customWidth="1"/>
    <col min="29" max="39" width="10.625" style="280" customWidth="1"/>
    <col min="40" max="16384" width="9" style="280"/>
  </cols>
  <sheetData>
    <row r="1" spans="1:40">
      <c r="A1" s="199" t="s">
        <v>1044</v>
      </c>
    </row>
    <row r="2" spans="1:40">
      <c r="A2" s="199"/>
    </row>
    <row r="3" spans="1:40">
      <c r="C3" s="1643" t="s">
        <v>1018</v>
      </c>
      <c r="D3" s="1643"/>
      <c r="E3" s="1643"/>
      <c r="F3" s="1643"/>
      <c r="G3" s="1643"/>
      <c r="H3" s="1643"/>
      <c r="I3" s="1643"/>
      <c r="J3" s="1643"/>
      <c r="K3" s="1643"/>
      <c r="L3" s="1643"/>
      <c r="M3" s="1643"/>
      <c r="N3" s="505"/>
      <c r="P3" s="1644" t="s">
        <v>1019</v>
      </c>
      <c r="Q3" s="1644"/>
      <c r="R3" s="1644"/>
      <c r="S3" s="1644"/>
      <c r="T3" s="1644"/>
      <c r="U3" s="1644"/>
      <c r="V3" s="1644"/>
      <c r="W3" s="1644"/>
      <c r="X3" s="1644"/>
      <c r="Y3" s="1644"/>
      <c r="Z3" s="1644"/>
      <c r="AA3" s="336"/>
      <c r="AB3" s="327"/>
      <c r="AC3" s="1644" t="s">
        <v>1020</v>
      </c>
      <c r="AD3" s="1644"/>
      <c r="AE3" s="1644"/>
      <c r="AF3" s="1644"/>
      <c r="AG3" s="1644"/>
      <c r="AH3" s="1644"/>
      <c r="AI3" s="1644"/>
      <c r="AJ3" s="1644"/>
      <c r="AK3" s="1644"/>
      <c r="AL3" s="1644"/>
      <c r="AM3" s="1644"/>
    </row>
    <row r="4" spans="1:40">
      <c r="A4" s="721" t="s">
        <v>4</v>
      </c>
      <c r="B4" s="722" t="s">
        <v>5</v>
      </c>
      <c r="C4" s="512">
        <v>2000</v>
      </c>
      <c r="D4" s="513">
        <v>2001</v>
      </c>
      <c r="E4" s="513">
        <v>2002</v>
      </c>
      <c r="F4" s="513">
        <v>2003</v>
      </c>
      <c r="G4" s="513">
        <v>2004</v>
      </c>
      <c r="H4" s="513">
        <v>2005</v>
      </c>
      <c r="I4" s="513">
        <v>2006</v>
      </c>
      <c r="J4" s="513">
        <v>2007</v>
      </c>
      <c r="K4" s="513">
        <v>2008</v>
      </c>
      <c r="L4" s="513">
        <v>2009</v>
      </c>
      <c r="M4" s="514">
        <v>2010</v>
      </c>
      <c r="N4" s="515">
        <v>2011</v>
      </c>
      <c r="P4" s="512">
        <v>2000</v>
      </c>
      <c r="Q4" s="513">
        <v>2001</v>
      </c>
      <c r="R4" s="513">
        <v>2002</v>
      </c>
      <c r="S4" s="513">
        <v>2003</v>
      </c>
      <c r="T4" s="513">
        <v>2004</v>
      </c>
      <c r="U4" s="513">
        <v>2005</v>
      </c>
      <c r="V4" s="513">
        <v>2006</v>
      </c>
      <c r="W4" s="513">
        <v>2007</v>
      </c>
      <c r="X4" s="513">
        <v>2008</v>
      </c>
      <c r="Y4" s="513">
        <v>2009</v>
      </c>
      <c r="Z4" s="514">
        <v>2010</v>
      </c>
      <c r="AA4" s="515">
        <v>2011</v>
      </c>
      <c r="AB4" s="64"/>
      <c r="AC4" s="512">
        <v>2000</v>
      </c>
      <c r="AD4" s="513">
        <v>2001</v>
      </c>
      <c r="AE4" s="513">
        <v>2002</v>
      </c>
      <c r="AF4" s="513">
        <v>2003</v>
      </c>
      <c r="AG4" s="513">
        <v>2004</v>
      </c>
      <c r="AH4" s="513">
        <v>2005</v>
      </c>
      <c r="AI4" s="513">
        <v>2006</v>
      </c>
      <c r="AJ4" s="513">
        <v>2007</v>
      </c>
      <c r="AK4" s="513">
        <v>2008</v>
      </c>
      <c r="AL4" s="513">
        <v>2009</v>
      </c>
      <c r="AM4" s="514">
        <v>2010</v>
      </c>
      <c r="AN4" s="515">
        <v>2011</v>
      </c>
    </row>
    <row r="5" spans="1:40">
      <c r="A5" s="516" t="s">
        <v>8</v>
      </c>
      <c r="B5" s="517" t="s">
        <v>9</v>
      </c>
      <c r="C5" s="518">
        <v>211862</v>
      </c>
      <c r="D5" s="519">
        <v>195437</v>
      </c>
      <c r="E5" s="519">
        <v>224014</v>
      </c>
      <c r="F5" s="519">
        <v>243635</v>
      </c>
      <c r="G5" s="519">
        <v>221675</v>
      </c>
      <c r="H5" s="519">
        <v>237858</v>
      </c>
      <c r="I5" s="519">
        <v>219261</v>
      </c>
      <c r="J5" s="519">
        <v>232569</v>
      </c>
      <c r="K5" s="519">
        <v>244210</v>
      </c>
      <c r="L5" s="519">
        <v>255156</v>
      </c>
      <c r="M5" s="520">
        <v>266606</v>
      </c>
      <c r="N5" s="521">
        <v>284561</v>
      </c>
      <c r="P5" s="522">
        <v>0.12155565230837527</v>
      </c>
      <c r="Q5" s="523">
        <v>0.112</v>
      </c>
      <c r="R5" s="523">
        <v>0.12495566815144066</v>
      </c>
      <c r="S5" s="523">
        <v>0.13600000000000001</v>
      </c>
      <c r="T5" s="523">
        <v>0.12190485917712804</v>
      </c>
      <c r="U5" s="523">
        <v>0.13300000000000001</v>
      </c>
      <c r="V5" s="523">
        <v>0.12322064717116948</v>
      </c>
      <c r="W5" s="523">
        <v>0.12930216566469369</v>
      </c>
      <c r="X5" s="523">
        <v>0.13580226821250407</v>
      </c>
      <c r="Y5" s="523">
        <v>0.14000000000000001</v>
      </c>
      <c r="Z5" s="524">
        <v>0.14555376556266278</v>
      </c>
      <c r="AA5" s="525">
        <v>0.156</v>
      </c>
      <c r="AC5" s="526">
        <v>1741305</v>
      </c>
      <c r="AD5" s="527">
        <v>1754608</v>
      </c>
      <c r="AE5" s="527">
        <v>1773461</v>
      </c>
      <c r="AF5" s="527">
        <v>1789186</v>
      </c>
      <c r="AG5" s="527">
        <v>1806991</v>
      </c>
      <c r="AH5" s="527">
        <v>1821081</v>
      </c>
      <c r="AI5" s="527">
        <v>1829099</v>
      </c>
      <c r="AJ5" s="527">
        <v>1836402</v>
      </c>
      <c r="AK5" s="527">
        <v>1838921</v>
      </c>
      <c r="AL5" s="519">
        <v>1847182</v>
      </c>
      <c r="AM5" s="520">
        <v>1853677</v>
      </c>
      <c r="AN5" s="528">
        <f>'2011 Population'!M5</f>
        <v>1853546</v>
      </c>
    </row>
    <row r="6" spans="1:40">
      <c r="A6" s="529" t="s">
        <v>10</v>
      </c>
      <c r="B6" s="530" t="s">
        <v>614</v>
      </c>
      <c r="C6" s="531">
        <v>2334</v>
      </c>
      <c r="D6" s="532">
        <v>2014</v>
      </c>
      <c r="E6" s="532">
        <v>2153</v>
      </c>
      <c r="F6" s="532">
        <v>2232</v>
      </c>
      <c r="G6" s="532">
        <v>1811</v>
      </c>
      <c r="H6" s="532">
        <v>2347</v>
      </c>
      <c r="I6" s="532">
        <v>2041</v>
      </c>
      <c r="J6" s="532">
        <v>2156</v>
      </c>
      <c r="K6" s="532">
        <v>2507</v>
      </c>
      <c r="L6" s="532">
        <v>2272</v>
      </c>
      <c r="M6" s="533">
        <v>1956</v>
      </c>
      <c r="N6" s="534">
        <v>2111</v>
      </c>
      <c r="P6" s="535">
        <v>0.255</v>
      </c>
      <c r="Q6" s="536">
        <v>0.22199999999999998</v>
      </c>
      <c r="R6" s="536">
        <v>0.23600000000000002</v>
      </c>
      <c r="S6" s="536">
        <v>0.24399999999999999</v>
      </c>
      <c r="T6" s="536">
        <v>0.2</v>
      </c>
      <c r="U6" s="536">
        <v>0.26399999999999996</v>
      </c>
      <c r="V6" s="536">
        <v>0.23199999999999998</v>
      </c>
      <c r="W6" s="536">
        <v>0.25100000000000006</v>
      </c>
      <c r="X6" s="536">
        <v>0.29699999999999999</v>
      </c>
      <c r="Y6" s="536">
        <v>0.27400000000000002</v>
      </c>
      <c r="Z6" s="537">
        <v>0.28699999999999998</v>
      </c>
      <c r="AA6" s="538">
        <v>0.30499999999999999</v>
      </c>
      <c r="AC6" s="531">
        <v>9318</v>
      </c>
      <c r="AD6" s="532">
        <v>9320</v>
      </c>
      <c r="AE6" s="532">
        <v>9269</v>
      </c>
      <c r="AF6" s="532">
        <v>9131</v>
      </c>
      <c r="AG6" s="532">
        <v>9089</v>
      </c>
      <c r="AH6" s="532">
        <v>8989</v>
      </c>
      <c r="AI6" s="532">
        <v>8923</v>
      </c>
      <c r="AJ6" s="532">
        <v>8697</v>
      </c>
      <c r="AK6" s="532">
        <v>8638</v>
      </c>
      <c r="AL6" s="532">
        <v>8493</v>
      </c>
      <c r="AM6" s="533">
        <v>6925</v>
      </c>
      <c r="AN6" s="539">
        <f>'2011 Population'!M6</f>
        <v>7036</v>
      </c>
    </row>
    <row r="7" spans="1:40">
      <c r="A7" s="529" t="s">
        <v>12</v>
      </c>
      <c r="B7" s="530" t="s">
        <v>615</v>
      </c>
      <c r="C7" s="531">
        <v>1584</v>
      </c>
      <c r="D7" s="532">
        <v>1444</v>
      </c>
      <c r="E7" s="532">
        <v>1613</v>
      </c>
      <c r="F7" s="532">
        <v>1812</v>
      </c>
      <c r="G7" s="532">
        <v>1646</v>
      </c>
      <c r="H7" s="532">
        <v>1561</v>
      </c>
      <c r="I7" s="532">
        <v>1446</v>
      </c>
      <c r="J7" s="532">
        <v>1831</v>
      </c>
      <c r="K7" s="532">
        <v>1642</v>
      </c>
      <c r="L7" s="532">
        <v>1836</v>
      </c>
      <c r="M7" s="533">
        <v>2107</v>
      </c>
      <c r="N7" s="534">
        <v>2249</v>
      </c>
      <c r="P7" s="535">
        <v>0.08</v>
      </c>
      <c r="Q7" s="536">
        <v>7.3000000000000009E-2</v>
      </c>
      <c r="R7" s="536">
        <v>0.08</v>
      </c>
      <c r="S7" s="536">
        <v>9.0999999999999984E-2</v>
      </c>
      <c r="T7" s="536">
        <v>8.199999999999999E-2</v>
      </c>
      <c r="U7" s="536">
        <v>7.9000000000000001E-2</v>
      </c>
      <c r="V7" s="536">
        <v>7.3999999999999996E-2</v>
      </c>
      <c r="W7" s="536">
        <v>9.1999999999999998E-2</v>
      </c>
      <c r="X7" s="536">
        <v>8.3000000000000004E-2</v>
      </c>
      <c r="Y7" s="536">
        <v>9.0999999999999984E-2</v>
      </c>
      <c r="Z7" s="537">
        <v>0.1</v>
      </c>
      <c r="AA7" s="538">
        <v>0.106</v>
      </c>
      <c r="AC7" s="531">
        <v>19778</v>
      </c>
      <c r="AD7" s="532">
        <v>19856</v>
      </c>
      <c r="AE7" s="532">
        <v>20003</v>
      </c>
      <c r="AF7" s="532">
        <v>19933</v>
      </c>
      <c r="AG7" s="532">
        <v>19932</v>
      </c>
      <c r="AH7" s="532">
        <v>19969</v>
      </c>
      <c r="AI7" s="532">
        <v>20110</v>
      </c>
      <c r="AJ7" s="532">
        <v>20202</v>
      </c>
      <c r="AK7" s="532">
        <v>20405</v>
      </c>
      <c r="AL7" s="532">
        <v>20366</v>
      </c>
      <c r="AM7" s="533">
        <v>21285</v>
      </c>
      <c r="AN7" s="539">
        <f>'2011 Population'!M7</f>
        <v>21443</v>
      </c>
    </row>
    <row r="8" spans="1:40">
      <c r="A8" s="529" t="s">
        <v>16</v>
      </c>
      <c r="B8" s="530" t="s">
        <v>1007</v>
      </c>
      <c r="C8" s="531">
        <v>781</v>
      </c>
      <c r="D8" s="532">
        <v>690</v>
      </c>
      <c r="E8" s="532">
        <v>766</v>
      </c>
      <c r="F8" s="532">
        <v>890</v>
      </c>
      <c r="G8" s="532">
        <v>790</v>
      </c>
      <c r="H8" s="532">
        <v>875</v>
      </c>
      <c r="I8" s="532">
        <v>832</v>
      </c>
      <c r="J8" s="532">
        <v>843</v>
      </c>
      <c r="K8" s="532">
        <v>882</v>
      </c>
      <c r="L8" s="532">
        <v>922</v>
      </c>
      <c r="M8" s="533">
        <v>989</v>
      </c>
      <c r="N8" s="534">
        <v>985</v>
      </c>
      <c r="P8" s="535">
        <v>0.15374659685863876</v>
      </c>
      <c r="Q8" s="536">
        <v>0.13747924528301886</v>
      </c>
      <c r="R8" s="536">
        <v>0.15099499374217773</v>
      </c>
      <c r="S8" s="536">
        <v>0.18230162900683131</v>
      </c>
      <c r="T8" s="536">
        <v>0.16216525696558184</v>
      </c>
      <c r="U8" s="536">
        <v>0.18170718813046882</v>
      </c>
      <c r="V8" s="536">
        <v>0.17695105515380732</v>
      </c>
      <c r="W8" s="536">
        <v>0.18159462861938733</v>
      </c>
      <c r="X8" s="536">
        <v>0.1933776793706129</v>
      </c>
      <c r="Y8" s="536">
        <v>0.20131421510384487</v>
      </c>
      <c r="Z8" s="537">
        <v>0.21467522545308657</v>
      </c>
      <c r="AA8" s="538">
        <v>0.21782397169394074</v>
      </c>
      <c r="AC8" s="531">
        <v>5193</v>
      </c>
      <c r="AD8" s="532">
        <v>5205</v>
      </c>
      <c r="AE8" s="532">
        <v>5163</v>
      </c>
      <c r="AF8" s="532">
        <v>4996</v>
      </c>
      <c r="AG8" s="532">
        <v>4983</v>
      </c>
      <c r="AH8" s="532">
        <v>4898</v>
      </c>
      <c r="AI8" s="532">
        <v>4874</v>
      </c>
      <c r="AJ8" s="532">
        <v>4880</v>
      </c>
      <c r="AK8" s="532">
        <v>4787</v>
      </c>
      <c r="AL8" s="532">
        <v>4720</v>
      </c>
      <c r="AM8" s="533">
        <v>4717</v>
      </c>
      <c r="AN8" s="539">
        <f>'2011 Population'!M8</f>
        <v>4614</v>
      </c>
    </row>
    <row r="9" spans="1:40">
      <c r="A9" s="529" t="s">
        <v>18</v>
      </c>
      <c r="B9" s="530" t="s">
        <v>616</v>
      </c>
      <c r="C9" s="531">
        <v>352</v>
      </c>
      <c r="D9" s="532">
        <v>315</v>
      </c>
      <c r="E9" s="532">
        <v>356</v>
      </c>
      <c r="F9" s="532">
        <v>394</v>
      </c>
      <c r="G9" s="532">
        <v>349</v>
      </c>
      <c r="H9" s="532">
        <v>372</v>
      </c>
      <c r="I9" s="532">
        <v>352</v>
      </c>
      <c r="J9" s="532">
        <v>358</v>
      </c>
      <c r="K9" s="532">
        <v>373</v>
      </c>
      <c r="L9" s="532">
        <v>475</v>
      </c>
      <c r="M9" s="533">
        <v>467</v>
      </c>
      <c r="N9" s="534">
        <v>505</v>
      </c>
      <c r="P9" s="535">
        <v>0.12400000000000001</v>
      </c>
      <c r="Q9" s="536">
        <v>0.113</v>
      </c>
      <c r="R9" s="536">
        <v>0.129</v>
      </c>
      <c r="S9" s="536">
        <v>0.14199999999999999</v>
      </c>
      <c r="T9" s="536">
        <v>0.124</v>
      </c>
      <c r="U9" s="536">
        <v>0.13400000000000001</v>
      </c>
      <c r="V9" s="536">
        <v>0.125</v>
      </c>
      <c r="W9" s="536">
        <v>0.125</v>
      </c>
      <c r="X9" s="536">
        <v>0.13100000000000001</v>
      </c>
      <c r="Y9" s="536">
        <v>0.16499999999999998</v>
      </c>
      <c r="Z9" s="537">
        <v>0.16800000000000001</v>
      </c>
      <c r="AA9" s="538">
        <v>0.184</v>
      </c>
      <c r="AC9" s="531">
        <v>2906</v>
      </c>
      <c r="AD9" s="532">
        <v>2921</v>
      </c>
      <c r="AE9" s="532">
        <v>2898</v>
      </c>
      <c r="AF9" s="532">
        <v>2828</v>
      </c>
      <c r="AG9" s="532">
        <v>2811</v>
      </c>
      <c r="AH9" s="532">
        <v>2853</v>
      </c>
      <c r="AI9" s="532">
        <v>2932</v>
      </c>
      <c r="AJ9" s="532">
        <v>2941</v>
      </c>
      <c r="AK9" s="532">
        <v>2925</v>
      </c>
      <c r="AL9" s="532">
        <v>2925</v>
      </c>
      <c r="AM9" s="533">
        <v>2822</v>
      </c>
      <c r="AN9" s="539">
        <f>'2011 Population'!M9</f>
        <v>2782</v>
      </c>
    </row>
    <row r="10" spans="1:40">
      <c r="A10" s="529" t="s">
        <v>20</v>
      </c>
      <c r="B10" s="530" t="s">
        <v>617</v>
      </c>
      <c r="C10" s="531">
        <v>1046</v>
      </c>
      <c r="D10" s="532">
        <v>930</v>
      </c>
      <c r="E10" s="532">
        <v>1101</v>
      </c>
      <c r="F10" s="532">
        <v>1219</v>
      </c>
      <c r="G10" s="532">
        <v>1086</v>
      </c>
      <c r="H10" s="532">
        <v>1104</v>
      </c>
      <c r="I10" s="532">
        <v>1068</v>
      </c>
      <c r="J10" s="532">
        <v>1072</v>
      </c>
      <c r="K10" s="532">
        <v>1131</v>
      </c>
      <c r="L10" s="532">
        <v>1184</v>
      </c>
      <c r="M10" s="533">
        <v>1291</v>
      </c>
      <c r="N10" s="534">
        <v>1333</v>
      </c>
      <c r="P10" s="535">
        <v>0.14300000000000002</v>
      </c>
      <c r="Q10" s="536">
        <v>0.129</v>
      </c>
      <c r="R10" s="536">
        <v>0.152</v>
      </c>
      <c r="S10" s="536">
        <v>0.17199999999999999</v>
      </c>
      <c r="T10" s="536">
        <v>0.155</v>
      </c>
      <c r="U10" s="536">
        <v>0.16300000000000001</v>
      </c>
      <c r="V10" s="536">
        <v>0.16</v>
      </c>
      <c r="W10" s="536">
        <v>0.161</v>
      </c>
      <c r="X10" s="536">
        <v>0.17399999999999999</v>
      </c>
      <c r="Y10" s="536">
        <v>0.17699999999999999</v>
      </c>
      <c r="Z10" s="537">
        <v>0.18899999999999997</v>
      </c>
      <c r="AA10" s="538">
        <v>0.20199999999999999</v>
      </c>
      <c r="AC10" s="531">
        <v>7461</v>
      </c>
      <c r="AD10" s="532">
        <v>7466</v>
      </c>
      <c r="AE10" s="532">
        <v>7358</v>
      </c>
      <c r="AF10" s="532">
        <v>7285</v>
      </c>
      <c r="AG10" s="532">
        <v>7121</v>
      </c>
      <c r="AH10" s="532">
        <v>7020</v>
      </c>
      <c r="AI10" s="532">
        <v>6923</v>
      </c>
      <c r="AJ10" s="532">
        <v>6906</v>
      </c>
      <c r="AK10" s="532">
        <v>6879</v>
      </c>
      <c r="AL10" s="532">
        <v>6818</v>
      </c>
      <c r="AM10" s="533">
        <v>6940</v>
      </c>
      <c r="AN10" s="539">
        <f>'2011 Population'!M10</f>
        <v>6688</v>
      </c>
    </row>
    <row r="11" spans="1:40">
      <c r="A11" s="529" t="s">
        <v>22</v>
      </c>
      <c r="B11" s="530" t="s">
        <v>618</v>
      </c>
      <c r="C11" s="531">
        <v>520</v>
      </c>
      <c r="D11" s="532">
        <v>482</v>
      </c>
      <c r="E11" s="532">
        <v>548</v>
      </c>
      <c r="F11" s="532">
        <v>598</v>
      </c>
      <c r="G11" s="532">
        <v>510</v>
      </c>
      <c r="H11" s="532">
        <v>553</v>
      </c>
      <c r="I11" s="532">
        <v>551</v>
      </c>
      <c r="J11" s="532">
        <v>557</v>
      </c>
      <c r="K11" s="532">
        <v>629</v>
      </c>
      <c r="L11" s="532">
        <v>689</v>
      </c>
      <c r="M11" s="533">
        <v>717</v>
      </c>
      <c r="N11" s="534">
        <v>725</v>
      </c>
      <c r="P11" s="535">
        <v>0.157</v>
      </c>
      <c r="Q11" s="536">
        <v>0.15</v>
      </c>
      <c r="R11" s="536">
        <v>0.17100000000000001</v>
      </c>
      <c r="S11" s="536">
        <v>0.189</v>
      </c>
      <c r="T11" s="536">
        <v>0.161</v>
      </c>
      <c r="U11" s="536">
        <v>0.17599999999999999</v>
      </c>
      <c r="V11" s="536">
        <v>0.17899999999999999</v>
      </c>
      <c r="W11" s="536">
        <v>0.18</v>
      </c>
      <c r="X11" s="536">
        <v>0.2</v>
      </c>
      <c r="Y11" s="536">
        <v>0.219</v>
      </c>
      <c r="Z11" s="537">
        <v>0.21800000000000003</v>
      </c>
      <c r="AA11" s="538">
        <v>0.223</v>
      </c>
      <c r="AC11" s="531">
        <v>3367</v>
      </c>
      <c r="AD11" s="532">
        <v>3334</v>
      </c>
      <c r="AE11" s="532">
        <v>3250</v>
      </c>
      <c r="AF11" s="532">
        <v>3204</v>
      </c>
      <c r="AG11" s="532">
        <v>3183</v>
      </c>
      <c r="AH11" s="532">
        <v>3176</v>
      </c>
      <c r="AI11" s="532">
        <v>3158</v>
      </c>
      <c r="AJ11" s="532">
        <v>3222</v>
      </c>
      <c r="AK11" s="532">
        <v>3298</v>
      </c>
      <c r="AL11" s="532">
        <v>3204</v>
      </c>
      <c r="AM11" s="533">
        <v>3325</v>
      </c>
      <c r="AN11" s="539">
        <f>'2011 Population'!M11</f>
        <v>3299</v>
      </c>
    </row>
    <row r="12" spans="1:40">
      <c r="A12" s="529" t="s">
        <v>24</v>
      </c>
      <c r="B12" s="530" t="s">
        <v>619</v>
      </c>
      <c r="C12" s="531">
        <v>3124</v>
      </c>
      <c r="D12" s="532">
        <v>2830</v>
      </c>
      <c r="E12" s="532">
        <v>3092</v>
      </c>
      <c r="F12" s="532">
        <v>3195</v>
      </c>
      <c r="G12" s="532">
        <v>3170</v>
      </c>
      <c r="H12" s="532">
        <v>3308</v>
      </c>
      <c r="I12" s="532">
        <v>2955</v>
      </c>
      <c r="J12" s="532">
        <v>3004</v>
      </c>
      <c r="K12" s="532">
        <v>3348</v>
      </c>
      <c r="L12" s="532">
        <v>3284</v>
      </c>
      <c r="M12" s="533">
        <v>3392</v>
      </c>
      <c r="N12" s="534">
        <v>3451</v>
      </c>
      <c r="P12" s="535">
        <v>0.1</v>
      </c>
      <c r="Q12" s="536">
        <v>8.8999999999999996E-2</v>
      </c>
      <c r="R12" s="536">
        <v>9.5000000000000001E-2</v>
      </c>
      <c r="S12" s="536">
        <v>9.5000000000000001E-2</v>
      </c>
      <c r="T12" s="536">
        <v>9.0999999999999984E-2</v>
      </c>
      <c r="U12" s="536">
        <v>9.5999999999999988E-2</v>
      </c>
      <c r="V12" s="536">
        <v>8.4999999999999992E-2</v>
      </c>
      <c r="W12" s="536">
        <v>8.3999999999999991E-2</v>
      </c>
      <c r="X12" s="536">
        <v>8.8000000000000009E-2</v>
      </c>
      <c r="Y12" s="536">
        <v>9.2999999999999999E-2</v>
      </c>
      <c r="Z12" s="537">
        <v>0.10400000000000001</v>
      </c>
      <c r="AA12" s="538">
        <v>0.10099999999999999</v>
      </c>
      <c r="AC12" s="531">
        <v>31241</v>
      </c>
      <c r="AD12" s="532">
        <v>31728</v>
      </c>
      <c r="AE12" s="532">
        <v>32362</v>
      </c>
      <c r="AF12" s="532">
        <v>32287</v>
      </c>
      <c r="AG12" s="532">
        <v>32184</v>
      </c>
      <c r="AH12" s="532">
        <v>32334</v>
      </c>
      <c r="AI12" s="532">
        <v>32296</v>
      </c>
      <c r="AJ12" s="532">
        <v>32697</v>
      </c>
      <c r="AK12" s="532">
        <v>34163</v>
      </c>
      <c r="AL12" s="532">
        <v>35785</v>
      </c>
      <c r="AM12" s="533">
        <v>32626</v>
      </c>
      <c r="AN12" s="539">
        <f>'2011 Population'!M12</f>
        <v>34495</v>
      </c>
    </row>
    <row r="13" spans="1:40">
      <c r="A13" s="529" t="s">
        <v>26</v>
      </c>
      <c r="B13" s="280" t="s">
        <v>1008</v>
      </c>
      <c r="C13" s="531">
        <v>3191</v>
      </c>
      <c r="D13" s="532">
        <v>2991</v>
      </c>
      <c r="E13" s="532">
        <v>3298</v>
      </c>
      <c r="F13" s="532">
        <v>3529</v>
      </c>
      <c r="G13" s="532">
        <v>3272</v>
      </c>
      <c r="H13" s="532">
        <v>3505</v>
      </c>
      <c r="I13" s="532">
        <v>3505</v>
      </c>
      <c r="J13" s="532">
        <v>3697</v>
      </c>
      <c r="K13" s="532">
        <v>3724</v>
      </c>
      <c r="L13" s="532">
        <v>4096</v>
      </c>
      <c r="M13" s="533">
        <v>4400</v>
      </c>
      <c r="N13" s="534">
        <v>4536</v>
      </c>
      <c r="P13" s="535">
        <v>0.13087876336093662</v>
      </c>
      <c r="Q13" s="536">
        <v>0.12328640660095588</v>
      </c>
      <c r="R13" s="536">
        <v>0.1346739708466082</v>
      </c>
      <c r="S13" s="536">
        <v>0.14416955964817399</v>
      </c>
      <c r="T13" s="536">
        <v>0.13188270816880912</v>
      </c>
      <c r="U13" s="536">
        <v>0.14273149548278821</v>
      </c>
      <c r="V13" s="536">
        <v>0.14512539405354707</v>
      </c>
      <c r="W13" s="536">
        <v>0.14915355306345557</v>
      </c>
      <c r="X13" s="536">
        <v>0.15178195639792957</v>
      </c>
      <c r="Y13" s="536">
        <v>0.16398952402216457</v>
      </c>
      <c r="Z13" s="537">
        <v>0.17830952995295352</v>
      </c>
      <c r="AA13" s="538">
        <v>0.18582548136009833</v>
      </c>
      <c r="AC13" s="531">
        <v>24942</v>
      </c>
      <c r="AD13" s="532">
        <v>24941</v>
      </c>
      <c r="AE13" s="532">
        <v>25097</v>
      </c>
      <c r="AF13" s="532">
        <v>24987</v>
      </c>
      <c r="AG13" s="532">
        <v>25254</v>
      </c>
      <c r="AH13" s="532">
        <v>25285</v>
      </c>
      <c r="AI13" s="532">
        <v>25431</v>
      </c>
      <c r="AJ13" s="532">
        <v>25661</v>
      </c>
      <c r="AK13" s="532">
        <v>25641</v>
      </c>
      <c r="AL13" s="532">
        <v>25615</v>
      </c>
      <c r="AM13" s="533">
        <v>25266</v>
      </c>
      <c r="AN13" s="539">
        <f>'2011 Population'!M13</f>
        <v>24914</v>
      </c>
    </row>
    <row r="14" spans="1:40">
      <c r="A14" s="529" t="s">
        <v>27</v>
      </c>
      <c r="B14" s="530" t="s">
        <v>620</v>
      </c>
      <c r="C14" s="531">
        <v>102</v>
      </c>
      <c r="D14" s="532">
        <v>97</v>
      </c>
      <c r="E14" s="532">
        <v>95</v>
      </c>
      <c r="F14" s="532">
        <v>99</v>
      </c>
      <c r="G14" s="532">
        <v>83</v>
      </c>
      <c r="H14" s="532">
        <v>89</v>
      </c>
      <c r="I14" s="532">
        <v>88</v>
      </c>
      <c r="J14" s="532">
        <v>80</v>
      </c>
      <c r="K14" s="532">
        <v>89</v>
      </c>
      <c r="L14" s="532">
        <v>117</v>
      </c>
      <c r="M14" s="533">
        <v>123</v>
      </c>
      <c r="N14" s="534">
        <v>122</v>
      </c>
      <c r="P14" s="535">
        <v>0.10099999999999999</v>
      </c>
      <c r="Q14" s="536">
        <v>9.8000000000000004E-2</v>
      </c>
      <c r="R14" s="536">
        <v>9.9000000000000005E-2</v>
      </c>
      <c r="S14" s="536">
        <v>0.106</v>
      </c>
      <c r="T14" s="536">
        <v>9.1999999999999985E-2</v>
      </c>
      <c r="U14" s="536">
        <v>0.1</v>
      </c>
      <c r="V14" s="536">
        <v>0.106</v>
      </c>
      <c r="W14" s="536">
        <v>0.10300000000000001</v>
      </c>
      <c r="X14" s="536">
        <v>0.12300000000000001</v>
      </c>
      <c r="Y14" s="536">
        <v>0.14799999999999999</v>
      </c>
      <c r="Z14" s="537">
        <v>0.157</v>
      </c>
      <c r="AA14" s="538">
        <v>0.159</v>
      </c>
      <c r="AC14" s="531">
        <v>1058</v>
      </c>
      <c r="AD14" s="532">
        <v>1041</v>
      </c>
      <c r="AE14" s="532">
        <v>1038</v>
      </c>
      <c r="AF14" s="532">
        <v>990</v>
      </c>
      <c r="AG14" s="532">
        <v>984</v>
      </c>
      <c r="AH14" s="532">
        <v>965</v>
      </c>
      <c r="AI14" s="532">
        <v>903</v>
      </c>
      <c r="AJ14" s="532">
        <v>873</v>
      </c>
      <c r="AK14" s="532">
        <v>834</v>
      </c>
      <c r="AL14" s="532">
        <v>806</v>
      </c>
      <c r="AM14" s="533">
        <v>804</v>
      </c>
      <c r="AN14" s="539">
        <f>'2011 Population'!M14</f>
        <v>782</v>
      </c>
    </row>
    <row r="15" spans="1:40">
      <c r="A15" s="529" t="s">
        <v>29</v>
      </c>
      <c r="B15" s="530" t="s">
        <v>804</v>
      </c>
      <c r="C15" s="531">
        <v>1623</v>
      </c>
      <c r="D15" s="532">
        <v>1526</v>
      </c>
      <c r="E15" s="532">
        <v>1664</v>
      </c>
      <c r="F15" s="532">
        <v>1861</v>
      </c>
      <c r="G15" s="532">
        <v>1732</v>
      </c>
      <c r="H15" s="532">
        <v>1803</v>
      </c>
      <c r="I15" s="532">
        <v>1685</v>
      </c>
      <c r="J15" s="532">
        <v>1839</v>
      </c>
      <c r="K15" s="532">
        <v>1773</v>
      </c>
      <c r="L15" s="532">
        <v>1987</v>
      </c>
      <c r="M15" s="533">
        <v>2297</v>
      </c>
      <c r="N15" s="534">
        <v>2391</v>
      </c>
      <c r="P15" s="535">
        <v>0.10357569534845344</v>
      </c>
      <c r="Q15" s="536">
        <v>9.7851076521047547E-2</v>
      </c>
      <c r="R15" s="536">
        <v>0.10470836582956378</v>
      </c>
      <c r="S15" s="536">
        <v>0.11985001266072082</v>
      </c>
      <c r="T15" s="536">
        <v>0.11006986120613819</v>
      </c>
      <c r="U15" s="536">
        <v>0.11585807105652593</v>
      </c>
      <c r="V15" s="536">
        <v>0.10915386192773553</v>
      </c>
      <c r="W15" s="536">
        <v>0.11852155883037152</v>
      </c>
      <c r="X15" s="536">
        <v>0.11587898985228509</v>
      </c>
      <c r="Y15" s="536">
        <v>0.12334881658541039</v>
      </c>
      <c r="Z15" s="537">
        <v>0.14051075101595445</v>
      </c>
      <c r="AA15" s="538">
        <v>0.14869402985074626</v>
      </c>
      <c r="AC15" s="531">
        <v>15886</v>
      </c>
      <c r="AD15" s="532">
        <v>16002</v>
      </c>
      <c r="AE15" s="532">
        <v>15900</v>
      </c>
      <c r="AF15" s="532">
        <v>15776</v>
      </c>
      <c r="AG15" s="532">
        <v>16004</v>
      </c>
      <c r="AH15" s="532">
        <v>16165</v>
      </c>
      <c r="AI15" s="532">
        <v>16380</v>
      </c>
      <c r="AJ15" s="532">
        <v>16508</v>
      </c>
      <c r="AK15" s="532">
        <v>16327</v>
      </c>
      <c r="AL15" s="532">
        <v>16340</v>
      </c>
      <c r="AM15" s="533">
        <v>16583</v>
      </c>
      <c r="AN15" s="539">
        <f>'2011 Population'!M15</f>
        <v>16246</v>
      </c>
    </row>
    <row r="16" spans="1:40">
      <c r="A16" s="529" t="s">
        <v>31</v>
      </c>
      <c r="B16" s="530" t="s">
        <v>621</v>
      </c>
      <c r="C16" s="531">
        <v>186</v>
      </c>
      <c r="D16" s="532">
        <v>172</v>
      </c>
      <c r="E16" s="532">
        <v>184</v>
      </c>
      <c r="F16" s="532">
        <v>209</v>
      </c>
      <c r="G16" s="532">
        <v>177</v>
      </c>
      <c r="H16" s="532">
        <v>204</v>
      </c>
      <c r="I16" s="532">
        <v>191</v>
      </c>
      <c r="J16" s="532">
        <v>202</v>
      </c>
      <c r="K16" s="532">
        <v>204</v>
      </c>
      <c r="L16" s="532">
        <v>214</v>
      </c>
      <c r="M16" s="533">
        <v>214</v>
      </c>
      <c r="N16" s="534">
        <v>221</v>
      </c>
      <c r="P16" s="535">
        <v>0.14099999999999999</v>
      </c>
      <c r="Q16" s="536">
        <v>0.13499999999999998</v>
      </c>
      <c r="R16" s="536">
        <v>0.14399999999999999</v>
      </c>
      <c r="S16" s="536">
        <v>0.16800000000000001</v>
      </c>
      <c r="T16" s="536">
        <v>0.14500000000000002</v>
      </c>
      <c r="U16" s="536">
        <v>0.16899999999999998</v>
      </c>
      <c r="V16" s="536">
        <v>0.16500000000000001</v>
      </c>
      <c r="W16" s="536">
        <v>0.17500000000000002</v>
      </c>
      <c r="X16" s="536">
        <v>0.18000000000000002</v>
      </c>
      <c r="Y16" s="536">
        <v>0.17800000000000002</v>
      </c>
      <c r="Z16" s="537">
        <v>0.18</v>
      </c>
      <c r="AA16" s="538">
        <v>0.187</v>
      </c>
      <c r="AC16" s="531">
        <v>1328</v>
      </c>
      <c r="AD16" s="532">
        <v>1338</v>
      </c>
      <c r="AE16" s="532">
        <v>1291</v>
      </c>
      <c r="AF16" s="532">
        <v>1304</v>
      </c>
      <c r="AG16" s="532">
        <v>1285</v>
      </c>
      <c r="AH16" s="532">
        <v>1267</v>
      </c>
      <c r="AI16" s="532">
        <v>1235</v>
      </c>
      <c r="AJ16" s="532">
        <v>1239</v>
      </c>
      <c r="AK16" s="532">
        <v>1209</v>
      </c>
      <c r="AL16" s="532">
        <v>1213</v>
      </c>
      <c r="AM16" s="533">
        <v>1220</v>
      </c>
      <c r="AN16" s="539">
        <f>'2011 Population'!M16</f>
        <v>1204</v>
      </c>
    </row>
    <row r="17" spans="1:40">
      <c r="A17" s="529" t="s">
        <v>33</v>
      </c>
      <c r="B17" s="530" t="s">
        <v>622</v>
      </c>
      <c r="C17" s="531">
        <v>473</v>
      </c>
      <c r="D17" s="532">
        <v>453</v>
      </c>
      <c r="E17" s="532">
        <v>497</v>
      </c>
      <c r="F17" s="532">
        <v>556</v>
      </c>
      <c r="G17" s="532">
        <v>501</v>
      </c>
      <c r="H17" s="532">
        <v>493</v>
      </c>
      <c r="I17" s="532">
        <v>440</v>
      </c>
      <c r="J17" s="532">
        <v>476</v>
      </c>
      <c r="K17" s="532">
        <v>501</v>
      </c>
      <c r="L17" s="532">
        <v>578</v>
      </c>
      <c r="M17" s="533">
        <v>646</v>
      </c>
      <c r="N17" s="534">
        <v>715</v>
      </c>
      <c r="P17" s="535">
        <v>6.8000000000000005E-2</v>
      </c>
      <c r="Q17" s="536">
        <v>6.6000000000000003E-2</v>
      </c>
      <c r="R17" s="536">
        <v>7.2999999999999995E-2</v>
      </c>
      <c r="S17" s="536">
        <v>8.199999999999999E-2</v>
      </c>
      <c r="T17" s="536">
        <v>7.3999999999999996E-2</v>
      </c>
      <c r="U17" s="536">
        <v>7.400000000000001E-2</v>
      </c>
      <c r="V17" s="536">
        <v>6.9000000000000006E-2</v>
      </c>
      <c r="W17" s="536">
        <v>7.3999999999999996E-2</v>
      </c>
      <c r="X17" s="536">
        <v>0.08</v>
      </c>
      <c r="Y17" s="536">
        <v>8.5000000000000006E-2</v>
      </c>
      <c r="Z17" s="537">
        <v>8.8000000000000009E-2</v>
      </c>
      <c r="AA17" s="538">
        <v>0.10099999999999999</v>
      </c>
      <c r="AC17" s="531">
        <v>7132</v>
      </c>
      <c r="AD17" s="532">
        <v>7140</v>
      </c>
      <c r="AE17" s="532">
        <v>7254</v>
      </c>
      <c r="AF17" s="532">
        <v>7201</v>
      </c>
      <c r="AG17" s="532">
        <v>7183</v>
      </c>
      <c r="AH17" s="532">
        <v>7077</v>
      </c>
      <c r="AI17" s="532">
        <v>7060</v>
      </c>
      <c r="AJ17" s="532">
        <v>7019</v>
      </c>
      <c r="AK17" s="532">
        <v>7029</v>
      </c>
      <c r="AL17" s="532">
        <v>6934</v>
      </c>
      <c r="AM17" s="533">
        <v>7434</v>
      </c>
      <c r="AN17" s="539">
        <f>'2011 Population'!M17</f>
        <v>7171</v>
      </c>
    </row>
    <row r="18" spans="1:40">
      <c r="A18" s="529" t="s">
        <v>37</v>
      </c>
      <c r="B18" s="530" t="s">
        <v>623</v>
      </c>
      <c r="C18" s="531">
        <v>737</v>
      </c>
      <c r="D18" s="532">
        <v>665</v>
      </c>
      <c r="E18" s="532">
        <v>787</v>
      </c>
      <c r="F18" s="532">
        <v>847</v>
      </c>
      <c r="G18" s="532">
        <v>742</v>
      </c>
      <c r="H18" s="532">
        <v>828</v>
      </c>
      <c r="I18" s="532">
        <v>792</v>
      </c>
      <c r="J18" s="532">
        <v>834</v>
      </c>
      <c r="K18" s="532">
        <v>761</v>
      </c>
      <c r="L18" s="532">
        <v>816</v>
      </c>
      <c r="M18" s="533">
        <v>888</v>
      </c>
      <c r="N18" s="534">
        <v>979</v>
      </c>
      <c r="P18" s="535">
        <v>0.20200000000000001</v>
      </c>
      <c r="Q18" s="536">
        <v>0.18600000000000003</v>
      </c>
      <c r="R18" s="536">
        <v>0.22199999999999998</v>
      </c>
      <c r="S18" s="536">
        <v>0.24199999999999999</v>
      </c>
      <c r="T18" s="536">
        <v>0.217</v>
      </c>
      <c r="U18" s="536">
        <v>0.245</v>
      </c>
      <c r="V18" s="536">
        <v>0.24199999999999999</v>
      </c>
      <c r="W18" s="536">
        <v>0.26300000000000001</v>
      </c>
      <c r="X18" s="536">
        <v>0.248</v>
      </c>
      <c r="Y18" s="536">
        <v>0.26300000000000001</v>
      </c>
      <c r="Z18" s="537">
        <v>0.26899999999999996</v>
      </c>
      <c r="AA18" s="538">
        <v>0.31</v>
      </c>
      <c r="AC18" s="531">
        <v>3763</v>
      </c>
      <c r="AD18" s="532">
        <v>3718</v>
      </c>
      <c r="AE18" s="532">
        <v>3615</v>
      </c>
      <c r="AF18" s="532">
        <v>3527</v>
      </c>
      <c r="AG18" s="532">
        <v>3469</v>
      </c>
      <c r="AH18" s="532">
        <v>3353</v>
      </c>
      <c r="AI18" s="532">
        <v>3337</v>
      </c>
      <c r="AJ18" s="532">
        <v>3333</v>
      </c>
      <c r="AK18" s="532">
        <v>3245</v>
      </c>
      <c r="AL18" s="532">
        <v>3167</v>
      </c>
      <c r="AM18" s="533">
        <v>3367</v>
      </c>
      <c r="AN18" s="539">
        <f>'2011 Population'!M18</f>
        <v>3196</v>
      </c>
    </row>
    <row r="19" spans="1:40">
      <c r="A19" s="529" t="s">
        <v>39</v>
      </c>
      <c r="B19" s="530" t="s">
        <v>624</v>
      </c>
      <c r="C19" s="531">
        <v>1507</v>
      </c>
      <c r="D19" s="532">
        <v>1287</v>
      </c>
      <c r="E19" s="532">
        <v>1473</v>
      </c>
      <c r="F19" s="532">
        <v>1531</v>
      </c>
      <c r="G19" s="532">
        <v>1333</v>
      </c>
      <c r="H19" s="532">
        <v>1593</v>
      </c>
      <c r="I19" s="532">
        <v>1402</v>
      </c>
      <c r="J19" s="532">
        <v>1284</v>
      </c>
      <c r="K19" s="532">
        <v>1365</v>
      </c>
      <c r="L19" s="532">
        <v>1464</v>
      </c>
      <c r="M19" s="533">
        <v>1497</v>
      </c>
      <c r="N19" s="534">
        <v>1268</v>
      </c>
      <c r="P19" s="535">
        <v>0.28999999999999998</v>
      </c>
      <c r="Q19" s="536">
        <v>0.25600000000000001</v>
      </c>
      <c r="R19" s="536">
        <v>0.29600000000000004</v>
      </c>
      <c r="S19" s="536">
        <v>0.318</v>
      </c>
      <c r="T19" s="536">
        <v>0.28100000000000003</v>
      </c>
      <c r="U19" s="536">
        <v>0.34500000000000003</v>
      </c>
      <c r="V19" s="536">
        <v>0.30899999999999994</v>
      </c>
      <c r="W19" s="536">
        <v>0.3</v>
      </c>
      <c r="X19" s="536">
        <v>0.33100000000000002</v>
      </c>
      <c r="Y19" s="536">
        <v>0.34299999999999997</v>
      </c>
      <c r="Z19" s="537">
        <v>0.34900000000000003</v>
      </c>
      <c r="AA19" s="538">
        <v>0.308</v>
      </c>
      <c r="AC19" s="531">
        <v>5716</v>
      </c>
      <c r="AD19" s="532">
        <v>5448</v>
      </c>
      <c r="AE19" s="532">
        <v>5329</v>
      </c>
      <c r="AF19" s="532">
        <v>5139</v>
      </c>
      <c r="AG19" s="532">
        <v>5008</v>
      </c>
      <c r="AH19" s="532">
        <v>4864</v>
      </c>
      <c r="AI19" s="532">
        <v>4735</v>
      </c>
      <c r="AJ19" s="532">
        <v>4615</v>
      </c>
      <c r="AK19" s="532">
        <v>4524</v>
      </c>
      <c r="AL19" s="532">
        <v>4470</v>
      </c>
      <c r="AM19" s="533">
        <v>4513</v>
      </c>
      <c r="AN19" s="539">
        <f>'2011 Population'!M19</f>
        <v>4322</v>
      </c>
    </row>
    <row r="20" spans="1:40">
      <c r="A20" s="529" t="s">
        <v>41</v>
      </c>
      <c r="B20" s="530" t="s">
        <v>625</v>
      </c>
      <c r="C20" s="531">
        <v>682</v>
      </c>
      <c r="D20" s="532">
        <v>594</v>
      </c>
      <c r="E20" s="532">
        <v>641</v>
      </c>
      <c r="F20" s="532">
        <v>710</v>
      </c>
      <c r="G20" s="532">
        <v>658</v>
      </c>
      <c r="H20" s="532">
        <v>771</v>
      </c>
      <c r="I20" s="532">
        <v>667</v>
      </c>
      <c r="J20" s="532">
        <v>717</v>
      </c>
      <c r="K20" s="532">
        <v>713</v>
      </c>
      <c r="L20" s="532">
        <v>775</v>
      </c>
      <c r="M20" s="533">
        <v>814</v>
      </c>
      <c r="N20" s="534">
        <v>843</v>
      </c>
      <c r="P20" s="535">
        <v>0.20299999999999999</v>
      </c>
      <c r="Q20" s="536">
        <v>0.182</v>
      </c>
      <c r="R20" s="536">
        <v>0.19700000000000001</v>
      </c>
      <c r="S20" s="536">
        <v>0.21999999999999997</v>
      </c>
      <c r="T20" s="536">
        <v>0.20600000000000002</v>
      </c>
      <c r="U20" s="536">
        <v>0.24500000000000002</v>
      </c>
      <c r="V20" s="536">
        <v>0.21899999999999997</v>
      </c>
      <c r="W20" s="536">
        <v>0.24199999999999999</v>
      </c>
      <c r="X20" s="536">
        <v>0.248</v>
      </c>
      <c r="Y20" s="536">
        <v>0.26300000000000001</v>
      </c>
      <c r="Z20" s="537">
        <v>0.252</v>
      </c>
      <c r="AA20" s="538">
        <v>0.26300000000000001</v>
      </c>
      <c r="AC20" s="531">
        <v>3490</v>
      </c>
      <c r="AD20" s="532">
        <v>3449</v>
      </c>
      <c r="AE20" s="532">
        <v>3373</v>
      </c>
      <c r="AF20" s="532">
        <v>3297</v>
      </c>
      <c r="AG20" s="532">
        <v>3258</v>
      </c>
      <c r="AH20" s="532">
        <v>3221</v>
      </c>
      <c r="AI20" s="532">
        <v>3202</v>
      </c>
      <c r="AJ20" s="532">
        <v>3159</v>
      </c>
      <c r="AK20" s="532">
        <v>3097</v>
      </c>
      <c r="AL20" s="532">
        <v>3103</v>
      </c>
      <c r="AM20" s="533">
        <v>3297</v>
      </c>
      <c r="AN20" s="539">
        <f>'2011 Population'!M20</f>
        <v>3271</v>
      </c>
    </row>
    <row r="21" spans="1:40">
      <c r="A21" s="529" t="s">
        <v>43</v>
      </c>
      <c r="B21" s="530" t="s">
        <v>626</v>
      </c>
      <c r="C21" s="531">
        <v>1693</v>
      </c>
      <c r="D21" s="532">
        <v>1540</v>
      </c>
      <c r="E21" s="532">
        <v>1797</v>
      </c>
      <c r="F21" s="532">
        <v>2001</v>
      </c>
      <c r="G21" s="532">
        <v>1800</v>
      </c>
      <c r="H21" s="532">
        <v>1823</v>
      </c>
      <c r="I21" s="532">
        <v>1756</v>
      </c>
      <c r="J21" s="532">
        <v>1759</v>
      </c>
      <c r="K21" s="532">
        <v>1816</v>
      </c>
      <c r="L21" s="532">
        <v>1996</v>
      </c>
      <c r="M21" s="533">
        <v>2211</v>
      </c>
      <c r="N21" s="534">
        <v>2674</v>
      </c>
      <c r="P21" s="535">
        <v>0.14099999999999999</v>
      </c>
      <c r="Q21" s="536">
        <v>0.129</v>
      </c>
      <c r="R21" s="536">
        <v>0.15</v>
      </c>
      <c r="S21" s="536">
        <v>0.16800000000000001</v>
      </c>
      <c r="T21" s="536">
        <v>0.15</v>
      </c>
      <c r="U21" s="536">
        <v>0.154</v>
      </c>
      <c r="V21" s="536">
        <v>0.153</v>
      </c>
      <c r="W21" s="536">
        <v>0.153</v>
      </c>
      <c r="X21" s="536">
        <v>0.16200000000000001</v>
      </c>
      <c r="Y21" s="536">
        <v>0.17799999999999999</v>
      </c>
      <c r="Z21" s="537">
        <v>0.18600000000000003</v>
      </c>
      <c r="AA21" s="538">
        <v>0.23</v>
      </c>
      <c r="AC21" s="531">
        <v>12223</v>
      </c>
      <c r="AD21" s="532">
        <v>12156</v>
      </c>
      <c r="AE21" s="532">
        <v>12146</v>
      </c>
      <c r="AF21" s="532">
        <v>12016</v>
      </c>
      <c r="AG21" s="532">
        <v>11891</v>
      </c>
      <c r="AH21" s="532">
        <v>11845</v>
      </c>
      <c r="AI21" s="532">
        <v>11897</v>
      </c>
      <c r="AJ21" s="532">
        <v>11671</v>
      </c>
      <c r="AK21" s="532">
        <v>11634</v>
      </c>
      <c r="AL21" s="532">
        <v>11433</v>
      </c>
      <c r="AM21" s="533">
        <v>12044</v>
      </c>
      <c r="AN21" s="539">
        <f>'2011 Population'!M21</f>
        <v>11732</v>
      </c>
    </row>
    <row r="22" spans="1:40">
      <c r="A22" s="529" t="s">
        <v>45</v>
      </c>
      <c r="B22" s="530" t="s">
        <v>627</v>
      </c>
      <c r="C22" s="531">
        <v>750</v>
      </c>
      <c r="D22" s="532">
        <v>699</v>
      </c>
      <c r="E22" s="532">
        <v>823</v>
      </c>
      <c r="F22" s="532">
        <v>827</v>
      </c>
      <c r="G22" s="532">
        <v>797</v>
      </c>
      <c r="H22" s="532">
        <v>862</v>
      </c>
      <c r="I22" s="532">
        <v>753</v>
      </c>
      <c r="J22" s="532">
        <v>864</v>
      </c>
      <c r="K22" s="532">
        <v>927</v>
      </c>
      <c r="L22" s="532">
        <v>1058</v>
      </c>
      <c r="M22" s="533">
        <v>1116</v>
      </c>
      <c r="N22" s="534">
        <v>1252</v>
      </c>
      <c r="P22" s="535">
        <v>0.14099999999999999</v>
      </c>
      <c r="Q22" s="536">
        <v>0.13</v>
      </c>
      <c r="R22" s="536">
        <v>0.15</v>
      </c>
      <c r="S22" s="536">
        <v>0.14699999999999999</v>
      </c>
      <c r="T22" s="536">
        <v>0.13300000000000001</v>
      </c>
      <c r="U22" s="536">
        <v>0.14599999999999999</v>
      </c>
      <c r="V22" s="536">
        <v>0.126</v>
      </c>
      <c r="W22" s="536">
        <v>0.13300000000000001</v>
      </c>
      <c r="X22" s="536">
        <v>0.14199999999999999</v>
      </c>
      <c r="Y22" s="536">
        <v>0.16500000000000001</v>
      </c>
      <c r="Z22" s="537">
        <v>0.16600000000000001</v>
      </c>
      <c r="AA22" s="538">
        <v>0.18899999999999997</v>
      </c>
      <c r="AC22" s="531">
        <v>5470</v>
      </c>
      <c r="AD22" s="532">
        <v>5360</v>
      </c>
      <c r="AE22" s="532">
        <v>5423</v>
      </c>
      <c r="AF22" s="532">
        <v>5445</v>
      </c>
      <c r="AG22" s="532">
        <v>5608</v>
      </c>
      <c r="AH22" s="532">
        <v>6028</v>
      </c>
      <c r="AI22" s="532">
        <v>6386</v>
      </c>
      <c r="AJ22" s="532">
        <v>6640</v>
      </c>
      <c r="AK22" s="532">
        <v>6635</v>
      </c>
      <c r="AL22" s="532">
        <v>6550</v>
      </c>
      <c r="AM22" s="533">
        <v>6844</v>
      </c>
      <c r="AN22" s="539">
        <f>'2011 Population'!M22</f>
        <v>6749</v>
      </c>
    </row>
    <row r="23" spans="1:40">
      <c r="A23" s="529" t="s">
        <v>47</v>
      </c>
      <c r="B23" s="530" t="s">
        <v>628</v>
      </c>
      <c r="C23" s="531">
        <v>1114</v>
      </c>
      <c r="D23" s="532">
        <v>1082</v>
      </c>
      <c r="E23" s="532">
        <v>1233</v>
      </c>
      <c r="F23" s="532">
        <v>1354</v>
      </c>
      <c r="G23" s="532">
        <v>1122</v>
      </c>
      <c r="H23" s="532">
        <v>1357</v>
      </c>
      <c r="I23" s="532">
        <v>1186</v>
      </c>
      <c r="J23" s="532">
        <v>1154</v>
      </c>
      <c r="K23" s="532">
        <v>1262</v>
      </c>
      <c r="L23" s="532">
        <v>1467</v>
      </c>
      <c r="M23" s="533">
        <v>1518</v>
      </c>
      <c r="N23" s="534">
        <v>1755</v>
      </c>
      <c r="P23" s="535">
        <v>0.186</v>
      </c>
      <c r="Q23" s="536">
        <v>0.18300000000000002</v>
      </c>
      <c r="R23" s="536">
        <v>0.20600000000000002</v>
      </c>
      <c r="S23" s="536">
        <v>0.22600000000000001</v>
      </c>
      <c r="T23" s="536">
        <v>0.18899999999999997</v>
      </c>
      <c r="U23" s="536">
        <v>0.23100000000000004</v>
      </c>
      <c r="V23" s="536">
        <v>0.20500000000000002</v>
      </c>
      <c r="W23" s="536">
        <v>0.20300000000000001</v>
      </c>
      <c r="X23" s="536">
        <v>0.22500000000000001</v>
      </c>
      <c r="Y23" s="536">
        <v>0.26100000000000001</v>
      </c>
      <c r="Z23" s="537">
        <v>0.249</v>
      </c>
      <c r="AA23" s="538">
        <v>0.29399999999999998</v>
      </c>
      <c r="AC23" s="531">
        <v>6156</v>
      </c>
      <c r="AD23" s="532">
        <v>6127</v>
      </c>
      <c r="AE23" s="532">
        <v>6060</v>
      </c>
      <c r="AF23" s="532">
        <v>5987</v>
      </c>
      <c r="AG23" s="532">
        <v>5994</v>
      </c>
      <c r="AH23" s="532">
        <v>5926</v>
      </c>
      <c r="AI23" s="532">
        <v>5907</v>
      </c>
      <c r="AJ23" s="532">
        <v>5871</v>
      </c>
      <c r="AK23" s="532">
        <v>5776</v>
      </c>
      <c r="AL23" s="532">
        <v>5707</v>
      </c>
      <c r="AM23" s="533">
        <v>6218</v>
      </c>
      <c r="AN23" s="539">
        <f>'2011 Population'!M23</f>
        <v>6062</v>
      </c>
    </row>
    <row r="24" spans="1:40">
      <c r="A24" s="529" t="s">
        <v>49</v>
      </c>
      <c r="B24" s="530" t="s">
        <v>629</v>
      </c>
      <c r="C24" s="531">
        <v>207</v>
      </c>
      <c r="D24" s="532">
        <v>182</v>
      </c>
      <c r="E24" s="532">
        <v>213</v>
      </c>
      <c r="F24" s="532">
        <v>223</v>
      </c>
      <c r="G24" s="532">
        <v>179</v>
      </c>
      <c r="H24" s="532">
        <v>201</v>
      </c>
      <c r="I24" s="532">
        <v>204</v>
      </c>
      <c r="J24" s="532">
        <v>200</v>
      </c>
      <c r="K24" s="532">
        <v>227</v>
      </c>
      <c r="L24" s="532">
        <v>225</v>
      </c>
      <c r="M24" s="533">
        <v>238</v>
      </c>
      <c r="N24" s="534">
        <v>223</v>
      </c>
      <c r="P24" s="535">
        <v>0.14100000000000001</v>
      </c>
      <c r="Q24" s="536">
        <v>0.126</v>
      </c>
      <c r="R24" s="536">
        <v>0.14699999999999999</v>
      </c>
      <c r="S24" s="536">
        <v>0.15699999999999997</v>
      </c>
      <c r="T24" s="536">
        <v>0.13099999999999998</v>
      </c>
      <c r="U24" s="536">
        <v>0.14900000000000002</v>
      </c>
      <c r="V24" s="536">
        <v>0.152</v>
      </c>
      <c r="W24" s="536">
        <v>0.15000000000000002</v>
      </c>
      <c r="X24" s="536">
        <v>0.16699999999999998</v>
      </c>
      <c r="Y24" s="536">
        <v>0.17200000000000001</v>
      </c>
      <c r="Z24" s="537">
        <v>0.184</v>
      </c>
      <c r="AA24" s="538">
        <v>0.18100000000000002</v>
      </c>
      <c r="AC24" s="531">
        <v>1533</v>
      </c>
      <c r="AD24" s="532">
        <v>1511</v>
      </c>
      <c r="AE24" s="532">
        <v>1482</v>
      </c>
      <c r="AF24" s="532">
        <v>1473</v>
      </c>
      <c r="AG24" s="532">
        <v>1399</v>
      </c>
      <c r="AH24" s="532">
        <v>1369</v>
      </c>
      <c r="AI24" s="532">
        <v>1385</v>
      </c>
      <c r="AJ24" s="532">
        <v>1339</v>
      </c>
      <c r="AK24" s="532">
        <v>1347</v>
      </c>
      <c r="AL24" s="532">
        <v>1324</v>
      </c>
      <c r="AM24" s="533">
        <v>1301</v>
      </c>
      <c r="AN24" s="539">
        <f>'2011 Population'!M24</f>
        <v>1248</v>
      </c>
    </row>
    <row r="25" spans="1:40">
      <c r="A25" s="529" t="s">
        <v>51</v>
      </c>
      <c r="B25" s="530" t="s">
        <v>630</v>
      </c>
      <c r="C25" s="531">
        <v>618</v>
      </c>
      <c r="D25" s="532">
        <v>581</v>
      </c>
      <c r="E25" s="532">
        <v>638</v>
      </c>
      <c r="F25" s="532">
        <v>682</v>
      </c>
      <c r="G25" s="532">
        <v>580</v>
      </c>
      <c r="H25" s="532">
        <v>662</v>
      </c>
      <c r="I25" s="532">
        <v>646</v>
      </c>
      <c r="J25" s="532">
        <v>691</v>
      </c>
      <c r="K25" s="532">
        <v>674</v>
      </c>
      <c r="L25" s="532">
        <v>724</v>
      </c>
      <c r="M25" s="533">
        <v>796</v>
      </c>
      <c r="N25" s="534">
        <v>830</v>
      </c>
      <c r="P25" s="535">
        <v>0.21100000000000002</v>
      </c>
      <c r="Q25" s="536">
        <v>0.2</v>
      </c>
      <c r="R25" s="536">
        <v>0.22</v>
      </c>
      <c r="S25" s="536">
        <v>0.23799999999999999</v>
      </c>
      <c r="T25" s="536">
        <v>0.20300000000000001</v>
      </c>
      <c r="U25" s="536">
        <v>0.23499999999999999</v>
      </c>
      <c r="V25" s="536">
        <v>0.23500000000000001</v>
      </c>
      <c r="W25" s="536">
        <v>0.26100000000000001</v>
      </c>
      <c r="X25" s="536">
        <v>0.25900000000000001</v>
      </c>
      <c r="Y25" s="536">
        <v>0.27199999999999996</v>
      </c>
      <c r="Z25" s="537">
        <v>0.28100000000000003</v>
      </c>
      <c r="AA25" s="538">
        <v>0.30499999999999999</v>
      </c>
      <c r="AC25" s="531">
        <v>3025</v>
      </c>
      <c r="AD25" s="532">
        <v>3059</v>
      </c>
      <c r="AE25" s="532">
        <v>3002</v>
      </c>
      <c r="AF25" s="532">
        <v>2873</v>
      </c>
      <c r="AG25" s="532">
        <v>2881</v>
      </c>
      <c r="AH25" s="532">
        <v>2879</v>
      </c>
      <c r="AI25" s="532">
        <v>2842</v>
      </c>
      <c r="AJ25" s="532">
        <v>2771</v>
      </c>
      <c r="AK25" s="532">
        <v>2774</v>
      </c>
      <c r="AL25" s="532">
        <v>2710</v>
      </c>
      <c r="AM25" s="533">
        <v>2901</v>
      </c>
      <c r="AN25" s="539">
        <f>'2011 Population'!M25</f>
        <v>2769</v>
      </c>
    </row>
    <row r="26" spans="1:40">
      <c r="A26" s="529" t="s">
        <v>57</v>
      </c>
      <c r="B26" s="530" t="s">
        <v>1009</v>
      </c>
      <c r="C26" s="531">
        <v>5095</v>
      </c>
      <c r="D26" s="532">
        <v>4754</v>
      </c>
      <c r="E26" s="532">
        <v>5992</v>
      </c>
      <c r="F26" s="532">
        <v>6928</v>
      </c>
      <c r="G26" s="532">
        <v>6652</v>
      </c>
      <c r="H26" s="532">
        <v>6664</v>
      </c>
      <c r="I26" s="532">
        <v>5829</v>
      </c>
      <c r="J26" s="532">
        <v>6162</v>
      </c>
      <c r="K26" s="532">
        <v>6555</v>
      </c>
      <c r="L26" s="532">
        <v>7447</v>
      </c>
      <c r="M26" s="533">
        <v>7901</v>
      </c>
      <c r="N26" s="534">
        <v>8953</v>
      </c>
      <c r="P26" s="535">
        <v>6.6162592847827204E-2</v>
      </c>
      <c r="Q26" s="536">
        <v>6.1985132760176691E-2</v>
      </c>
      <c r="R26" s="536">
        <v>7.6745253964520699E-2</v>
      </c>
      <c r="S26" s="536">
        <v>8.9098295969368371E-2</v>
      </c>
      <c r="T26" s="536">
        <v>8.4639475052664961E-2</v>
      </c>
      <c r="U26" s="536">
        <v>8.5835080186892287E-2</v>
      </c>
      <c r="V26" s="536">
        <v>7.5312499027605631E-2</v>
      </c>
      <c r="W26" s="536">
        <v>7.7429640998764648E-2</v>
      </c>
      <c r="X26" s="536">
        <v>8.2993030907240153E-2</v>
      </c>
      <c r="Y26" s="536">
        <v>8.8543304157549227E-2</v>
      </c>
      <c r="Z26" s="537">
        <v>9.271632452521289E-2</v>
      </c>
      <c r="AA26" s="538">
        <v>0.10659729250258962</v>
      </c>
      <c r="AC26" s="531">
        <v>77379</v>
      </c>
      <c r="AD26" s="532">
        <v>77816</v>
      </c>
      <c r="AE26" s="532">
        <v>78720</v>
      </c>
      <c r="AF26" s="532">
        <v>79625</v>
      </c>
      <c r="AG26" s="532">
        <v>81055</v>
      </c>
      <c r="AH26" s="532">
        <v>82145</v>
      </c>
      <c r="AI26" s="532">
        <v>83850</v>
      </c>
      <c r="AJ26" s="532">
        <v>84888</v>
      </c>
      <c r="AK26" s="532">
        <v>85286</v>
      </c>
      <c r="AL26" s="532">
        <v>85370</v>
      </c>
      <c r="AM26" s="533">
        <v>86403</v>
      </c>
      <c r="AN26" s="539">
        <f>'2011 Population'!M26</f>
        <v>85524</v>
      </c>
    </row>
    <row r="27" spans="1:40">
      <c r="A27" s="529" t="s">
        <v>59</v>
      </c>
      <c r="B27" s="530" t="s">
        <v>631</v>
      </c>
      <c r="C27" s="531">
        <v>264</v>
      </c>
      <c r="D27" s="532">
        <v>221</v>
      </c>
      <c r="E27" s="532">
        <v>216</v>
      </c>
      <c r="F27" s="532">
        <v>250</v>
      </c>
      <c r="G27" s="532">
        <v>223</v>
      </c>
      <c r="H27" s="532">
        <v>238</v>
      </c>
      <c r="I27" s="532">
        <v>217</v>
      </c>
      <c r="J27" s="532">
        <v>222</v>
      </c>
      <c r="K27" s="532">
        <v>278</v>
      </c>
      <c r="L27" s="532">
        <v>286</v>
      </c>
      <c r="M27" s="533">
        <v>316</v>
      </c>
      <c r="N27" s="534">
        <v>318</v>
      </c>
      <c r="P27" s="535">
        <v>0.09</v>
      </c>
      <c r="Q27" s="536">
        <v>7.4999999999999997E-2</v>
      </c>
      <c r="R27" s="536">
        <v>7.1999999999999995E-2</v>
      </c>
      <c r="S27" s="536">
        <v>8.4000000000000005E-2</v>
      </c>
      <c r="T27" s="536">
        <v>7.2999999999999995E-2</v>
      </c>
      <c r="U27" s="536">
        <v>7.9000000000000001E-2</v>
      </c>
      <c r="V27" s="536">
        <v>7.3000000000000009E-2</v>
      </c>
      <c r="W27" s="536">
        <v>7.3999999999999996E-2</v>
      </c>
      <c r="X27" s="536">
        <v>9.4E-2</v>
      </c>
      <c r="Y27" s="536">
        <v>9.4E-2</v>
      </c>
      <c r="Z27" s="537">
        <v>0.10099999999999999</v>
      </c>
      <c r="AA27" s="538">
        <v>0.10300000000000001</v>
      </c>
      <c r="AC27" s="531">
        <v>2963</v>
      </c>
      <c r="AD27" s="532">
        <v>2988</v>
      </c>
      <c r="AE27" s="532">
        <v>3043</v>
      </c>
      <c r="AF27" s="532">
        <v>3011</v>
      </c>
      <c r="AG27" s="532">
        <v>3080</v>
      </c>
      <c r="AH27" s="532">
        <v>3148</v>
      </c>
      <c r="AI27" s="532">
        <v>3173</v>
      </c>
      <c r="AJ27" s="532">
        <v>3187</v>
      </c>
      <c r="AK27" s="532">
        <v>3173</v>
      </c>
      <c r="AL27" s="532">
        <v>3090</v>
      </c>
      <c r="AM27" s="533">
        <v>3221</v>
      </c>
      <c r="AN27" s="539">
        <f>'2011 Population'!M27</f>
        <v>3169</v>
      </c>
    </row>
    <row r="28" spans="1:40">
      <c r="A28" s="529" t="s">
        <v>61</v>
      </c>
      <c r="B28" s="530" t="s">
        <v>632</v>
      </c>
      <c r="C28" s="531">
        <v>146</v>
      </c>
      <c r="D28" s="532">
        <v>126</v>
      </c>
      <c r="E28" s="532">
        <v>138</v>
      </c>
      <c r="F28" s="532">
        <v>170</v>
      </c>
      <c r="G28" s="532">
        <v>146</v>
      </c>
      <c r="H28" s="532">
        <v>173</v>
      </c>
      <c r="I28" s="532">
        <v>162</v>
      </c>
      <c r="J28" s="532">
        <v>159</v>
      </c>
      <c r="K28" s="532">
        <v>172</v>
      </c>
      <c r="L28" s="532">
        <v>183</v>
      </c>
      <c r="M28" s="533">
        <v>197</v>
      </c>
      <c r="N28" s="534">
        <v>214</v>
      </c>
      <c r="P28" s="535">
        <v>0.127</v>
      </c>
      <c r="Q28" s="536">
        <v>0.10900000000000001</v>
      </c>
      <c r="R28" s="536">
        <v>0.11800000000000001</v>
      </c>
      <c r="S28" s="536">
        <v>0.14800000000000002</v>
      </c>
      <c r="T28" s="536">
        <v>0.127</v>
      </c>
      <c r="U28" s="536">
        <v>0.15300000000000002</v>
      </c>
      <c r="V28" s="536">
        <v>0.15</v>
      </c>
      <c r="W28" s="536">
        <v>0.14900000000000002</v>
      </c>
      <c r="X28" s="536">
        <v>0.17100000000000001</v>
      </c>
      <c r="Y28" s="536">
        <v>0.185</v>
      </c>
      <c r="Z28" s="537">
        <v>0.17899999999999999</v>
      </c>
      <c r="AA28" s="538">
        <v>0.19899999999999998</v>
      </c>
      <c r="AC28" s="531">
        <v>1203</v>
      </c>
      <c r="AD28" s="532">
        <v>1171</v>
      </c>
      <c r="AE28" s="532">
        <v>1173</v>
      </c>
      <c r="AF28" s="532">
        <v>1159</v>
      </c>
      <c r="AG28" s="532">
        <v>1167</v>
      </c>
      <c r="AH28" s="532">
        <v>1141</v>
      </c>
      <c r="AI28" s="532">
        <v>1125</v>
      </c>
      <c r="AJ28" s="532">
        <v>1109</v>
      </c>
      <c r="AK28" s="532">
        <v>1060</v>
      </c>
      <c r="AL28" s="532">
        <v>1016</v>
      </c>
      <c r="AM28" s="533">
        <v>1111</v>
      </c>
      <c r="AN28" s="539">
        <f>'2011 Population'!M28</f>
        <v>1096</v>
      </c>
    </row>
    <row r="29" spans="1:40">
      <c r="A29" s="529" t="s">
        <v>63</v>
      </c>
      <c r="B29" s="530" t="s">
        <v>633</v>
      </c>
      <c r="C29" s="531">
        <v>1068</v>
      </c>
      <c r="D29" s="532">
        <v>979</v>
      </c>
      <c r="E29" s="532">
        <v>1066</v>
      </c>
      <c r="F29" s="532">
        <v>1169</v>
      </c>
      <c r="G29" s="532">
        <v>1059</v>
      </c>
      <c r="H29" s="532">
        <v>1114</v>
      </c>
      <c r="I29" s="532">
        <v>1025</v>
      </c>
      <c r="J29" s="532">
        <v>1194</v>
      </c>
      <c r="K29" s="532">
        <v>1230</v>
      </c>
      <c r="L29" s="532">
        <v>1639</v>
      </c>
      <c r="M29" s="533">
        <v>1746</v>
      </c>
      <c r="N29" s="534">
        <v>1926</v>
      </c>
      <c r="P29" s="535">
        <v>0.122</v>
      </c>
      <c r="Q29" s="536">
        <v>0.11</v>
      </c>
      <c r="R29" s="536">
        <v>0.114</v>
      </c>
      <c r="S29" s="536">
        <v>0.121</v>
      </c>
      <c r="T29" s="536">
        <v>0.10400000000000001</v>
      </c>
      <c r="U29" s="536">
        <v>0.111</v>
      </c>
      <c r="V29" s="536">
        <v>0.10100000000000001</v>
      </c>
      <c r="W29" s="536">
        <v>0.10800000000000001</v>
      </c>
      <c r="X29" s="536">
        <v>0.11099999999999999</v>
      </c>
      <c r="Y29" s="536">
        <v>0.14000000000000001</v>
      </c>
      <c r="Z29" s="537">
        <v>0.14800000000000002</v>
      </c>
      <c r="AA29" s="538">
        <v>0.16399999999999998</v>
      </c>
      <c r="AC29" s="531">
        <v>8848</v>
      </c>
      <c r="AD29" s="532">
        <v>8970</v>
      </c>
      <c r="AE29" s="532">
        <v>9285</v>
      </c>
      <c r="AF29" s="532">
        <v>9665</v>
      </c>
      <c r="AG29" s="532">
        <v>10120</v>
      </c>
      <c r="AH29" s="532">
        <v>10778</v>
      </c>
      <c r="AI29" s="532">
        <v>11514</v>
      </c>
      <c r="AJ29" s="532">
        <v>12066</v>
      </c>
      <c r="AK29" s="532">
        <v>12085</v>
      </c>
      <c r="AL29" s="532">
        <v>12030</v>
      </c>
      <c r="AM29" s="533">
        <v>12085</v>
      </c>
      <c r="AN29" s="539">
        <f>'2011 Population'!M29</f>
        <v>12053</v>
      </c>
    </row>
    <row r="30" spans="1:40">
      <c r="A30" s="529" t="s">
        <v>65</v>
      </c>
      <c r="B30" s="530" t="s">
        <v>634</v>
      </c>
      <c r="C30" s="531">
        <v>422</v>
      </c>
      <c r="D30" s="532">
        <v>395</v>
      </c>
      <c r="E30" s="532">
        <v>445</v>
      </c>
      <c r="F30" s="532">
        <v>479</v>
      </c>
      <c r="G30" s="532">
        <v>434</v>
      </c>
      <c r="H30" s="532">
        <v>532</v>
      </c>
      <c r="I30" s="532">
        <v>466</v>
      </c>
      <c r="J30" s="532">
        <v>473</v>
      </c>
      <c r="K30" s="532">
        <v>493</v>
      </c>
      <c r="L30" s="532">
        <v>529</v>
      </c>
      <c r="M30" s="533">
        <v>588</v>
      </c>
      <c r="N30" s="534">
        <v>598</v>
      </c>
      <c r="P30" s="535">
        <v>0.19899999999999995</v>
      </c>
      <c r="Q30" s="536">
        <v>0.18500000000000003</v>
      </c>
      <c r="R30" s="536">
        <v>0.20199999999999999</v>
      </c>
      <c r="S30" s="536">
        <v>0.222</v>
      </c>
      <c r="T30" s="536">
        <v>0.19800000000000001</v>
      </c>
      <c r="U30" s="536">
        <v>0.24600000000000002</v>
      </c>
      <c r="V30" s="536">
        <v>0.22399999999999998</v>
      </c>
      <c r="W30" s="536">
        <v>0.217</v>
      </c>
      <c r="X30" s="536">
        <v>0.22899999999999995</v>
      </c>
      <c r="Y30" s="536">
        <v>0.24899999999999997</v>
      </c>
      <c r="Z30" s="537">
        <v>0.26</v>
      </c>
      <c r="AA30" s="538">
        <v>0.27100000000000002</v>
      </c>
      <c r="AC30" s="531">
        <v>2223</v>
      </c>
      <c r="AD30" s="532">
        <v>2194</v>
      </c>
      <c r="AE30" s="532">
        <v>2180</v>
      </c>
      <c r="AF30" s="532">
        <v>2179</v>
      </c>
      <c r="AG30" s="532">
        <v>2142</v>
      </c>
      <c r="AH30" s="532">
        <v>2203</v>
      </c>
      <c r="AI30" s="532">
        <v>2179</v>
      </c>
      <c r="AJ30" s="532">
        <v>2204</v>
      </c>
      <c r="AK30" s="532">
        <v>2184</v>
      </c>
      <c r="AL30" s="532">
        <v>2155</v>
      </c>
      <c r="AM30" s="533">
        <v>2287</v>
      </c>
      <c r="AN30" s="539">
        <f>'2011 Population'!M30</f>
        <v>2228</v>
      </c>
    </row>
    <row r="31" spans="1:40">
      <c r="A31" s="529" t="s">
        <v>69</v>
      </c>
      <c r="B31" s="530" t="s">
        <v>635</v>
      </c>
      <c r="C31" s="531">
        <v>889</v>
      </c>
      <c r="D31" s="532">
        <v>759</v>
      </c>
      <c r="E31" s="532">
        <v>816</v>
      </c>
      <c r="F31" s="532">
        <v>903</v>
      </c>
      <c r="G31" s="532">
        <v>803</v>
      </c>
      <c r="H31" s="532">
        <v>982</v>
      </c>
      <c r="I31" s="532">
        <v>808</v>
      </c>
      <c r="J31" s="532">
        <v>866</v>
      </c>
      <c r="K31" s="532">
        <v>901</v>
      </c>
      <c r="L31" s="532">
        <v>874</v>
      </c>
      <c r="M31" s="533">
        <v>874</v>
      </c>
      <c r="N31" s="534">
        <v>859</v>
      </c>
      <c r="P31" s="535">
        <v>0.26</v>
      </c>
      <c r="Q31" s="536">
        <v>0.22699999999999998</v>
      </c>
      <c r="R31" s="536">
        <v>0.246</v>
      </c>
      <c r="S31" s="536">
        <v>0.27300000000000002</v>
      </c>
      <c r="T31" s="536">
        <v>0.24199999999999997</v>
      </c>
      <c r="U31" s="536">
        <v>0.3</v>
      </c>
      <c r="V31" s="536">
        <v>0.25600000000000001</v>
      </c>
      <c r="W31" s="536">
        <v>0.27899999999999997</v>
      </c>
      <c r="X31" s="536">
        <v>0.28999999999999998</v>
      </c>
      <c r="Y31" s="536">
        <v>0.27</v>
      </c>
      <c r="Z31" s="537">
        <v>0.26600000000000001</v>
      </c>
      <c r="AA31" s="538">
        <v>0.26899999999999996</v>
      </c>
      <c r="AC31" s="531">
        <v>3585</v>
      </c>
      <c r="AD31" s="532">
        <v>3503</v>
      </c>
      <c r="AE31" s="532">
        <v>3457</v>
      </c>
      <c r="AF31" s="532">
        <v>3387</v>
      </c>
      <c r="AG31" s="532">
        <v>3373</v>
      </c>
      <c r="AH31" s="532">
        <v>3331</v>
      </c>
      <c r="AI31" s="532">
        <v>3303</v>
      </c>
      <c r="AJ31" s="532">
        <v>3270</v>
      </c>
      <c r="AK31" s="532">
        <v>3345</v>
      </c>
      <c r="AL31" s="532">
        <v>3274</v>
      </c>
      <c r="AM31" s="533">
        <v>3323</v>
      </c>
      <c r="AN31" s="539">
        <f>'2011 Population'!M31</f>
        <v>3221</v>
      </c>
    </row>
    <row r="32" spans="1:40">
      <c r="A32" s="529" t="s">
        <v>71</v>
      </c>
      <c r="B32" s="530" t="s">
        <v>636</v>
      </c>
      <c r="C32" s="531">
        <v>739</v>
      </c>
      <c r="D32" s="532">
        <v>635</v>
      </c>
      <c r="E32" s="532">
        <v>727</v>
      </c>
      <c r="F32" s="532">
        <v>863</v>
      </c>
      <c r="G32" s="532">
        <v>763</v>
      </c>
      <c r="H32" s="532">
        <v>779</v>
      </c>
      <c r="I32" s="532">
        <v>847</v>
      </c>
      <c r="J32" s="532">
        <v>805</v>
      </c>
      <c r="K32" s="532">
        <v>842</v>
      </c>
      <c r="L32" s="532">
        <v>871</v>
      </c>
      <c r="M32" s="533">
        <v>1043</v>
      </c>
      <c r="N32" s="534">
        <v>1141</v>
      </c>
      <c r="P32" s="535">
        <v>0.129</v>
      </c>
      <c r="Q32" s="536">
        <v>0.11199999999999999</v>
      </c>
      <c r="R32" s="536">
        <v>0.127</v>
      </c>
      <c r="S32" s="536">
        <v>0.151</v>
      </c>
      <c r="T32" s="536">
        <v>0.13499999999999998</v>
      </c>
      <c r="U32" s="536">
        <v>0.13900000000000001</v>
      </c>
      <c r="V32" s="536">
        <v>0.152</v>
      </c>
      <c r="W32" s="536">
        <v>0.14199999999999999</v>
      </c>
      <c r="X32" s="536">
        <v>0.14900000000000002</v>
      </c>
      <c r="Y32" s="536">
        <v>0.151</v>
      </c>
      <c r="Z32" s="537">
        <v>0.16600000000000001</v>
      </c>
      <c r="AA32" s="538">
        <v>0.18899999999999997</v>
      </c>
      <c r="AC32" s="531">
        <v>5899</v>
      </c>
      <c r="AD32" s="532">
        <v>5809</v>
      </c>
      <c r="AE32" s="532">
        <v>5835</v>
      </c>
      <c r="AF32" s="532">
        <v>5844</v>
      </c>
      <c r="AG32" s="532">
        <v>5778</v>
      </c>
      <c r="AH32" s="532">
        <v>5801</v>
      </c>
      <c r="AI32" s="532">
        <v>5826</v>
      </c>
      <c r="AJ32" s="532">
        <v>5854</v>
      </c>
      <c r="AK32" s="532">
        <v>5871</v>
      </c>
      <c r="AL32" s="532">
        <v>5843</v>
      </c>
      <c r="AM32" s="533">
        <v>6379</v>
      </c>
      <c r="AN32" s="539">
        <f>'2011 Population'!M32</f>
        <v>6118</v>
      </c>
    </row>
    <row r="33" spans="1:40">
      <c r="A33" s="529" t="s">
        <v>73</v>
      </c>
      <c r="B33" s="530" t="s">
        <v>637</v>
      </c>
      <c r="C33" s="531">
        <v>412</v>
      </c>
      <c r="D33" s="532">
        <v>344</v>
      </c>
      <c r="E33" s="532">
        <v>429</v>
      </c>
      <c r="F33" s="532">
        <v>475</v>
      </c>
      <c r="G33" s="532">
        <v>401</v>
      </c>
      <c r="H33" s="532">
        <v>463</v>
      </c>
      <c r="I33" s="532">
        <v>431</v>
      </c>
      <c r="J33" s="532">
        <v>430</v>
      </c>
      <c r="K33" s="532">
        <v>472</v>
      </c>
      <c r="L33" s="532">
        <v>511</v>
      </c>
      <c r="M33" s="533">
        <v>562</v>
      </c>
      <c r="N33" s="534">
        <v>581</v>
      </c>
      <c r="P33" s="535">
        <v>0.18300000000000002</v>
      </c>
      <c r="Q33" s="536">
        <v>0.153</v>
      </c>
      <c r="R33" s="536">
        <v>0.188</v>
      </c>
      <c r="S33" s="536">
        <v>0.20599999999999999</v>
      </c>
      <c r="T33" s="536">
        <v>0.17799999999999999</v>
      </c>
      <c r="U33" s="536">
        <v>0.20799999999999999</v>
      </c>
      <c r="V33" s="536">
        <v>0.19299999999999998</v>
      </c>
      <c r="W33" s="536">
        <v>0.18500000000000003</v>
      </c>
      <c r="X33" s="536">
        <v>0.20499999999999999</v>
      </c>
      <c r="Y33" s="536">
        <v>0.217</v>
      </c>
      <c r="Z33" s="537">
        <v>0.23600000000000002</v>
      </c>
      <c r="AA33" s="538">
        <v>0.247</v>
      </c>
      <c r="AC33" s="531">
        <v>2291</v>
      </c>
      <c r="AD33" s="532">
        <v>2294</v>
      </c>
      <c r="AE33" s="532">
        <v>2281</v>
      </c>
      <c r="AF33" s="532">
        <v>2320</v>
      </c>
      <c r="AG33" s="532">
        <v>2258</v>
      </c>
      <c r="AH33" s="532">
        <v>2298</v>
      </c>
      <c r="AI33" s="532">
        <v>2293</v>
      </c>
      <c r="AJ33" s="532">
        <v>2329</v>
      </c>
      <c r="AK33" s="532">
        <v>2369</v>
      </c>
      <c r="AL33" s="532">
        <v>2408</v>
      </c>
      <c r="AM33" s="533">
        <v>2451</v>
      </c>
      <c r="AN33" s="539">
        <f>'2011 Population'!M33</f>
        <v>2425</v>
      </c>
    </row>
    <row r="34" spans="1:40">
      <c r="A34" s="529" t="s">
        <v>75</v>
      </c>
      <c r="B34" s="530" t="s">
        <v>803</v>
      </c>
      <c r="C34" s="531">
        <v>14781</v>
      </c>
      <c r="D34" s="532">
        <v>14104</v>
      </c>
      <c r="E34" s="532">
        <v>15917</v>
      </c>
      <c r="F34" s="532">
        <v>18019</v>
      </c>
      <c r="G34" s="532">
        <v>16697</v>
      </c>
      <c r="H34" s="532">
        <v>16645</v>
      </c>
      <c r="I34" s="532">
        <v>14925</v>
      </c>
      <c r="J34" s="532">
        <v>15368</v>
      </c>
      <c r="K34" s="532">
        <v>16089</v>
      </c>
      <c r="L34" s="532">
        <v>17979</v>
      </c>
      <c r="M34" s="533">
        <v>19599</v>
      </c>
      <c r="N34" s="534">
        <v>24059</v>
      </c>
      <c r="P34" s="535">
        <v>5.6980692580757518E-2</v>
      </c>
      <c r="Q34" s="536">
        <v>5.4791857402856935E-2</v>
      </c>
      <c r="R34" s="536">
        <v>6.0754586948858096E-2</v>
      </c>
      <c r="S34" s="536">
        <v>6.8447406952050621E-2</v>
      </c>
      <c r="T34" s="536">
        <v>6.3557765840483643E-2</v>
      </c>
      <c r="U34" s="536">
        <v>6.3590983205997847E-2</v>
      </c>
      <c r="V34" s="536">
        <v>5.775728967223534E-2</v>
      </c>
      <c r="W34" s="536">
        <v>6.1628252698446059E-2</v>
      </c>
      <c r="X34" s="536">
        <v>6.3773625796764905E-2</v>
      </c>
      <c r="Y34" s="536">
        <v>6.8738335644825926E-2</v>
      </c>
      <c r="Z34" s="537">
        <v>7.2617408043070833E-2</v>
      </c>
      <c r="AA34" s="538">
        <v>8.9207187298385601E-2</v>
      </c>
      <c r="AC34" s="531">
        <v>253788</v>
      </c>
      <c r="AD34" s="532">
        <v>256378</v>
      </c>
      <c r="AE34" s="532">
        <v>257772</v>
      </c>
      <c r="AF34" s="532">
        <v>258143</v>
      </c>
      <c r="AG34" s="532">
        <v>258702</v>
      </c>
      <c r="AH34" s="532">
        <v>259490</v>
      </c>
      <c r="AI34" s="532">
        <v>257609</v>
      </c>
      <c r="AJ34" s="532">
        <v>258348</v>
      </c>
      <c r="AK34" s="532">
        <v>261554</v>
      </c>
      <c r="AL34" s="532">
        <v>265965</v>
      </c>
      <c r="AM34" s="533">
        <v>270287</v>
      </c>
      <c r="AN34" s="539">
        <f>'2011 Population'!M34</f>
        <v>272968</v>
      </c>
    </row>
    <row r="35" spans="1:40">
      <c r="A35" s="529" t="s">
        <v>77</v>
      </c>
      <c r="B35" s="530" t="s">
        <v>638</v>
      </c>
      <c r="C35" s="531">
        <v>975</v>
      </c>
      <c r="D35" s="532">
        <v>814</v>
      </c>
      <c r="E35" s="532">
        <v>945</v>
      </c>
      <c r="F35" s="532">
        <v>1101</v>
      </c>
      <c r="G35" s="532">
        <v>1017</v>
      </c>
      <c r="H35" s="532">
        <v>948</v>
      </c>
      <c r="I35" s="532">
        <v>917</v>
      </c>
      <c r="J35" s="532">
        <v>966</v>
      </c>
      <c r="K35" s="532">
        <v>1162</v>
      </c>
      <c r="L35" s="532">
        <v>1350</v>
      </c>
      <c r="M35" s="533">
        <v>1480</v>
      </c>
      <c r="N35" s="534">
        <v>1421</v>
      </c>
      <c r="P35" s="535">
        <v>6.5000000000000002E-2</v>
      </c>
      <c r="Q35" s="536">
        <v>5.4000000000000006E-2</v>
      </c>
      <c r="R35" s="536">
        <v>6.0999999999999999E-2</v>
      </c>
      <c r="S35" s="536">
        <v>6.9999999999999993E-2</v>
      </c>
      <c r="T35" s="536">
        <v>6.4000000000000001E-2</v>
      </c>
      <c r="U35" s="536">
        <v>0.06</v>
      </c>
      <c r="V35" s="536">
        <v>5.9000000000000004E-2</v>
      </c>
      <c r="W35" s="536">
        <v>0.06</v>
      </c>
      <c r="X35" s="536">
        <v>7.2999999999999995E-2</v>
      </c>
      <c r="Y35" s="536">
        <v>0.08</v>
      </c>
      <c r="Z35" s="537">
        <v>9.0999999999999998E-2</v>
      </c>
      <c r="AA35" s="538">
        <v>8.8000000000000009E-2</v>
      </c>
      <c r="AC35" s="531">
        <v>14878</v>
      </c>
      <c r="AD35" s="532">
        <v>15196</v>
      </c>
      <c r="AE35" s="532">
        <v>15676</v>
      </c>
      <c r="AF35" s="532">
        <v>15936</v>
      </c>
      <c r="AG35" s="532">
        <v>16492</v>
      </c>
      <c r="AH35" s="532">
        <v>16935</v>
      </c>
      <c r="AI35" s="532">
        <v>17192</v>
      </c>
      <c r="AJ35" s="532">
        <v>17147</v>
      </c>
      <c r="AK35" s="532">
        <v>17136</v>
      </c>
      <c r="AL35" s="532">
        <v>17083</v>
      </c>
      <c r="AM35" s="533">
        <v>16445</v>
      </c>
      <c r="AN35" s="539">
        <f>'2011 Population'!M35</f>
        <v>16288</v>
      </c>
    </row>
    <row r="36" spans="1:40">
      <c r="A36" s="529" t="s">
        <v>79</v>
      </c>
      <c r="B36" s="530" t="s">
        <v>639</v>
      </c>
      <c r="C36" s="531">
        <v>442</v>
      </c>
      <c r="D36" s="532">
        <v>397</v>
      </c>
      <c r="E36" s="532">
        <v>451</v>
      </c>
      <c r="F36" s="532">
        <v>493</v>
      </c>
      <c r="G36" s="532">
        <v>443</v>
      </c>
      <c r="H36" s="532">
        <v>492</v>
      </c>
      <c r="I36" s="532">
        <v>568</v>
      </c>
      <c r="J36" s="532">
        <v>487</v>
      </c>
      <c r="K36" s="532">
        <v>511</v>
      </c>
      <c r="L36" s="532">
        <v>591</v>
      </c>
      <c r="M36" s="533">
        <v>650</v>
      </c>
      <c r="N36" s="534">
        <v>682</v>
      </c>
      <c r="P36" s="535">
        <v>0.14499999999999999</v>
      </c>
      <c r="Q36" s="536">
        <v>0.13</v>
      </c>
      <c r="R36" s="536">
        <v>0.14800000000000002</v>
      </c>
      <c r="S36" s="536">
        <v>0.16</v>
      </c>
      <c r="T36" s="536">
        <v>0.14199999999999999</v>
      </c>
      <c r="U36" s="536">
        <v>0.16</v>
      </c>
      <c r="V36" s="536">
        <v>0.187</v>
      </c>
      <c r="W36" s="536">
        <v>0.16</v>
      </c>
      <c r="X36" s="536">
        <v>0.16699999999999998</v>
      </c>
      <c r="Y36" s="536">
        <v>0.192</v>
      </c>
      <c r="Z36" s="537">
        <v>0.19600000000000001</v>
      </c>
      <c r="AA36" s="538">
        <v>0.20899999999999999</v>
      </c>
      <c r="AC36" s="531">
        <v>3088</v>
      </c>
      <c r="AD36" s="532">
        <v>3108</v>
      </c>
      <c r="AE36" s="532">
        <v>3115</v>
      </c>
      <c r="AF36" s="532">
        <v>3104</v>
      </c>
      <c r="AG36" s="532">
        <v>3136</v>
      </c>
      <c r="AH36" s="532">
        <v>3184</v>
      </c>
      <c r="AI36" s="532">
        <v>3135</v>
      </c>
      <c r="AJ36" s="532">
        <v>3120</v>
      </c>
      <c r="AK36" s="532">
        <v>3148</v>
      </c>
      <c r="AL36" s="532">
        <v>3116</v>
      </c>
      <c r="AM36" s="533">
        <v>3347</v>
      </c>
      <c r="AN36" s="539">
        <f>'2011 Population'!M36</f>
        <v>3303</v>
      </c>
    </row>
    <row r="37" spans="1:40">
      <c r="A37" s="529" t="s">
        <v>81</v>
      </c>
      <c r="B37" s="530" t="s">
        <v>640</v>
      </c>
      <c r="C37" s="531">
        <v>438</v>
      </c>
      <c r="D37" s="532">
        <v>356</v>
      </c>
      <c r="E37" s="532">
        <v>412</v>
      </c>
      <c r="F37" s="532">
        <v>465</v>
      </c>
      <c r="G37" s="532">
        <v>427</v>
      </c>
      <c r="H37" s="532">
        <v>615</v>
      </c>
      <c r="I37" s="532">
        <v>435</v>
      </c>
      <c r="J37" s="532">
        <v>468</v>
      </c>
      <c r="K37" s="532">
        <v>491</v>
      </c>
      <c r="L37" s="532">
        <v>525</v>
      </c>
      <c r="M37" s="533">
        <v>540</v>
      </c>
      <c r="N37" s="534">
        <v>589</v>
      </c>
      <c r="P37" s="535">
        <v>0.09</v>
      </c>
      <c r="Q37" s="536">
        <v>7.0000000000000007E-2</v>
      </c>
      <c r="R37" s="536">
        <v>7.8E-2</v>
      </c>
      <c r="S37" s="536">
        <v>8.4000000000000005E-2</v>
      </c>
      <c r="T37" s="536">
        <v>7.4999999999999997E-2</v>
      </c>
      <c r="U37" s="536">
        <v>0.109</v>
      </c>
      <c r="V37" s="536">
        <v>7.6999999999999999E-2</v>
      </c>
      <c r="W37" s="536">
        <v>7.9000000000000001E-2</v>
      </c>
      <c r="X37" s="536">
        <v>8.3000000000000004E-2</v>
      </c>
      <c r="Y37" s="536">
        <v>9.0999999999999998E-2</v>
      </c>
      <c r="Z37" s="537">
        <v>9.1999999999999985E-2</v>
      </c>
      <c r="AA37" s="538">
        <v>0.10199999999999999</v>
      </c>
      <c r="AC37" s="531">
        <v>4749</v>
      </c>
      <c r="AD37" s="532">
        <v>4917</v>
      </c>
      <c r="AE37" s="532">
        <v>5103</v>
      </c>
      <c r="AF37" s="532">
        <v>5310</v>
      </c>
      <c r="AG37" s="532">
        <v>5492</v>
      </c>
      <c r="AH37" s="532">
        <v>5687</v>
      </c>
      <c r="AI37" s="532">
        <v>5767</v>
      </c>
      <c r="AJ37" s="532">
        <v>5838</v>
      </c>
      <c r="AK37" s="532">
        <v>5914</v>
      </c>
      <c r="AL37" s="532">
        <v>5845</v>
      </c>
      <c r="AM37" s="533">
        <v>5918</v>
      </c>
      <c r="AN37" s="539">
        <f>'2011 Population'!M37</f>
        <v>5859</v>
      </c>
    </row>
    <row r="38" spans="1:40">
      <c r="A38" s="529" t="s">
        <v>85</v>
      </c>
      <c r="B38" s="530" t="s">
        <v>86</v>
      </c>
      <c r="C38" s="531">
        <v>1545</v>
      </c>
      <c r="D38" s="532">
        <v>1497</v>
      </c>
      <c r="E38" s="532">
        <v>1809</v>
      </c>
      <c r="F38" s="532">
        <v>1906</v>
      </c>
      <c r="G38" s="532">
        <v>1633</v>
      </c>
      <c r="H38" s="532">
        <v>1690</v>
      </c>
      <c r="I38" s="532">
        <v>1647</v>
      </c>
      <c r="J38" s="532">
        <v>1818</v>
      </c>
      <c r="K38" s="532">
        <v>1945</v>
      </c>
      <c r="L38" s="532">
        <v>2267</v>
      </c>
      <c r="M38" s="533">
        <v>2478</v>
      </c>
      <c r="N38" s="534">
        <v>2460</v>
      </c>
      <c r="P38" s="535">
        <v>0.14800000000000002</v>
      </c>
      <c r="Q38" s="536">
        <v>0.14300000000000002</v>
      </c>
      <c r="R38" s="536">
        <v>0.16999999999999998</v>
      </c>
      <c r="S38" s="536">
        <v>0.18</v>
      </c>
      <c r="T38" s="536">
        <v>0.154</v>
      </c>
      <c r="U38" s="536">
        <v>0.161</v>
      </c>
      <c r="V38" s="536">
        <v>0.159</v>
      </c>
      <c r="W38" s="536">
        <v>0.17300000000000001</v>
      </c>
      <c r="X38" s="536">
        <v>0.18699999999999997</v>
      </c>
      <c r="Y38" s="536">
        <v>0.21699999999999997</v>
      </c>
      <c r="Z38" s="537">
        <v>0.21600000000000003</v>
      </c>
      <c r="AA38" s="538">
        <v>0.217</v>
      </c>
      <c r="AC38" s="531">
        <v>10507</v>
      </c>
      <c r="AD38" s="532">
        <v>10554</v>
      </c>
      <c r="AE38" s="532">
        <v>10552</v>
      </c>
      <c r="AF38" s="532">
        <v>10536</v>
      </c>
      <c r="AG38" s="532">
        <v>10566</v>
      </c>
      <c r="AH38" s="532">
        <v>10588</v>
      </c>
      <c r="AI38" s="532">
        <v>10615</v>
      </c>
      <c r="AJ38" s="532">
        <v>10746</v>
      </c>
      <c r="AK38" s="532">
        <v>10712</v>
      </c>
      <c r="AL38" s="532">
        <v>10635</v>
      </c>
      <c r="AM38" s="533">
        <v>11677</v>
      </c>
      <c r="AN38" s="539">
        <f>'2011 Population'!M38</f>
        <v>11523</v>
      </c>
    </row>
    <row r="39" spans="1:40">
      <c r="A39" s="529" t="s">
        <v>87</v>
      </c>
      <c r="B39" s="530" t="s">
        <v>641</v>
      </c>
      <c r="C39" s="531">
        <v>1306</v>
      </c>
      <c r="D39" s="532">
        <v>1168</v>
      </c>
      <c r="E39" s="532">
        <v>1295</v>
      </c>
      <c r="F39" s="532">
        <v>1490</v>
      </c>
      <c r="G39" s="532">
        <v>1347</v>
      </c>
      <c r="H39" s="532">
        <v>1314</v>
      </c>
      <c r="I39" s="532">
        <v>1385</v>
      </c>
      <c r="J39" s="532">
        <v>1559</v>
      </c>
      <c r="K39" s="532">
        <v>1733</v>
      </c>
      <c r="L39" s="532">
        <v>2218</v>
      </c>
      <c r="M39" s="533">
        <v>2140</v>
      </c>
      <c r="N39" s="534">
        <v>2396</v>
      </c>
      <c r="P39" s="535">
        <v>8.4000000000000005E-2</v>
      </c>
      <c r="Q39" s="536">
        <v>7.4999999999999997E-2</v>
      </c>
      <c r="R39" s="536">
        <v>8.1000000000000003E-2</v>
      </c>
      <c r="S39" s="536">
        <v>9.1999999999999998E-2</v>
      </c>
      <c r="T39" s="536">
        <v>0.08</v>
      </c>
      <c r="U39" s="536">
        <v>7.9000000000000015E-2</v>
      </c>
      <c r="V39" s="536">
        <v>8.3000000000000004E-2</v>
      </c>
      <c r="W39" s="536">
        <v>8.8000000000000009E-2</v>
      </c>
      <c r="X39" s="536">
        <v>9.8000000000000004E-2</v>
      </c>
      <c r="Y39" s="536">
        <v>0.11800000000000001</v>
      </c>
      <c r="Z39" s="537">
        <v>0.10999999999999999</v>
      </c>
      <c r="AA39" s="538">
        <v>0.124</v>
      </c>
      <c r="AC39" s="531">
        <v>15665</v>
      </c>
      <c r="AD39" s="532">
        <v>16006</v>
      </c>
      <c r="AE39" s="532">
        <v>16343</v>
      </c>
      <c r="AF39" s="532">
        <v>16801</v>
      </c>
      <c r="AG39" s="532">
        <v>17271</v>
      </c>
      <c r="AH39" s="532">
        <v>17834</v>
      </c>
      <c r="AI39" s="532">
        <v>18437</v>
      </c>
      <c r="AJ39" s="532">
        <v>19039</v>
      </c>
      <c r="AK39" s="532">
        <v>19012</v>
      </c>
      <c r="AL39" s="532">
        <v>19213</v>
      </c>
      <c r="AM39" s="533">
        <v>19675</v>
      </c>
      <c r="AN39" s="539">
        <f>'2011 Population'!M39</f>
        <v>19667</v>
      </c>
    </row>
    <row r="40" spans="1:40">
      <c r="A40" s="529" t="s">
        <v>93</v>
      </c>
      <c r="B40" s="530" t="s">
        <v>642</v>
      </c>
      <c r="C40" s="531">
        <v>492</v>
      </c>
      <c r="D40" s="532">
        <v>455</v>
      </c>
      <c r="E40" s="532">
        <v>550</v>
      </c>
      <c r="F40" s="532">
        <v>615</v>
      </c>
      <c r="G40" s="532">
        <v>525</v>
      </c>
      <c r="H40" s="532">
        <v>600</v>
      </c>
      <c r="I40" s="532">
        <v>561</v>
      </c>
      <c r="J40" s="532">
        <v>524</v>
      </c>
      <c r="K40" s="532">
        <v>597</v>
      </c>
      <c r="L40" s="532">
        <v>675</v>
      </c>
      <c r="M40" s="533">
        <v>696</v>
      </c>
      <c r="N40" s="534">
        <v>677</v>
      </c>
      <c r="P40" s="535">
        <v>0.13300000000000001</v>
      </c>
      <c r="Q40" s="536">
        <v>0.125</v>
      </c>
      <c r="R40" s="536">
        <v>0.14799999999999999</v>
      </c>
      <c r="S40" s="536">
        <v>0.16499999999999998</v>
      </c>
      <c r="T40" s="536">
        <v>0.14000000000000001</v>
      </c>
      <c r="U40" s="536">
        <v>0.16300000000000001</v>
      </c>
      <c r="V40" s="536">
        <v>0.153</v>
      </c>
      <c r="W40" s="536">
        <v>0.14400000000000002</v>
      </c>
      <c r="X40" s="536">
        <v>0.16699999999999998</v>
      </c>
      <c r="Y40" s="536">
        <v>0.18300000000000002</v>
      </c>
      <c r="Z40" s="537">
        <v>0.18899999999999997</v>
      </c>
      <c r="AA40" s="538">
        <v>0.191</v>
      </c>
      <c r="AC40" s="531">
        <v>3675</v>
      </c>
      <c r="AD40" s="532">
        <v>3682</v>
      </c>
      <c r="AE40" s="532">
        <v>3717</v>
      </c>
      <c r="AF40" s="532">
        <v>3707</v>
      </c>
      <c r="AG40" s="532">
        <v>3685</v>
      </c>
      <c r="AH40" s="532">
        <v>3742</v>
      </c>
      <c r="AI40" s="532">
        <v>3732</v>
      </c>
      <c r="AJ40" s="532">
        <v>3731</v>
      </c>
      <c r="AK40" s="532">
        <v>3699</v>
      </c>
      <c r="AL40" s="532">
        <v>3726</v>
      </c>
      <c r="AM40" s="533">
        <v>3745</v>
      </c>
      <c r="AN40" s="539">
        <f>'2011 Population'!M40</f>
        <v>3600</v>
      </c>
    </row>
    <row r="41" spans="1:40">
      <c r="A41" s="529" t="s">
        <v>95</v>
      </c>
      <c r="B41" s="530" t="s">
        <v>643</v>
      </c>
      <c r="C41" s="531">
        <v>1069</v>
      </c>
      <c r="D41" s="532">
        <v>919</v>
      </c>
      <c r="E41" s="532">
        <v>1073</v>
      </c>
      <c r="F41" s="532">
        <v>1136</v>
      </c>
      <c r="G41" s="532">
        <v>1032</v>
      </c>
      <c r="H41" s="532">
        <v>1093</v>
      </c>
      <c r="I41" s="532">
        <v>1066</v>
      </c>
      <c r="J41" s="532">
        <v>1028</v>
      </c>
      <c r="K41" s="532">
        <v>1118</v>
      </c>
      <c r="L41" s="532">
        <v>1156</v>
      </c>
      <c r="M41" s="533">
        <v>1134</v>
      </c>
      <c r="N41" s="534">
        <v>1175</v>
      </c>
      <c r="P41" s="535">
        <v>0.11900000000000001</v>
      </c>
      <c r="Q41" s="536">
        <v>0.10400000000000001</v>
      </c>
      <c r="R41" s="536">
        <v>0.11899999999999999</v>
      </c>
      <c r="S41" s="536">
        <v>0.129</v>
      </c>
      <c r="T41" s="536">
        <v>0.11700000000000001</v>
      </c>
      <c r="U41" s="536">
        <v>0.126</v>
      </c>
      <c r="V41" s="536">
        <v>0.125</v>
      </c>
      <c r="W41" s="536">
        <v>0.12000000000000001</v>
      </c>
      <c r="X41" s="536">
        <v>0.13300000000000001</v>
      </c>
      <c r="Y41" s="536">
        <v>0.13499999999999998</v>
      </c>
      <c r="Z41" s="537">
        <v>0.14099999999999999</v>
      </c>
      <c r="AA41" s="538">
        <v>0.151</v>
      </c>
      <c r="AC41" s="531">
        <v>9115</v>
      </c>
      <c r="AD41" s="532">
        <v>9049</v>
      </c>
      <c r="AE41" s="532">
        <v>9059</v>
      </c>
      <c r="AF41" s="532">
        <v>9061</v>
      </c>
      <c r="AG41" s="532">
        <v>9018</v>
      </c>
      <c r="AH41" s="532">
        <v>9005</v>
      </c>
      <c r="AI41" s="532">
        <v>8926</v>
      </c>
      <c r="AJ41" s="532">
        <v>8901</v>
      </c>
      <c r="AK41" s="532">
        <v>8820</v>
      </c>
      <c r="AL41" s="532">
        <v>8704</v>
      </c>
      <c r="AM41" s="533">
        <v>8140</v>
      </c>
      <c r="AN41" s="539">
        <f>'2011 Population'!M41</f>
        <v>7889</v>
      </c>
    </row>
    <row r="42" spans="1:40">
      <c r="A42" s="529" t="s">
        <v>97</v>
      </c>
      <c r="B42" s="530" t="s">
        <v>644</v>
      </c>
      <c r="C42" s="531">
        <v>304</v>
      </c>
      <c r="D42" s="532">
        <v>243</v>
      </c>
      <c r="E42" s="532">
        <v>293</v>
      </c>
      <c r="F42" s="532">
        <v>349</v>
      </c>
      <c r="G42" s="532">
        <v>309</v>
      </c>
      <c r="H42" s="532">
        <v>301</v>
      </c>
      <c r="I42" s="532">
        <v>291</v>
      </c>
      <c r="J42" s="532">
        <v>292</v>
      </c>
      <c r="K42" s="532">
        <v>314</v>
      </c>
      <c r="L42" s="532">
        <v>361</v>
      </c>
      <c r="M42" s="533">
        <v>423</v>
      </c>
      <c r="N42" s="534">
        <v>437</v>
      </c>
      <c r="P42" s="535">
        <v>8.6999999999999994E-2</v>
      </c>
      <c r="Q42" s="536">
        <v>6.8000000000000005E-2</v>
      </c>
      <c r="R42" s="536">
        <v>7.8E-2</v>
      </c>
      <c r="S42" s="536">
        <v>9.0999999999999998E-2</v>
      </c>
      <c r="T42" s="536">
        <v>0.08</v>
      </c>
      <c r="U42" s="536">
        <v>7.9000000000000001E-2</v>
      </c>
      <c r="V42" s="536">
        <v>7.4999999999999997E-2</v>
      </c>
      <c r="W42" s="536">
        <v>6.9999999999999993E-2</v>
      </c>
      <c r="X42" s="536">
        <v>7.4999999999999997E-2</v>
      </c>
      <c r="Y42" s="536">
        <v>8.8000000000000009E-2</v>
      </c>
      <c r="Z42" s="537">
        <v>9.8000000000000004E-2</v>
      </c>
      <c r="AA42" s="538">
        <v>0.10400000000000001</v>
      </c>
      <c r="AC42" s="531">
        <v>3597</v>
      </c>
      <c r="AD42" s="532">
        <v>3632</v>
      </c>
      <c r="AE42" s="532">
        <v>3715</v>
      </c>
      <c r="AF42" s="532">
        <v>3742</v>
      </c>
      <c r="AG42" s="532">
        <v>3813</v>
      </c>
      <c r="AH42" s="532">
        <v>3936</v>
      </c>
      <c r="AI42" s="532">
        <v>4122</v>
      </c>
      <c r="AJ42" s="532">
        <v>4232</v>
      </c>
      <c r="AK42" s="532">
        <v>4236</v>
      </c>
      <c r="AL42" s="532">
        <v>4239</v>
      </c>
      <c r="AM42" s="533">
        <v>4400</v>
      </c>
      <c r="AN42" s="539">
        <f>'2011 Population'!M42</f>
        <v>4256</v>
      </c>
    </row>
    <row r="43" spans="1:40">
      <c r="A43" s="529" t="s">
        <v>99</v>
      </c>
      <c r="B43" s="530" t="s">
        <v>645</v>
      </c>
      <c r="C43" s="531">
        <v>672</v>
      </c>
      <c r="D43" s="532">
        <v>629</v>
      </c>
      <c r="E43" s="532">
        <v>718</v>
      </c>
      <c r="F43" s="532">
        <v>794</v>
      </c>
      <c r="G43" s="532">
        <v>668</v>
      </c>
      <c r="H43" s="532">
        <v>812</v>
      </c>
      <c r="I43" s="532">
        <v>716</v>
      </c>
      <c r="J43" s="532">
        <v>694</v>
      </c>
      <c r="K43" s="532">
        <v>752</v>
      </c>
      <c r="L43" s="532">
        <v>739</v>
      </c>
      <c r="M43" s="533">
        <v>796</v>
      </c>
      <c r="N43" s="534">
        <v>816</v>
      </c>
      <c r="P43" s="535">
        <v>0.19900000000000001</v>
      </c>
      <c r="Q43" s="536">
        <v>0.19</v>
      </c>
      <c r="R43" s="536">
        <v>0.217</v>
      </c>
      <c r="S43" s="536">
        <v>0.24100000000000002</v>
      </c>
      <c r="T43" s="536">
        <v>0.20699999999999999</v>
      </c>
      <c r="U43" s="536">
        <v>0.255</v>
      </c>
      <c r="V43" s="536">
        <v>0.23299999999999998</v>
      </c>
      <c r="W43" s="536">
        <v>0.23199999999999998</v>
      </c>
      <c r="X43" s="536">
        <v>0.25700000000000001</v>
      </c>
      <c r="Y43" s="536">
        <v>0.25600000000000001</v>
      </c>
      <c r="Z43" s="537">
        <v>0.27400000000000002</v>
      </c>
      <c r="AA43" s="538">
        <v>0.28999999999999998</v>
      </c>
      <c r="AC43" s="531">
        <v>3481</v>
      </c>
      <c r="AD43" s="532">
        <v>3387</v>
      </c>
      <c r="AE43" s="532">
        <v>3377</v>
      </c>
      <c r="AF43" s="532">
        <v>3316</v>
      </c>
      <c r="AG43" s="532">
        <v>3239</v>
      </c>
      <c r="AH43" s="532">
        <v>3165</v>
      </c>
      <c r="AI43" s="532">
        <v>3104</v>
      </c>
      <c r="AJ43" s="532">
        <v>3112</v>
      </c>
      <c r="AK43" s="532">
        <v>3031</v>
      </c>
      <c r="AL43" s="532">
        <v>2939</v>
      </c>
      <c r="AM43" s="533">
        <v>2950</v>
      </c>
      <c r="AN43" s="539">
        <f>'2011 Population'!M43</f>
        <v>2849</v>
      </c>
    </row>
    <row r="44" spans="1:40">
      <c r="A44" s="529" t="s">
        <v>101</v>
      </c>
      <c r="B44" s="530" t="s">
        <v>646</v>
      </c>
      <c r="C44" s="531">
        <v>409</v>
      </c>
      <c r="D44" s="532">
        <v>383</v>
      </c>
      <c r="E44" s="532">
        <v>454</v>
      </c>
      <c r="F44" s="532">
        <v>505</v>
      </c>
      <c r="G44" s="532">
        <v>475</v>
      </c>
      <c r="H44" s="532">
        <v>518</v>
      </c>
      <c r="I44" s="532">
        <v>476</v>
      </c>
      <c r="J44" s="532">
        <v>473</v>
      </c>
      <c r="K44" s="532">
        <v>507</v>
      </c>
      <c r="L44" s="532">
        <v>559</v>
      </c>
      <c r="M44" s="533">
        <v>607</v>
      </c>
      <c r="N44" s="534">
        <v>639</v>
      </c>
      <c r="P44" s="535">
        <v>9.5999999999999988E-2</v>
      </c>
      <c r="Q44" s="536">
        <v>8.7000000000000008E-2</v>
      </c>
      <c r="R44" s="536">
        <v>9.9000000000000005E-2</v>
      </c>
      <c r="S44" s="536">
        <v>0.10900000000000001</v>
      </c>
      <c r="T44" s="536">
        <v>0.10099999999999999</v>
      </c>
      <c r="U44" s="536">
        <v>0.11099999999999999</v>
      </c>
      <c r="V44" s="536">
        <v>0.10300000000000001</v>
      </c>
      <c r="W44" s="536">
        <v>0.10100000000000001</v>
      </c>
      <c r="X44" s="536">
        <v>0.109</v>
      </c>
      <c r="Y44" s="536">
        <v>0.12099999999999998</v>
      </c>
      <c r="Z44" s="537">
        <v>0.13300000000000001</v>
      </c>
      <c r="AA44" s="538">
        <v>0.13900000000000001</v>
      </c>
      <c r="AC44" s="531">
        <v>4197</v>
      </c>
      <c r="AD44" s="532">
        <v>4262</v>
      </c>
      <c r="AE44" s="532">
        <v>4419</v>
      </c>
      <c r="AF44" s="532">
        <v>4504</v>
      </c>
      <c r="AG44" s="532">
        <v>4575</v>
      </c>
      <c r="AH44" s="532">
        <v>4610</v>
      </c>
      <c r="AI44" s="532">
        <v>4748</v>
      </c>
      <c r="AJ44" s="532">
        <v>4798</v>
      </c>
      <c r="AK44" s="532">
        <v>4695</v>
      </c>
      <c r="AL44" s="532">
        <v>4670</v>
      </c>
      <c r="AM44" s="533">
        <v>4591</v>
      </c>
      <c r="AN44" s="539">
        <f>'2011 Population'!M44</f>
        <v>4630</v>
      </c>
    </row>
    <row r="45" spans="1:40">
      <c r="A45" s="529" t="s">
        <v>103</v>
      </c>
      <c r="B45" s="530" t="s">
        <v>1010</v>
      </c>
      <c r="C45" s="531">
        <v>705</v>
      </c>
      <c r="D45" s="532">
        <v>670</v>
      </c>
      <c r="E45" s="532">
        <v>695</v>
      </c>
      <c r="F45" s="532">
        <v>731</v>
      </c>
      <c r="G45" s="532">
        <v>660</v>
      </c>
      <c r="H45" s="532">
        <v>773</v>
      </c>
      <c r="I45" s="532">
        <v>752</v>
      </c>
      <c r="J45" s="532">
        <v>740</v>
      </c>
      <c r="K45" s="532">
        <v>830</v>
      </c>
      <c r="L45" s="532">
        <v>938</v>
      </c>
      <c r="M45" s="533">
        <v>973</v>
      </c>
      <c r="N45" s="534">
        <v>985</v>
      </c>
      <c r="P45" s="535">
        <v>0.20724231754161332</v>
      </c>
      <c r="Q45" s="536">
        <v>0.19890120481927712</v>
      </c>
      <c r="R45" s="536">
        <v>0.20426443081771778</v>
      </c>
      <c r="S45" s="536">
        <v>0.21502171135061685</v>
      </c>
      <c r="T45" s="536">
        <v>0.19648156474820144</v>
      </c>
      <c r="U45" s="536">
        <v>0.23248045054375974</v>
      </c>
      <c r="V45" s="536">
        <v>0.23066181801881558</v>
      </c>
      <c r="W45" s="536">
        <v>0.22627145085803432</v>
      </c>
      <c r="X45" s="536">
        <v>0.25454693004130152</v>
      </c>
      <c r="Y45" s="536">
        <v>0.27317842460121688</v>
      </c>
      <c r="Z45" s="537">
        <v>0.28265350547965773</v>
      </c>
      <c r="AA45" s="538">
        <v>0.29271916790490343</v>
      </c>
      <c r="AC45" s="531">
        <v>3527</v>
      </c>
      <c r="AD45" s="532">
        <v>3547</v>
      </c>
      <c r="AE45" s="532">
        <v>3545</v>
      </c>
      <c r="AF45" s="532">
        <v>3518</v>
      </c>
      <c r="AG45" s="532">
        <v>3493</v>
      </c>
      <c r="AH45" s="532">
        <v>3510</v>
      </c>
      <c r="AI45" s="532">
        <v>3494</v>
      </c>
      <c r="AJ45" s="532">
        <v>3506</v>
      </c>
      <c r="AK45" s="532">
        <v>3462</v>
      </c>
      <c r="AL45" s="532">
        <v>3496</v>
      </c>
      <c r="AM45" s="533">
        <v>3533</v>
      </c>
      <c r="AN45" s="539">
        <f>'2011 Population'!M45</f>
        <v>3439</v>
      </c>
    </row>
    <row r="46" spans="1:40">
      <c r="A46" s="529" t="s">
        <v>105</v>
      </c>
      <c r="B46" s="530" t="s">
        <v>1011</v>
      </c>
      <c r="C46" s="531">
        <v>1650</v>
      </c>
      <c r="D46" s="532">
        <v>1584</v>
      </c>
      <c r="E46" s="532">
        <v>1864</v>
      </c>
      <c r="F46" s="532">
        <v>1972</v>
      </c>
      <c r="G46" s="532">
        <v>1734</v>
      </c>
      <c r="H46" s="532">
        <v>1721</v>
      </c>
      <c r="I46" s="532">
        <v>1915</v>
      </c>
      <c r="J46" s="532">
        <v>1706</v>
      </c>
      <c r="K46" s="532">
        <v>1764</v>
      </c>
      <c r="L46" s="532">
        <v>2128</v>
      </c>
      <c r="M46" s="533">
        <v>2225</v>
      </c>
      <c r="N46" s="534">
        <v>2028</v>
      </c>
      <c r="P46" s="535">
        <v>0.19500000000000001</v>
      </c>
      <c r="Q46" s="536">
        <v>0.191</v>
      </c>
      <c r="R46" s="536">
        <v>0.22399999999999998</v>
      </c>
      <c r="S46" s="536">
        <v>0.24000000000000002</v>
      </c>
      <c r="T46" s="536">
        <v>0.21000000000000002</v>
      </c>
      <c r="U46" s="536">
        <v>0.21100000000000002</v>
      </c>
      <c r="V46" s="536">
        <v>0.24299999999999999</v>
      </c>
      <c r="W46" s="536">
        <v>0.22100000000000003</v>
      </c>
      <c r="X46" s="536">
        <v>0.23399999999999999</v>
      </c>
      <c r="Y46" s="536">
        <v>0.27800000000000002</v>
      </c>
      <c r="Z46" s="537">
        <v>0.28299999999999997</v>
      </c>
      <c r="AA46" s="538">
        <v>0.26200000000000001</v>
      </c>
      <c r="AC46" s="531">
        <v>8690</v>
      </c>
      <c r="AD46" s="532">
        <v>8489</v>
      </c>
      <c r="AE46" s="532">
        <v>8458</v>
      </c>
      <c r="AF46" s="532">
        <v>8256</v>
      </c>
      <c r="AG46" s="532">
        <v>8144</v>
      </c>
      <c r="AH46" s="532">
        <v>8045</v>
      </c>
      <c r="AI46" s="532">
        <v>8044</v>
      </c>
      <c r="AJ46" s="532">
        <v>7921</v>
      </c>
      <c r="AK46" s="532">
        <v>7828</v>
      </c>
      <c r="AL46" s="532">
        <v>7765</v>
      </c>
      <c r="AM46" s="533">
        <v>7983</v>
      </c>
      <c r="AN46" s="539">
        <f>'2011 Population'!M46</f>
        <v>7828</v>
      </c>
    </row>
    <row r="47" spans="1:40">
      <c r="A47" s="529" t="s">
        <v>109</v>
      </c>
      <c r="B47" s="530" t="s">
        <v>647</v>
      </c>
      <c r="C47" s="531">
        <v>1074</v>
      </c>
      <c r="D47" s="532">
        <v>943</v>
      </c>
      <c r="E47" s="532">
        <v>1198</v>
      </c>
      <c r="F47" s="532">
        <v>1391</v>
      </c>
      <c r="G47" s="532">
        <v>1329</v>
      </c>
      <c r="H47" s="532">
        <v>1286</v>
      </c>
      <c r="I47" s="532">
        <v>1196</v>
      </c>
      <c r="J47" s="532">
        <v>1308</v>
      </c>
      <c r="K47" s="532">
        <v>1274</v>
      </c>
      <c r="L47" s="532">
        <v>1494</v>
      </c>
      <c r="M47" s="533">
        <v>1582</v>
      </c>
      <c r="N47" s="534">
        <v>1764</v>
      </c>
      <c r="P47" s="535">
        <v>4.5999999999999999E-2</v>
      </c>
      <c r="Q47" s="536">
        <v>0.04</v>
      </c>
      <c r="R47" s="536">
        <v>0.05</v>
      </c>
      <c r="S47" s="536">
        <v>5.9000000000000004E-2</v>
      </c>
      <c r="T47" s="536">
        <v>5.5999999999999994E-2</v>
      </c>
      <c r="U47" s="536">
        <v>5.5000000000000007E-2</v>
      </c>
      <c r="V47" s="536">
        <v>5.0999999999999997E-2</v>
      </c>
      <c r="W47" s="536">
        <v>5.5999999999999994E-2</v>
      </c>
      <c r="X47" s="536">
        <v>5.5E-2</v>
      </c>
      <c r="Y47" s="536">
        <v>6.0999999999999992E-2</v>
      </c>
      <c r="Z47" s="537">
        <v>6.4000000000000001E-2</v>
      </c>
      <c r="AA47" s="538">
        <v>7.2999999999999995E-2</v>
      </c>
      <c r="AC47" s="531">
        <v>23483</v>
      </c>
      <c r="AD47" s="532">
        <v>23888</v>
      </c>
      <c r="AE47" s="532">
        <v>24443</v>
      </c>
      <c r="AF47" s="532">
        <v>24838</v>
      </c>
      <c r="AG47" s="532">
        <v>25373</v>
      </c>
      <c r="AH47" s="532">
        <v>25452</v>
      </c>
      <c r="AI47" s="532">
        <v>25633</v>
      </c>
      <c r="AJ47" s="532">
        <v>25568</v>
      </c>
      <c r="AK47" s="532">
        <v>25298</v>
      </c>
      <c r="AL47" s="532">
        <v>24971</v>
      </c>
      <c r="AM47" s="533">
        <v>24998</v>
      </c>
      <c r="AN47" s="539">
        <f>'2011 Population'!M47</f>
        <v>24344</v>
      </c>
    </row>
    <row r="48" spans="1:40">
      <c r="A48" s="529" t="s">
        <v>111</v>
      </c>
      <c r="B48" s="530" t="s">
        <v>648</v>
      </c>
      <c r="C48" s="531">
        <v>5536</v>
      </c>
      <c r="D48" s="532">
        <v>5204</v>
      </c>
      <c r="E48" s="532">
        <v>6080</v>
      </c>
      <c r="F48" s="532">
        <v>7045</v>
      </c>
      <c r="G48" s="532">
        <v>6637</v>
      </c>
      <c r="H48" s="532">
        <v>7048</v>
      </c>
      <c r="I48" s="532">
        <v>6972</v>
      </c>
      <c r="J48" s="532">
        <v>8246</v>
      </c>
      <c r="K48" s="532">
        <v>8042</v>
      </c>
      <c r="L48" s="532">
        <v>8813</v>
      </c>
      <c r="M48" s="533">
        <v>9849</v>
      </c>
      <c r="N48" s="534">
        <v>10914</v>
      </c>
      <c r="P48" s="535">
        <v>8.5000000000000006E-2</v>
      </c>
      <c r="Q48" s="536">
        <v>0.08</v>
      </c>
      <c r="R48" s="536">
        <v>9.0999999999999998E-2</v>
      </c>
      <c r="S48" s="536">
        <v>0.10400000000000001</v>
      </c>
      <c r="T48" s="536">
        <v>9.5999999999999988E-2</v>
      </c>
      <c r="U48" s="536">
        <v>0.10299999999999999</v>
      </c>
      <c r="V48" s="536">
        <v>0.10200000000000001</v>
      </c>
      <c r="W48" s="536">
        <v>0.11800000000000001</v>
      </c>
      <c r="X48" s="536">
        <v>0.115</v>
      </c>
      <c r="Y48" s="536">
        <v>0.12699999999999997</v>
      </c>
      <c r="Z48" s="537">
        <v>0.13400000000000001</v>
      </c>
      <c r="AA48" s="538">
        <v>0.14899999999999999</v>
      </c>
      <c r="AC48" s="531">
        <v>64850</v>
      </c>
      <c r="AD48" s="532">
        <v>65476</v>
      </c>
      <c r="AE48" s="532">
        <v>65892</v>
      </c>
      <c r="AF48" s="532">
        <v>66268</v>
      </c>
      <c r="AG48" s="532">
        <v>67676</v>
      </c>
      <c r="AH48" s="532">
        <v>68687</v>
      </c>
      <c r="AI48" s="532">
        <v>69343</v>
      </c>
      <c r="AJ48" s="532">
        <v>69874</v>
      </c>
      <c r="AK48" s="532">
        <v>69919</v>
      </c>
      <c r="AL48" s="532">
        <v>70539</v>
      </c>
      <c r="AM48" s="533">
        <v>74372</v>
      </c>
      <c r="AN48" s="539">
        <f>'2011 Population'!M48</f>
        <v>74013</v>
      </c>
    </row>
    <row r="49" spans="1:40">
      <c r="A49" s="529" t="s">
        <v>113</v>
      </c>
      <c r="B49" s="530" t="s">
        <v>1012</v>
      </c>
      <c r="C49" s="531">
        <v>2979</v>
      </c>
      <c r="D49" s="532">
        <v>2892</v>
      </c>
      <c r="E49" s="532">
        <v>3231</v>
      </c>
      <c r="F49" s="532">
        <v>3497</v>
      </c>
      <c r="G49" s="532">
        <v>3140</v>
      </c>
      <c r="H49" s="532">
        <v>3600</v>
      </c>
      <c r="I49" s="532">
        <v>3363</v>
      </c>
      <c r="J49" s="532">
        <v>3904</v>
      </c>
      <c r="K49" s="532">
        <v>3649</v>
      </c>
      <c r="L49" s="532">
        <v>4171</v>
      </c>
      <c r="M49" s="533">
        <v>4023</v>
      </c>
      <c r="N49" s="534">
        <v>4704</v>
      </c>
      <c r="P49" s="535">
        <v>0.18630603454114458</v>
      </c>
      <c r="Q49" s="536">
        <v>0.18404195178590124</v>
      </c>
      <c r="R49" s="536">
        <v>0.20421486172728284</v>
      </c>
      <c r="S49" s="536">
        <v>0.22610694318889932</v>
      </c>
      <c r="T49" s="536">
        <v>0.20544691510861401</v>
      </c>
      <c r="U49" s="536">
        <v>0.23930468656616982</v>
      </c>
      <c r="V49" s="536">
        <v>0.23114323370386328</v>
      </c>
      <c r="W49" s="536">
        <v>0.27677925198745235</v>
      </c>
      <c r="X49" s="536">
        <v>0.26291531358477926</v>
      </c>
      <c r="Y49" s="536">
        <v>0.29257510477431536</v>
      </c>
      <c r="Z49" s="537">
        <v>0.29068673718230797</v>
      </c>
      <c r="AA49" s="538">
        <v>0.34396022228721856</v>
      </c>
      <c r="AC49" s="531">
        <v>16335</v>
      </c>
      <c r="AD49" s="532">
        <v>16049</v>
      </c>
      <c r="AE49" s="532">
        <v>15875</v>
      </c>
      <c r="AF49" s="532">
        <v>15607</v>
      </c>
      <c r="AG49" s="532">
        <v>15357</v>
      </c>
      <c r="AH49" s="532">
        <v>15012</v>
      </c>
      <c r="AI49" s="532">
        <v>14830</v>
      </c>
      <c r="AJ49" s="532">
        <v>14649</v>
      </c>
      <c r="AK49" s="532">
        <v>14631</v>
      </c>
      <c r="AL49" s="532">
        <v>14461</v>
      </c>
      <c r="AM49" s="533">
        <v>14063</v>
      </c>
      <c r="AN49" s="539">
        <f>'2011 Population'!M49</f>
        <v>13836</v>
      </c>
    </row>
    <row r="50" spans="1:40">
      <c r="A50" s="529" t="s">
        <v>115</v>
      </c>
      <c r="B50" s="530" t="s">
        <v>649</v>
      </c>
      <c r="C50" s="531">
        <v>91</v>
      </c>
      <c r="D50" s="532">
        <v>68</v>
      </c>
      <c r="E50" s="532">
        <v>74</v>
      </c>
      <c r="F50" s="532">
        <v>74</v>
      </c>
      <c r="G50" s="532">
        <v>59</v>
      </c>
      <c r="H50" s="532">
        <v>73</v>
      </c>
      <c r="I50" s="532">
        <v>67</v>
      </c>
      <c r="J50" s="532">
        <v>67</v>
      </c>
      <c r="K50" s="532">
        <v>67</v>
      </c>
      <c r="L50" s="532">
        <v>83</v>
      </c>
      <c r="M50" s="533">
        <v>78</v>
      </c>
      <c r="N50" s="534">
        <v>72</v>
      </c>
      <c r="P50" s="535">
        <v>0.18600000000000003</v>
      </c>
      <c r="Q50" s="536">
        <v>0.14699999999999999</v>
      </c>
      <c r="R50" s="536">
        <v>0.158</v>
      </c>
      <c r="S50" s="536">
        <v>0.16500000000000001</v>
      </c>
      <c r="T50" s="536">
        <v>0.13900000000000001</v>
      </c>
      <c r="U50" s="536">
        <v>0.17300000000000001</v>
      </c>
      <c r="V50" s="536">
        <v>0.16899999999999998</v>
      </c>
      <c r="W50" s="536">
        <v>0.17800000000000002</v>
      </c>
      <c r="X50" s="536">
        <v>0.187</v>
      </c>
      <c r="Y50" s="536">
        <v>0.221</v>
      </c>
      <c r="Z50" s="537">
        <v>0.22800000000000001</v>
      </c>
      <c r="AA50" s="538">
        <v>0.22899999999999998</v>
      </c>
      <c r="AC50" s="531">
        <v>504</v>
      </c>
      <c r="AD50" s="532">
        <v>501</v>
      </c>
      <c r="AE50" s="532">
        <v>439</v>
      </c>
      <c r="AF50" s="532">
        <v>457</v>
      </c>
      <c r="AG50" s="532">
        <v>428</v>
      </c>
      <c r="AH50" s="532">
        <v>403</v>
      </c>
      <c r="AI50" s="532">
        <v>413</v>
      </c>
      <c r="AJ50" s="532">
        <v>397</v>
      </c>
      <c r="AK50" s="532">
        <v>394</v>
      </c>
      <c r="AL50" s="532">
        <v>378</v>
      </c>
      <c r="AM50" s="533">
        <v>346</v>
      </c>
      <c r="AN50" s="539">
        <f>'2011 Population'!M50</f>
        <v>321</v>
      </c>
    </row>
    <row r="51" spans="1:40">
      <c r="A51" s="529" t="s">
        <v>119</v>
      </c>
      <c r="B51" s="530" t="s">
        <v>1013</v>
      </c>
      <c r="C51" s="531">
        <v>859</v>
      </c>
      <c r="D51" s="532">
        <v>747</v>
      </c>
      <c r="E51" s="532">
        <v>929</v>
      </c>
      <c r="F51" s="532">
        <v>1034</v>
      </c>
      <c r="G51" s="532">
        <v>880</v>
      </c>
      <c r="H51" s="532">
        <v>862</v>
      </c>
      <c r="I51" s="532">
        <v>837</v>
      </c>
      <c r="J51" s="532">
        <v>851</v>
      </c>
      <c r="K51" s="532">
        <v>830</v>
      </c>
      <c r="L51" s="532">
        <v>1179</v>
      </c>
      <c r="M51" s="533">
        <v>975</v>
      </c>
      <c r="N51" s="534">
        <v>1213</v>
      </c>
      <c r="P51" s="535">
        <v>0.115</v>
      </c>
      <c r="Q51" s="536">
        <v>0.10099999999999999</v>
      </c>
      <c r="R51" s="536">
        <v>0.121</v>
      </c>
      <c r="S51" s="536">
        <v>0.13500000000000001</v>
      </c>
      <c r="T51" s="536">
        <v>0.115</v>
      </c>
      <c r="U51" s="536">
        <v>0.114</v>
      </c>
      <c r="V51" s="536">
        <v>0.11</v>
      </c>
      <c r="W51" s="536">
        <v>0.10699999999999998</v>
      </c>
      <c r="X51" s="536">
        <v>0.106</v>
      </c>
      <c r="Y51" s="536">
        <v>0.14699999999999999</v>
      </c>
      <c r="Z51" s="537">
        <v>0.12300000000000001</v>
      </c>
      <c r="AA51" s="538">
        <v>0.156</v>
      </c>
      <c r="AC51" s="531">
        <v>7555</v>
      </c>
      <c r="AD51" s="532">
        <v>7527</v>
      </c>
      <c r="AE51" s="532">
        <v>7538</v>
      </c>
      <c r="AF51" s="532">
        <v>7647</v>
      </c>
      <c r="AG51" s="532">
        <v>7791</v>
      </c>
      <c r="AH51" s="532">
        <v>7825</v>
      </c>
      <c r="AI51" s="532">
        <v>7989</v>
      </c>
      <c r="AJ51" s="532">
        <v>8106</v>
      </c>
      <c r="AK51" s="532">
        <v>8131</v>
      </c>
      <c r="AL51" s="532">
        <v>8146</v>
      </c>
      <c r="AM51" s="533">
        <v>8031</v>
      </c>
      <c r="AN51" s="539">
        <f>'2011 Population'!M51</f>
        <v>7808</v>
      </c>
    </row>
    <row r="52" spans="1:40">
      <c r="A52" s="529" t="s">
        <v>121</v>
      </c>
      <c r="B52" s="530" t="s">
        <v>294</v>
      </c>
      <c r="C52" s="531">
        <v>946</v>
      </c>
      <c r="D52" s="532">
        <v>872</v>
      </c>
      <c r="E52" s="532">
        <v>1030</v>
      </c>
      <c r="F52" s="532">
        <v>1108</v>
      </c>
      <c r="G52" s="532">
        <v>989</v>
      </c>
      <c r="H52" s="532">
        <v>947</v>
      </c>
      <c r="I52" s="532">
        <v>947</v>
      </c>
      <c r="J52" s="532">
        <v>986</v>
      </c>
      <c r="K52" s="532">
        <v>1120</v>
      </c>
      <c r="L52" s="532">
        <v>1354</v>
      </c>
      <c r="M52" s="533">
        <v>1475</v>
      </c>
      <c r="N52" s="534">
        <v>1595</v>
      </c>
      <c r="P52" s="535">
        <v>8.4999999999999992E-2</v>
      </c>
      <c r="Q52" s="536">
        <v>7.6999999999999999E-2</v>
      </c>
      <c r="R52" s="536">
        <v>8.8000000000000009E-2</v>
      </c>
      <c r="S52" s="536">
        <v>9.5999999999999988E-2</v>
      </c>
      <c r="T52" s="536">
        <v>8.3000000000000004E-2</v>
      </c>
      <c r="U52" s="536">
        <v>8.0999999999999989E-2</v>
      </c>
      <c r="V52" s="536">
        <v>8.199999999999999E-2</v>
      </c>
      <c r="W52" s="536">
        <v>7.9000000000000001E-2</v>
      </c>
      <c r="X52" s="536">
        <v>0.09</v>
      </c>
      <c r="Y52" s="536">
        <v>0.10300000000000001</v>
      </c>
      <c r="Z52" s="537">
        <v>0.10300000000000001</v>
      </c>
      <c r="AA52" s="538">
        <v>0.11199999999999999</v>
      </c>
      <c r="AC52" s="531">
        <v>11263</v>
      </c>
      <c r="AD52" s="532">
        <v>11201</v>
      </c>
      <c r="AE52" s="532">
        <v>11521</v>
      </c>
      <c r="AF52" s="532">
        <v>11664</v>
      </c>
      <c r="AG52" s="532">
        <v>12122</v>
      </c>
      <c r="AH52" s="532">
        <v>12521</v>
      </c>
      <c r="AI52" s="532">
        <v>12961</v>
      </c>
      <c r="AJ52" s="532">
        <v>13111</v>
      </c>
      <c r="AK52" s="532">
        <v>13185</v>
      </c>
      <c r="AL52" s="532">
        <v>13283</v>
      </c>
      <c r="AM52" s="533">
        <v>14385</v>
      </c>
      <c r="AN52" s="539">
        <f>'2011 Population'!M52</f>
        <v>14335</v>
      </c>
    </row>
    <row r="53" spans="1:40">
      <c r="A53" s="529" t="s">
        <v>123</v>
      </c>
      <c r="B53" s="530" t="s">
        <v>1014</v>
      </c>
      <c r="C53" s="531">
        <v>216</v>
      </c>
      <c r="D53" s="532">
        <v>190</v>
      </c>
      <c r="E53" s="532">
        <v>217</v>
      </c>
      <c r="F53" s="532">
        <v>233</v>
      </c>
      <c r="G53" s="532">
        <v>199</v>
      </c>
      <c r="H53" s="532">
        <v>251</v>
      </c>
      <c r="I53" s="532">
        <v>221</v>
      </c>
      <c r="J53" s="532">
        <v>228</v>
      </c>
      <c r="K53" s="532">
        <v>226</v>
      </c>
      <c r="L53" s="532">
        <v>258</v>
      </c>
      <c r="M53" s="533">
        <v>276</v>
      </c>
      <c r="N53" s="534">
        <v>278</v>
      </c>
      <c r="P53" s="535">
        <v>0.151</v>
      </c>
      <c r="Q53" s="536">
        <v>0.13300000000000001</v>
      </c>
      <c r="R53" s="536">
        <v>0.15300000000000002</v>
      </c>
      <c r="S53" s="536">
        <v>0.16200000000000001</v>
      </c>
      <c r="T53" s="536">
        <v>0.13700000000000001</v>
      </c>
      <c r="U53" s="536">
        <v>0.17600000000000002</v>
      </c>
      <c r="V53" s="536">
        <v>0.16</v>
      </c>
      <c r="W53" s="536">
        <v>0.16300000000000001</v>
      </c>
      <c r="X53" s="536">
        <v>0.16600000000000001</v>
      </c>
      <c r="Y53" s="536">
        <v>0.2</v>
      </c>
      <c r="Z53" s="537">
        <v>0.19400000000000001</v>
      </c>
      <c r="AA53" s="538">
        <v>0.20300000000000001</v>
      </c>
      <c r="AC53" s="531">
        <v>1507</v>
      </c>
      <c r="AD53" s="532">
        <v>1482</v>
      </c>
      <c r="AE53" s="532">
        <v>1458</v>
      </c>
      <c r="AF53" s="532">
        <v>1376</v>
      </c>
      <c r="AG53" s="532">
        <v>1434</v>
      </c>
      <c r="AH53" s="532">
        <v>1422</v>
      </c>
      <c r="AI53" s="532">
        <v>1416</v>
      </c>
      <c r="AJ53" s="532">
        <v>1406</v>
      </c>
      <c r="AK53" s="532">
        <v>1313</v>
      </c>
      <c r="AL53" s="532">
        <v>1316</v>
      </c>
      <c r="AM53" s="533">
        <v>1442</v>
      </c>
      <c r="AN53" s="539">
        <f>'2011 Population'!M53</f>
        <v>1382</v>
      </c>
    </row>
    <row r="54" spans="1:40">
      <c r="A54" s="529" t="s">
        <v>125</v>
      </c>
      <c r="B54" s="530" t="s">
        <v>652</v>
      </c>
      <c r="C54" s="531">
        <v>417</v>
      </c>
      <c r="D54" s="532">
        <v>354</v>
      </c>
      <c r="E54" s="532">
        <v>413</v>
      </c>
      <c r="F54" s="532">
        <v>476</v>
      </c>
      <c r="G54" s="532">
        <v>425</v>
      </c>
      <c r="H54" s="532">
        <v>438</v>
      </c>
      <c r="I54" s="532">
        <v>415</v>
      </c>
      <c r="J54" s="532">
        <v>450</v>
      </c>
      <c r="K54" s="532">
        <v>484</v>
      </c>
      <c r="L54" s="532">
        <v>577</v>
      </c>
      <c r="M54" s="533">
        <v>583</v>
      </c>
      <c r="N54" s="534">
        <v>627</v>
      </c>
      <c r="P54" s="535">
        <v>9.0000000000000011E-2</v>
      </c>
      <c r="Q54" s="536">
        <v>7.5999999999999984E-2</v>
      </c>
      <c r="R54" s="536">
        <v>8.5999999999999993E-2</v>
      </c>
      <c r="S54" s="536">
        <v>9.5000000000000001E-2</v>
      </c>
      <c r="T54" s="536">
        <v>0.08</v>
      </c>
      <c r="U54" s="536">
        <v>8.3000000000000004E-2</v>
      </c>
      <c r="V54" s="536">
        <v>7.6999999999999999E-2</v>
      </c>
      <c r="W54" s="536">
        <v>7.5999999999999998E-2</v>
      </c>
      <c r="X54" s="536">
        <v>0.08</v>
      </c>
      <c r="Y54" s="536">
        <v>9.2999999999999999E-2</v>
      </c>
      <c r="Z54" s="537">
        <v>9.0000000000000011E-2</v>
      </c>
      <c r="AA54" s="538">
        <v>9.6999999999999989E-2</v>
      </c>
      <c r="AC54" s="531">
        <v>4694</v>
      </c>
      <c r="AD54" s="532">
        <v>4610</v>
      </c>
      <c r="AE54" s="532">
        <v>4658</v>
      </c>
      <c r="AF54" s="532">
        <v>4886</v>
      </c>
      <c r="AG54" s="532">
        <v>5139</v>
      </c>
      <c r="AH54" s="532">
        <v>5558</v>
      </c>
      <c r="AI54" s="532">
        <v>5833</v>
      </c>
      <c r="AJ54" s="532">
        <v>6076</v>
      </c>
      <c r="AK54" s="532">
        <v>6244</v>
      </c>
      <c r="AL54" s="532">
        <v>6351</v>
      </c>
      <c r="AM54" s="533">
        <v>6540</v>
      </c>
      <c r="AN54" s="539">
        <f>'2011 Population'!M54</f>
        <v>6530</v>
      </c>
    </row>
    <row r="55" spans="1:40">
      <c r="A55" s="529" t="s">
        <v>127</v>
      </c>
      <c r="B55" s="530" t="s">
        <v>653</v>
      </c>
      <c r="C55" s="531">
        <v>321</v>
      </c>
      <c r="D55" s="532">
        <v>270</v>
      </c>
      <c r="E55" s="532">
        <v>309</v>
      </c>
      <c r="F55" s="532">
        <v>361</v>
      </c>
      <c r="G55" s="532">
        <v>331</v>
      </c>
      <c r="H55" s="532">
        <v>341</v>
      </c>
      <c r="I55" s="532">
        <v>342</v>
      </c>
      <c r="J55" s="532">
        <v>328</v>
      </c>
      <c r="K55" s="532">
        <v>318</v>
      </c>
      <c r="L55" s="532">
        <v>403</v>
      </c>
      <c r="M55" s="533">
        <v>429</v>
      </c>
      <c r="N55" s="534">
        <v>495</v>
      </c>
      <c r="P55" s="535">
        <v>9.4E-2</v>
      </c>
      <c r="Q55" s="536">
        <v>7.8E-2</v>
      </c>
      <c r="R55" s="536">
        <v>8.6999999999999994E-2</v>
      </c>
      <c r="S55" s="536">
        <v>0.1</v>
      </c>
      <c r="T55" s="536">
        <v>9.0999999999999998E-2</v>
      </c>
      <c r="U55" s="536">
        <v>9.5000000000000001E-2</v>
      </c>
      <c r="V55" s="536">
        <v>9.4E-2</v>
      </c>
      <c r="W55" s="536">
        <v>8.5999999999999993E-2</v>
      </c>
      <c r="X55" s="536">
        <v>8.199999999999999E-2</v>
      </c>
      <c r="Y55" s="536">
        <v>9.9000000000000005E-2</v>
      </c>
      <c r="Z55" s="537">
        <v>0.11</v>
      </c>
      <c r="AA55" s="538">
        <v>0.129</v>
      </c>
      <c r="AC55" s="531">
        <v>3443</v>
      </c>
      <c r="AD55" s="532">
        <v>3494</v>
      </c>
      <c r="AE55" s="532">
        <v>3508</v>
      </c>
      <c r="AF55" s="532">
        <v>3564</v>
      </c>
      <c r="AG55" s="532">
        <v>3620</v>
      </c>
      <c r="AH55" s="532">
        <v>3647</v>
      </c>
      <c r="AI55" s="532">
        <v>3834</v>
      </c>
      <c r="AJ55" s="532">
        <v>3969</v>
      </c>
      <c r="AK55" s="532">
        <v>4076</v>
      </c>
      <c r="AL55" s="532">
        <v>4104</v>
      </c>
      <c r="AM55" s="533">
        <v>3935</v>
      </c>
      <c r="AN55" s="539">
        <f>'2011 Population'!M55</f>
        <v>3887</v>
      </c>
    </row>
    <row r="56" spans="1:40">
      <c r="A56" s="529" t="s">
        <v>129</v>
      </c>
      <c r="B56" s="530" t="s">
        <v>654</v>
      </c>
      <c r="C56" s="531">
        <v>462</v>
      </c>
      <c r="D56" s="532">
        <v>394</v>
      </c>
      <c r="E56" s="532">
        <v>454</v>
      </c>
      <c r="F56" s="532">
        <v>461</v>
      </c>
      <c r="G56" s="532">
        <v>396</v>
      </c>
      <c r="H56" s="532">
        <v>454</v>
      </c>
      <c r="I56" s="532">
        <v>435</v>
      </c>
      <c r="J56" s="532">
        <v>426</v>
      </c>
      <c r="K56" s="532">
        <v>428</v>
      </c>
      <c r="L56" s="532">
        <v>427</v>
      </c>
      <c r="M56" s="533">
        <v>470</v>
      </c>
      <c r="N56" s="534">
        <v>483</v>
      </c>
      <c r="P56" s="535">
        <v>0.21500000000000002</v>
      </c>
      <c r="Q56" s="536">
        <v>0.18800000000000003</v>
      </c>
      <c r="R56" s="536">
        <v>0.214</v>
      </c>
      <c r="S56" s="536">
        <v>0.22100000000000003</v>
      </c>
      <c r="T56" s="536">
        <v>0.19299999999999998</v>
      </c>
      <c r="U56" s="536">
        <v>0.22399999999999998</v>
      </c>
      <c r="V56" s="536">
        <v>0.223</v>
      </c>
      <c r="W56" s="536">
        <v>0.215</v>
      </c>
      <c r="X56" s="536">
        <v>0.224</v>
      </c>
      <c r="Y56" s="536">
        <v>0.23</v>
      </c>
      <c r="Z56" s="537">
        <v>0.26100000000000001</v>
      </c>
      <c r="AA56" s="538">
        <v>0.27399999999999997</v>
      </c>
      <c r="AC56" s="531">
        <v>2192</v>
      </c>
      <c r="AD56" s="532">
        <v>2098</v>
      </c>
      <c r="AE56" s="532">
        <v>2052</v>
      </c>
      <c r="AF56" s="532">
        <v>2021</v>
      </c>
      <c r="AG56" s="532">
        <v>1975</v>
      </c>
      <c r="AH56" s="532">
        <v>1979</v>
      </c>
      <c r="AI56" s="532">
        <v>1942</v>
      </c>
      <c r="AJ56" s="532">
        <v>1965</v>
      </c>
      <c r="AK56" s="532">
        <v>1903</v>
      </c>
      <c r="AL56" s="532">
        <v>1876</v>
      </c>
      <c r="AM56" s="533">
        <v>1831</v>
      </c>
      <c r="AN56" s="539">
        <f>'2011 Population'!M56</f>
        <v>1781</v>
      </c>
    </row>
    <row r="57" spans="1:40">
      <c r="A57" s="529" t="s">
        <v>131</v>
      </c>
      <c r="B57" s="530" t="s">
        <v>655</v>
      </c>
      <c r="C57" s="531">
        <v>1523</v>
      </c>
      <c r="D57" s="532">
        <v>1328</v>
      </c>
      <c r="E57" s="532">
        <v>1602</v>
      </c>
      <c r="F57" s="532">
        <v>1708</v>
      </c>
      <c r="G57" s="532">
        <v>1460</v>
      </c>
      <c r="H57" s="532">
        <v>1785</v>
      </c>
      <c r="I57" s="532">
        <v>1521</v>
      </c>
      <c r="J57" s="532">
        <v>1556</v>
      </c>
      <c r="K57" s="532">
        <v>1605</v>
      </c>
      <c r="L57" s="532">
        <v>1649</v>
      </c>
      <c r="M57" s="533">
        <v>1689</v>
      </c>
      <c r="N57" s="534">
        <v>1794</v>
      </c>
      <c r="P57" s="535">
        <v>0.29699999999999999</v>
      </c>
      <c r="Q57" s="536">
        <v>0.25800000000000001</v>
      </c>
      <c r="R57" s="536">
        <v>0.308</v>
      </c>
      <c r="S57" s="536">
        <v>0.33099999999999996</v>
      </c>
      <c r="T57" s="536">
        <v>0.28499999999999998</v>
      </c>
      <c r="U57" s="536">
        <v>0.35299999999999998</v>
      </c>
      <c r="V57" s="536">
        <v>0.309</v>
      </c>
      <c r="W57" s="536">
        <v>0.31900000000000001</v>
      </c>
      <c r="X57" s="536">
        <v>0.33799999999999997</v>
      </c>
      <c r="Y57" s="536">
        <v>0.33599999999999997</v>
      </c>
      <c r="Z57" s="537">
        <v>0.33100000000000002</v>
      </c>
      <c r="AA57" s="538">
        <v>0.35600000000000004</v>
      </c>
      <c r="AC57" s="531">
        <v>5341</v>
      </c>
      <c r="AD57" s="532">
        <v>5203</v>
      </c>
      <c r="AE57" s="532">
        <v>5244</v>
      </c>
      <c r="AF57" s="532">
        <v>5243</v>
      </c>
      <c r="AG57" s="532">
        <v>5231</v>
      </c>
      <c r="AH57" s="532">
        <v>5182</v>
      </c>
      <c r="AI57" s="532">
        <v>5101</v>
      </c>
      <c r="AJ57" s="532">
        <v>5074</v>
      </c>
      <c r="AK57" s="532">
        <v>5041</v>
      </c>
      <c r="AL57" s="532">
        <v>5002</v>
      </c>
      <c r="AM57" s="533">
        <v>5177</v>
      </c>
      <c r="AN57" s="539">
        <f>'2011 Population'!M57</f>
        <v>5089</v>
      </c>
    </row>
    <row r="58" spans="1:40">
      <c r="A58" s="529" t="s">
        <v>133</v>
      </c>
      <c r="B58" s="530" t="s">
        <v>656</v>
      </c>
      <c r="C58" s="531">
        <v>1752</v>
      </c>
      <c r="D58" s="532">
        <v>1696</v>
      </c>
      <c r="E58" s="532">
        <v>2145</v>
      </c>
      <c r="F58" s="532">
        <v>2838</v>
      </c>
      <c r="G58" s="532">
        <v>2771</v>
      </c>
      <c r="H58" s="532">
        <v>2090</v>
      </c>
      <c r="I58" s="532">
        <v>2202</v>
      </c>
      <c r="J58" s="532">
        <v>2454</v>
      </c>
      <c r="K58" s="532">
        <v>3049</v>
      </c>
      <c r="L58" s="532">
        <v>3426</v>
      </c>
      <c r="M58" s="533">
        <v>4026</v>
      </c>
      <c r="N58" s="534">
        <v>4359</v>
      </c>
      <c r="P58" s="535">
        <v>3.1000000000000003E-2</v>
      </c>
      <c r="Q58" s="536">
        <v>2.8000000000000001E-2</v>
      </c>
      <c r="R58" s="536">
        <v>3.3000000000000002E-2</v>
      </c>
      <c r="S58" s="536">
        <v>4.0999999999999995E-2</v>
      </c>
      <c r="T58" s="536">
        <v>3.6999999999999998E-2</v>
      </c>
      <c r="U58" s="536">
        <v>2.8000000000000001E-2</v>
      </c>
      <c r="V58" s="536">
        <v>2.8999999999999998E-2</v>
      </c>
      <c r="W58" s="536">
        <v>2.8999999999999998E-2</v>
      </c>
      <c r="X58" s="536">
        <v>3.5000000000000003E-2</v>
      </c>
      <c r="Y58" s="536">
        <v>3.9E-2</v>
      </c>
      <c r="Z58" s="537">
        <v>4.2000000000000003E-2</v>
      </c>
      <c r="AA58" s="538">
        <v>4.4999999999999998E-2</v>
      </c>
      <c r="AC58" s="531">
        <v>51787</v>
      </c>
      <c r="AD58" s="532">
        <v>56479</v>
      </c>
      <c r="AE58" s="532">
        <v>60562</v>
      </c>
      <c r="AF58" s="532">
        <v>65287</v>
      </c>
      <c r="AG58" s="532">
        <v>70709</v>
      </c>
      <c r="AH58" s="532">
        <v>75451</v>
      </c>
      <c r="AI58" s="532">
        <v>79174</v>
      </c>
      <c r="AJ58" s="532">
        <v>82965</v>
      </c>
      <c r="AK58" s="532">
        <v>86554</v>
      </c>
      <c r="AL58" s="532">
        <v>89850</v>
      </c>
      <c r="AM58" s="533">
        <v>95434</v>
      </c>
      <c r="AN58" s="539">
        <f>'2011 Population'!M58</f>
        <v>98249</v>
      </c>
    </row>
    <row r="59" spans="1:40">
      <c r="A59" s="529" t="s">
        <v>135</v>
      </c>
      <c r="B59" s="530" t="s">
        <v>657</v>
      </c>
      <c r="C59" s="531">
        <v>856</v>
      </c>
      <c r="D59" s="532">
        <v>777</v>
      </c>
      <c r="E59" s="532">
        <v>911</v>
      </c>
      <c r="F59" s="532">
        <v>948</v>
      </c>
      <c r="G59" s="532">
        <v>864</v>
      </c>
      <c r="H59" s="532">
        <v>1022</v>
      </c>
      <c r="I59" s="532">
        <v>908</v>
      </c>
      <c r="J59" s="532">
        <v>962</v>
      </c>
      <c r="K59" s="532">
        <v>998</v>
      </c>
      <c r="L59" s="532">
        <v>1152</v>
      </c>
      <c r="M59" s="533">
        <v>1128</v>
      </c>
      <c r="N59" s="534">
        <v>1214</v>
      </c>
      <c r="P59" s="535">
        <v>0.13699999999999998</v>
      </c>
      <c r="Q59" s="536">
        <v>0.123</v>
      </c>
      <c r="R59" s="536">
        <v>0.14000000000000001</v>
      </c>
      <c r="S59" s="536">
        <v>0.14400000000000002</v>
      </c>
      <c r="T59" s="536">
        <v>0.129</v>
      </c>
      <c r="U59" s="536">
        <v>0.155</v>
      </c>
      <c r="V59" s="536">
        <v>0.13500000000000001</v>
      </c>
      <c r="W59" s="536">
        <v>0.13500000000000001</v>
      </c>
      <c r="X59" s="536">
        <v>0.13899999999999998</v>
      </c>
      <c r="Y59" s="536">
        <v>0.16200000000000001</v>
      </c>
      <c r="Z59" s="537">
        <v>0.156</v>
      </c>
      <c r="AA59" s="538">
        <v>0.17</v>
      </c>
      <c r="AC59" s="531">
        <v>6273</v>
      </c>
      <c r="AD59" s="532">
        <v>6279</v>
      </c>
      <c r="AE59" s="532">
        <v>6378</v>
      </c>
      <c r="AF59" s="532">
        <v>6493</v>
      </c>
      <c r="AG59" s="532">
        <v>6584</v>
      </c>
      <c r="AH59" s="532">
        <v>6813</v>
      </c>
      <c r="AI59" s="532">
        <v>7022</v>
      </c>
      <c r="AJ59" s="532">
        <v>7111</v>
      </c>
      <c r="AK59" s="532">
        <v>7273</v>
      </c>
      <c r="AL59" s="532">
        <v>7270</v>
      </c>
      <c r="AM59" s="533">
        <v>7338</v>
      </c>
      <c r="AN59" s="539">
        <f>'2011 Population'!M59</f>
        <v>7237</v>
      </c>
    </row>
    <row r="60" spans="1:40">
      <c r="A60" s="529" t="s">
        <v>137</v>
      </c>
      <c r="B60" s="530" t="s">
        <v>658</v>
      </c>
      <c r="C60" s="531">
        <v>582</v>
      </c>
      <c r="D60" s="532">
        <v>542</v>
      </c>
      <c r="E60" s="532">
        <v>563</v>
      </c>
      <c r="F60" s="532">
        <v>614</v>
      </c>
      <c r="G60" s="532">
        <v>557</v>
      </c>
      <c r="H60" s="532">
        <v>760</v>
      </c>
      <c r="I60" s="532">
        <v>571</v>
      </c>
      <c r="J60" s="532">
        <v>595</v>
      </c>
      <c r="K60" s="532">
        <v>618</v>
      </c>
      <c r="L60" s="532">
        <v>696</v>
      </c>
      <c r="M60" s="533">
        <v>693</v>
      </c>
      <c r="N60" s="534">
        <v>715</v>
      </c>
      <c r="P60" s="535">
        <v>0.218</v>
      </c>
      <c r="Q60" s="536">
        <v>0.20600000000000002</v>
      </c>
      <c r="R60" s="536">
        <v>0.214</v>
      </c>
      <c r="S60" s="536">
        <v>0.24300000000000002</v>
      </c>
      <c r="T60" s="536">
        <v>0.21800000000000003</v>
      </c>
      <c r="U60" s="536">
        <v>0.30100000000000005</v>
      </c>
      <c r="V60" s="536">
        <v>0.23899999999999999</v>
      </c>
      <c r="W60" s="536">
        <v>0.255</v>
      </c>
      <c r="X60" s="536">
        <v>0.27399999999999997</v>
      </c>
      <c r="Y60" s="536">
        <v>0.28800000000000003</v>
      </c>
      <c r="Z60" s="537">
        <v>0.28399999999999997</v>
      </c>
      <c r="AA60" s="538">
        <v>0.29399999999999998</v>
      </c>
      <c r="AC60" s="531">
        <v>2786</v>
      </c>
      <c r="AD60" s="532">
        <v>2698</v>
      </c>
      <c r="AE60" s="532">
        <v>2700</v>
      </c>
      <c r="AF60" s="532">
        <v>2680</v>
      </c>
      <c r="AG60" s="532">
        <v>2619</v>
      </c>
      <c r="AH60" s="532">
        <v>2591</v>
      </c>
      <c r="AI60" s="532">
        <v>2592</v>
      </c>
      <c r="AJ60" s="532">
        <v>2546</v>
      </c>
      <c r="AK60" s="532">
        <v>2505</v>
      </c>
      <c r="AL60" s="532">
        <v>2479</v>
      </c>
      <c r="AM60" s="533">
        <v>2494</v>
      </c>
      <c r="AN60" s="539">
        <f>'2011 Population'!M60</f>
        <v>2471</v>
      </c>
    </row>
    <row r="61" spans="1:40">
      <c r="A61" s="529" t="s">
        <v>141</v>
      </c>
      <c r="B61" s="530" t="s">
        <v>659</v>
      </c>
      <c r="C61" s="531">
        <v>452</v>
      </c>
      <c r="D61" s="532">
        <v>368</v>
      </c>
      <c r="E61" s="532">
        <v>361</v>
      </c>
      <c r="F61" s="532">
        <v>406</v>
      </c>
      <c r="G61" s="532">
        <v>370</v>
      </c>
      <c r="H61" s="532">
        <v>424</v>
      </c>
      <c r="I61" s="532">
        <v>386</v>
      </c>
      <c r="J61" s="532">
        <v>403</v>
      </c>
      <c r="K61" s="532">
        <v>435</v>
      </c>
      <c r="L61" s="532">
        <v>472</v>
      </c>
      <c r="M61" s="533">
        <v>508</v>
      </c>
      <c r="N61" s="534">
        <v>497</v>
      </c>
      <c r="P61" s="535">
        <v>0.152</v>
      </c>
      <c r="Q61" s="536">
        <v>0.125</v>
      </c>
      <c r="R61" s="536">
        <v>0.12199999999999998</v>
      </c>
      <c r="S61" s="536">
        <v>0.13699999999999998</v>
      </c>
      <c r="T61" s="536">
        <v>0.124</v>
      </c>
      <c r="U61" s="536">
        <v>0.14400000000000002</v>
      </c>
      <c r="V61" s="536">
        <v>0.13699999999999998</v>
      </c>
      <c r="W61" s="536">
        <v>0.13699999999999998</v>
      </c>
      <c r="X61" s="536">
        <v>0.151</v>
      </c>
      <c r="Y61" s="536">
        <v>0.16199999999999998</v>
      </c>
      <c r="Z61" s="537">
        <v>0.17399999999999999</v>
      </c>
      <c r="AA61" s="538">
        <v>0.17699999999999999</v>
      </c>
      <c r="AC61" s="531">
        <v>3022</v>
      </c>
      <c r="AD61" s="532">
        <v>3020</v>
      </c>
      <c r="AE61" s="532">
        <v>3033</v>
      </c>
      <c r="AF61" s="532">
        <v>2990</v>
      </c>
      <c r="AG61" s="532">
        <v>2972</v>
      </c>
      <c r="AH61" s="532">
        <v>2989</v>
      </c>
      <c r="AI61" s="532">
        <v>3016</v>
      </c>
      <c r="AJ61" s="532">
        <v>3032</v>
      </c>
      <c r="AK61" s="532">
        <v>2977</v>
      </c>
      <c r="AL61" s="532">
        <v>2937</v>
      </c>
      <c r="AM61" s="533">
        <v>2970</v>
      </c>
      <c r="AN61" s="539">
        <f>'2011 Population'!M61</f>
        <v>2839</v>
      </c>
    </row>
    <row r="62" spans="1:40">
      <c r="A62" s="529" t="s">
        <v>147</v>
      </c>
      <c r="B62" s="530" t="s">
        <v>660</v>
      </c>
      <c r="C62" s="531">
        <v>222</v>
      </c>
      <c r="D62" s="532">
        <v>198</v>
      </c>
      <c r="E62" s="532">
        <v>216</v>
      </c>
      <c r="F62" s="532">
        <v>243</v>
      </c>
      <c r="G62" s="532">
        <v>201</v>
      </c>
      <c r="H62" s="532">
        <v>221</v>
      </c>
      <c r="I62" s="532">
        <v>210</v>
      </c>
      <c r="J62" s="532">
        <v>190</v>
      </c>
      <c r="K62" s="532">
        <v>211</v>
      </c>
      <c r="L62" s="532">
        <v>252</v>
      </c>
      <c r="M62" s="533">
        <v>274</v>
      </c>
      <c r="N62" s="534">
        <v>287</v>
      </c>
      <c r="P62" s="535">
        <v>0.125</v>
      </c>
      <c r="Q62" s="536">
        <v>0.115</v>
      </c>
      <c r="R62" s="536">
        <v>0.127</v>
      </c>
      <c r="S62" s="536">
        <v>0.14199999999999999</v>
      </c>
      <c r="T62" s="536">
        <v>0.12</v>
      </c>
      <c r="U62" s="536">
        <v>0.13400000000000001</v>
      </c>
      <c r="V62" s="536">
        <v>0.13300000000000001</v>
      </c>
      <c r="W62" s="536">
        <v>0.125</v>
      </c>
      <c r="X62" s="536">
        <v>0.13800000000000001</v>
      </c>
      <c r="Y62" s="536">
        <v>0.158</v>
      </c>
      <c r="Z62" s="537">
        <v>0.17100000000000001</v>
      </c>
      <c r="AA62" s="538">
        <v>0.18100000000000002</v>
      </c>
      <c r="AC62" s="531">
        <v>1818</v>
      </c>
      <c r="AD62" s="532">
        <v>1803</v>
      </c>
      <c r="AE62" s="532">
        <v>1760</v>
      </c>
      <c r="AF62" s="532">
        <v>1711</v>
      </c>
      <c r="AG62" s="532">
        <v>1679</v>
      </c>
      <c r="AH62" s="532">
        <v>1652</v>
      </c>
      <c r="AI62" s="532">
        <v>1642</v>
      </c>
      <c r="AJ62" s="532">
        <v>1630</v>
      </c>
      <c r="AK62" s="532">
        <v>1664</v>
      </c>
      <c r="AL62" s="532">
        <v>1620</v>
      </c>
      <c r="AM62" s="533">
        <v>1634</v>
      </c>
      <c r="AN62" s="539">
        <f>'2011 Population'!M62</f>
        <v>1608</v>
      </c>
    </row>
    <row r="63" spans="1:40">
      <c r="A63" s="529" t="s">
        <v>149</v>
      </c>
      <c r="B63" s="530" t="s">
        <v>661</v>
      </c>
      <c r="C63" s="531">
        <v>1402</v>
      </c>
      <c r="D63" s="532">
        <v>1255</v>
      </c>
      <c r="E63" s="532">
        <v>1446</v>
      </c>
      <c r="F63" s="532">
        <v>1585</v>
      </c>
      <c r="G63" s="532">
        <v>1399</v>
      </c>
      <c r="H63" s="532">
        <v>1630</v>
      </c>
      <c r="I63" s="532">
        <v>1395</v>
      </c>
      <c r="J63" s="532">
        <v>1453</v>
      </c>
      <c r="K63" s="532">
        <v>1524</v>
      </c>
      <c r="L63" s="532">
        <v>1650</v>
      </c>
      <c r="M63" s="533">
        <v>1780</v>
      </c>
      <c r="N63" s="534">
        <v>1779</v>
      </c>
      <c r="P63" s="535">
        <v>0.20799999999999999</v>
      </c>
      <c r="Q63" s="536">
        <v>0.188</v>
      </c>
      <c r="R63" s="536">
        <v>0.21300000000000002</v>
      </c>
      <c r="S63" s="536">
        <v>0.23799999999999999</v>
      </c>
      <c r="T63" s="536">
        <v>0.20699999999999999</v>
      </c>
      <c r="U63" s="536">
        <v>0.24399999999999997</v>
      </c>
      <c r="V63" s="536">
        <v>0.22</v>
      </c>
      <c r="W63" s="536">
        <v>0.23</v>
      </c>
      <c r="X63" s="536">
        <v>0.245</v>
      </c>
      <c r="Y63" s="536">
        <v>0.26700000000000002</v>
      </c>
      <c r="Z63" s="537">
        <v>0.28399999999999997</v>
      </c>
      <c r="AA63" s="538">
        <v>0.28699999999999998</v>
      </c>
      <c r="AC63" s="531">
        <v>6964</v>
      </c>
      <c r="AD63" s="532">
        <v>6844</v>
      </c>
      <c r="AE63" s="532">
        <v>6778</v>
      </c>
      <c r="AF63" s="532">
        <v>6736</v>
      </c>
      <c r="AG63" s="532">
        <v>6697</v>
      </c>
      <c r="AH63" s="532">
        <v>6550</v>
      </c>
      <c r="AI63" s="532">
        <v>6492</v>
      </c>
      <c r="AJ63" s="532">
        <v>6432</v>
      </c>
      <c r="AK63" s="532">
        <v>6347</v>
      </c>
      <c r="AL63" s="532">
        <v>6287</v>
      </c>
      <c r="AM63" s="533">
        <v>6376</v>
      </c>
      <c r="AN63" s="539">
        <f>'2011 Population'!M63</f>
        <v>6263</v>
      </c>
    </row>
    <row r="64" spans="1:40">
      <c r="A64" s="529" t="s">
        <v>151</v>
      </c>
      <c r="B64" s="530" t="s">
        <v>662</v>
      </c>
      <c r="C64" s="531">
        <v>357</v>
      </c>
      <c r="D64" s="532">
        <v>318</v>
      </c>
      <c r="E64" s="532">
        <v>344</v>
      </c>
      <c r="F64" s="532">
        <v>367</v>
      </c>
      <c r="G64" s="532">
        <v>335</v>
      </c>
      <c r="H64" s="532">
        <v>392</v>
      </c>
      <c r="I64" s="532">
        <v>352</v>
      </c>
      <c r="J64" s="532">
        <v>359</v>
      </c>
      <c r="K64" s="532">
        <v>351</v>
      </c>
      <c r="L64" s="532">
        <v>383</v>
      </c>
      <c r="M64" s="533">
        <v>387</v>
      </c>
      <c r="N64" s="534">
        <v>397</v>
      </c>
      <c r="P64" s="535">
        <v>0.19</v>
      </c>
      <c r="Q64" s="536">
        <v>0.17199999999999999</v>
      </c>
      <c r="R64" s="536">
        <v>0.18300000000000002</v>
      </c>
      <c r="S64" s="536">
        <v>0.19600000000000001</v>
      </c>
      <c r="T64" s="536">
        <v>0.185</v>
      </c>
      <c r="U64" s="536">
        <v>0.21899999999999997</v>
      </c>
      <c r="V64" s="536">
        <v>0.19699999999999998</v>
      </c>
      <c r="W64" s="536">
        <v>0.20199999999999999</v>
      </c>
      <c r="X64" s="536">
        <v>0.20399999999999999</v>
      </c>
      <c r="Y64" s="536">
        <v>0.23</v>
      </c>
      <c r="Z64" s="537">
        <v>0.22300000000000003</v>
      </c>
      <c r="AA64" s="538">
        <v>0.23899999999999999</v>
      </c>
      <c r="AC64" s="531">
        <v>1910</v>
      </c>
      <c r="AD64" s="532">
        <v>1873</v>
      </c>
      <c r="AE64" s="532">
        <v>1837</v>
      </c>
      <c r="AF64" s="532">
        <v>1875</v>
      </c>
      <c r="AG64" s="532">
        <v>1816</v>
      </c>
      <c r="AH64" s="532">
        <v>1817</v>
      </c>
      <c r="AI64" s="532">
        <v>1783</v>
      </c>
      <c r="AJ64" s="532">
        <v>1748</v>
      </c>
      <c r="AK64" s="532">
        <v>1719</v>
      </c>
      <c r="AL64" s="532">
        <v>1706</v>
      </c>
      <c r="AM64" s="533">
        <v>1761</v>
      </c>
      <c r="AN64" s="539">
        <f>'2011 Population'!M64</f>
        <v>1689</v>
      </c>
    </row>
    <row r="65" spans="1:40">
      <c r="A65" s="529" t="s">
        <v>153</v>
      </c>
      <c r="B65" s="530" t="s">
        <v>663</v>
      </c>
      <c r="C65" s="531">
        <v>1802</v>
      </c>
      <c r="D65" s="532">
        <v>1671</v>
      </c>
      <c r="E65" s="532">
        <v>1797</v>
      </c>
      <c r="F65" s="532">
        <v>2120</v>
      </c>
      <c r="G65" s="532">
        <v>1912</v>
      </c>
      <c r="H65" s="532">
        <v>1934</v>
      </c>
      <c r="I65" s="532">
        <v>1842</v>
      </c>
      <c r="J65" s="532">
        <v>1925</v>
      </c>
      <c r="K65" s="532">
        <v>2238</v>
      </c>
      <c r="L65" s="532">
        <v>2246</v>
      </c>
      <c r="M65" s="533">
        <v>2557</v>
      </c>
      <c r="N65" s="534">
        <v>2411</v>
      </c>
      <c r="P65" s="535">
        <v>0.129</v>
      </c>
      <c r="Q65" s="536">
        <v>0.12</v>
      </c>
      <c r="R65" s="536">
        <v>0.129</v>
      </c>
      <c r="S65" s="536">
        <v>0.153</v>
      </c>
      <c r="T65" s="536">
        <v>0.14300000000000002</v>
      </c>
      <c r="U65" s="536">
        <v>0.14699999999999999</v>
      </c>
      <c r="V65" s="536">
        <v>0.13499999999999998</v>
      </c>
      <c r="W65" s="536">
        <v>0.13599999999999998</v>
      </c>
      <c r="X65" s="536">
        <v>0.155</v>
      </c>
      <c r="Y65" s="536">
        <v>0.154</v>
      </c>
      <c r="Z65" s="537">
        <v>0.17199999999999999</v>
      </c>
      <c r="AA65" s="538">
        <v>0.17</v>
      </c>
      <c r="AC65" s="531">
        <v>14243</v>
      </c>
      <c r="AD65" s="532">
        <v>14200</v>
      </c>
      <c r="AE65" s="532">
        <v>14142</v>
      </c>
      <c r="AF65" s="532">
        <v>14095</v>
      </c>
      <c r="AG65" s="532">
        <v>14290</v>
      </c>
      <c r="AH65" s="532">
        <v>14346</v>
      </c>
      <c r="AI65" s="532">
        <v>14385</v>
      </c>
      <c r="AJ65" s="532">
        <v>14579</v>
      </c>
      <c r="AK65" s="532">
        <v>14779</v>
      </c>
      <c r="AL65" s="532">
        <v>14848</v>
      </c>
      <c r="AM65" s="533">
        <v>15115</v>
      </c>
      <c r="AN65" s="539">
        <f>'2011 Population'!M65</f>
        <v>14420</v>
      </c>
    </row>
    <row r="66" spans="1:40">
      <c r="A66" s="529" t="s">
        <v>155</v>
      </c>
      <c r="B66" s="530" t="s">
        <v>664</v>
      </c>
      <c r="C66" s="531">
        <v>454</v>
      </c>
      <c r="D66" s="532">
        <v>424</v>
      </c>
      <c r="E66" s="532">
        <v>472</v>
      </c>
      <c r="F66" s="532">
        <v>512</v>
      </c>
      <c r="G66" s="532">
        <v>434</v>
      </c>
      <c r="H66" s="532">
        <v>504</v>
      </c>
      <c r="I66" s="532">
        <v>463</v>
      </c>
      <c r="J66" s="532">
        <v>479</v>
      </c>
      <c r="K66" s="532">
        <v>532</v>
      </c>
      <c r="L66" s="532">
        <v>536</v>
      </c>
      <c r="M66" s="533">
        <v>592</v>
      </c>
      <c r="N66" s="534">
        <v>599</v>
      </c>
      <c r="P66" s="535">
        <v>0.14599999999999999</v>
      </c>
      <c r="Q66" s="536">
        <v>0.13700000000000001</v>
      </c>
      <c r="R66" s="536">
        <v>0.151</v>
      </c>
      <c r="S66" s="536">
        <v>0.16700000000000001</v>
      </c>
      <c r="T66" s="536">
        <v>0.14199999999999999</v>
      </c>
      <c r="U66" s="536">
        <v>0.16699999999999998</v>
      </c>
      <c r="V66" s="536">
        <v>0.158</v>
      </c>
      <c r="W66" s="536">
        <v>0.16199999999999998</v>
      </c>
      <c r="X66" s="536">
        <v>0.18100000000000002</v>
      </c>
      <c r="Y66" s="536">
        <v>0.18399999999999997</v>
      </c>
      <c r="Z66" s="537">
        <v>0.20899999999999999</v>
      </c>
      <c r="AA66" s="538">
        <v>0.21</v>
      </c>
      <c r="AC66" s="531">
        <v>3127</v>
      </c>
      <c r="AD66" s="532">
        <v>3087</v>
      </c>
      <c r="AE66" s="532">
        <v>3097</v>
      </c>
      <c r="AF66" s="532">
        <v>3077</v>
      </c>
      <c r="AG66" s="532">
        <v>3044</v>
      </c>
      <c r="AH66" s="532">
        <v>2999</v>
      </c>
      <c r="AI66" s="532">
        <v>2957</v>
      </c>
      <c r="AJ66" s="532">
        <v>2965</v>
      </c>
      <c r="AK66" s="532">
        <v>2952</v>
      </c>
      <c r="AL66" s="532">
        <v>2955</v>
      </c>
      <c r="AM66" s="533">
        <v>2892</v>
      </c>
      <c r="AN66" s="539">
        <f>'2011 Population'!M66</f>
        <v>2882</v>
      </c>
    </row>
    <row r="67" spans="1:40">
      <c r="A67" s="529" t="s">
        <v>157</v>
      </c>
      <c r="B67" s="530" t="s">
        <v>665</v>
      </c>
      <c r="C67" s="531">
        <v>257</v>
      </c>
      <c r="D67" s="532">
        <v>233</v>
      </c>
      <c r="E67" s="532">
        <v>270</v>
      </c>
      <c r="F67" s="532">
        <v>291</v>
      </c>
      <c r="G67" s="532">
        <v>268</v>
      </c>
      <c r="H67" s="532">
        <v>280</v>
      </c>
      <c r="I67" s="532">
        <v>285</v>
      </c>
      <c r="J67" s="532">
        <v>285</v>
      </c>
      <c r="K67" s="532">
        <v>307</v>
      </c>
      <c r="L67" s="532">
        <v>341</v>
      </c>
      <c r="M67" s="533">
        <v>334</v>
      </c>
      <c r="N67" s="534">
        <v>428</v>
      </c>
      <c r="P67" s="535">
        <v>7.8E-2</v>
      </c>
      <c r="Q67" s="536">
        <v>7.0999999999999994E-2</v>
      </c>
      <c r="R67" s="536">
        <v>0.08</v>
      </c>
      <c r="S67" s="536">
        <v>8.4000000000000005E-2</v>
      </c>
      <c r="T67" s="536">
        <v>7.6999999999999999E-2</v>
      </c>
      <c r="U67" s="536">
        <v>8.1000000000000003E-2</v>
      </c>
      <c r="V67" s="536">
        <v>8.1000000000000003E-2</v>
      </c>
      <c r="W67" s="536">
        <v>7.5999999999999998E-2</v>
      </c>
      <c r="X67" s="536">
        <v>8.0999999999999989E-2</v>
      </c>
      <c r="Y67" s="536">
        <v>8.8999999999999996E-2</v>
      </c>
      <c r="Z67" s="537">
        <v>8.4000000000000005E-2</v>
      </c>
      <c r="AA67" s="538">
        <v>0.10800000000000001</v>
      </c>
      <c r="AC67" s="531">
        <v>3374</v>
      </c>
      <c r="AD67" s="532">
        <v>3362</v>
      </c>
      <c r="AE67" s="532">
        <v>3378</v>
      </c>
      <c r="AF67" s="532">
        <v>3457</v>
      </c>
      <c r="AG67" s="532">
        <v>3551</v>
      </c>
      <c r="AH67" s="532">
        <v>3656</v>
      </c>
      <c r="AI67" s="532">
        <v>3754</v>
      </c>
      <c r="AJ67" s="532">
        <v>3876</v>
      </c>
      <c r="AK67" s="532">
        <v>3925</v>
      </c>
      <c r="AL67" s="532">
        <v>3957</v>
      </c>
      <c r="AM67" s="533">
        <v>4101</v>
      </c>
      <c r="AN67" s="539">
        <f>'2011 Population'!M67</f>
        <v>4096</v>
      </c>
    </row>
    <row r="68" spans="1:40">
      <c r="A68" s="529" t="s">
        <v>163</v>
      </c>
      <c r="B68" s="530" t="s">
        <v>666</v>
      </c>
      <c r="C68" s="531">
        <v>794</v>
      </c>
      <c r="D68" s="532">
        <v>719</v>
      </c>
      <c r="E68" s="532">
        <v>775</v>
      </c>
      <c r="F68" s="532">
        <v>838</v>
      </c>
      <c r="G68" s="532">
        <v>743</v>
      </c>
      <c r="H68" s="532">
        <v>853</v>
      </c>
      <c r="I68" s="532">
        <v>838</v>
      </c>
      <c r="J68" s="532">
        <v>922</v>
      </c>
      <c r="K68" s="532">
        <v>877</v>
      </c>
      <c r="L68" s="532">
        <v>933</v>
      </c>
      <c r="M68" s="533">
        <v>760</v>
      </c>
      <c r="N68" s="534">
        <v>843</v>
      </c>
      <c r="P68" s="535">
        <v>0.27100000000000002</v>
      </c>
      <c r="Q68" s="536">
        <v>0.24300000000000002</v>
      </c>
      <c r="R68" s="536">
        <v>0.252</v>
      </c>
      <c r="S68" s="536">
        <v>0.28400000000000003</v>
      </c>
      <c r="T68" s="536">
        <v>0.24399999999999997</v>
      </c>
      <c r="U68" s="536">
        <v>0.28500000000000003</v>
      </c>
      <c r="V68" s="536">
        <v>0.28299999999999997</v>
      </c>
      <c r="W68" s="536">
        <v>0.315</v>
      </c>
      <c r="X68" s="536">
        <v>0.30599999999999999</v>
      </c>
      <c r="Y68" s="536">
        <v>0.32200000000000006</v>
      </c>
      <c r="Z68" s="537">
        <v>0.316</v>
      </c>
      <c r="AA68" s="538">
        <v>0.35100000000000003</v>
      </c>
      <c r="AC68" s="531">
        <v>3032</v>
      </c>
      <c r="AD68" s="532">
        <v>2995</v>
      </c>
      <c r="AE68" s="532">
        <v>2947</v>
      </c>
      <c r="AF68" s="532">
        <v>2943</v>
      </c>
      <c r="AG68" s="532">
        <v>3002</v>
      </c>
      <c r="AH68" s="532">
        <v>3039</v>
      </c>
      <c r="AI68" s="532">
        <v>3030</v>
      </c>
      <c r="AJ68" s="532">
        <v>2966</v>
      </c>
      <c r="AK68" s="532">
        <v>2980</v>
      </c>
      <c r="AL68" s="532">
        <v>2975</v>
      </c>
      <c r="AM68" s="533">
        <v>2436</v>
      </c>
      <c r="AN68" s="539">
        <f>'2011 Population'!M68</f>
        <v>2421</v>
      </c>
    </row>
    <row r="69" spans="1:40">
      <c r="A69" s="529" t="s">
        <v>165</v>
      </c>
      <c r="B69" s="530" t="s">
        <v>667</v>
      </c>
      <c r="C69" s="531">
        <v>445</v>
      </c>
      <c r="D69" s="532">
        <v>422</v>
      </c>
      <c r="E69" s="532">
        <v>472</v>
      </c>
      <c r="F69" s="532">
        <v>502</v>
      </c>
      <c r="G69" s="532">
        <v>426</v>
      </c>
      <c r="H69" s="532">
        <v>506</v>
      </c>
      <c r="I69" s="532">
        <v>518</v>
      </c>
      <c r="J69" s="532">
        <v>526</v>
      </c>
      <c r="K69" s="532">
        <v>555</v>
      </c>
      <c r="L69" s="532">
        <v>549</v>
      </c>
      <c r="M69" s="533">
        <v>558</v>
      </c>
      <c r="N69" s="534">
        <v>559</v>
      </c>
      <c r="P69" s="535">
        <v>0.20199999999999999</v>
      </c>
      <c r="Q69" s="536">
        <v>0.18399999999999997</v>
      </c>
      <c r="R69" s="536">
        <v>0.20199999999999999</v>
      </c>
      <c r="S69" s="536">
        <v>0.218</v>
      </c>
      <c r="T69" s="536">
        <v>0.19</v>
      </c>
      <c r="U69" s="536">
        <v>0.22900000000000001</v>
      </c>
      <c r="V69" s="536">
        <v>0.23700000000000002</v>
      </c>
      <c r="W69" s="536">
        <v>0.23199999999999998</v>
      </c>
      <c r="X69" s="536">
        <v>0.247</v>
      </c>
      <c r="Y69" s="536">
        <v>0.26600000000000001</v>
      </c>
      <c r="Z69" s="537">
        <v>0.28200000000000003</v>
      </c>
      <c r="AA69" s="538">
        <v>0.28300000000000003</v>
      </c>
      <c r="AC69" s="531">
        <v>2281</v>
      </c>
      <c r="AD69" s="532">
        <v>2208</v>
      </c>
      <c r="AE69" s="532">
        <v>2286</v>
      </c>
      <c r="AF69" s="532">
        <v>2274</v>
      </c>
      <c r="AG69" s="532">
        <v>2205</v>
      </c>
      <c r="AH69" s="532">
        <v>2185</v>
      </c>
      <c r="AI69" s="532">
        <v>2159</v>
      </c>
      <c r="AJ69" s="532">
        <v>2178</v>
      </c>
      <c r="AK69" s="532">
        <v>2119</v>
      </c>
      <c r="AL69" s="532">
        <v>2084</v>
      </c>
      <c r="AM69" s="533">
        <v>2021</v>
      </c>
      <c r="AN69" s="539">
        <f>'2011 Population'!M69</f>
        <v>2007</v>
      </c>
    </row>
    <row r="70" spans="1:40">
      <c r="A70" s="529" t="s">
        <v>169</v>
      </c>
      <c r="B70" s="530" t="s">
        <v>668</v>
      </c>
      <c r="C70" s="531">
        <v>799</v>
      </c>
      <c r="D70" s="532">
        <v>698</v>
      </c>
      <c r="E70" s="532">
        <v>748</v>
      </c>
      <c r="F70" s="532">
        <v>826</v>
      </c>
      <c r="G70" s="532">
        <v>733</v>
      </c>
      <c r="H70" s="532">
        <v>873</v>
      </c>
      <c r="I70" s="532">
        <v>811</v>
      </c>
      <c r="J70" s="532">
        <v>798</v>
      </c>
      <c r="K70" s="532">
        <v>862</v>
      </c>
      <c r="L70" s="532">
        <v>901</v>
      </c>
      <c r="M70" s="533">
        <v>895</v>
      </c>
      <c r="N70" s="534">
        <v>940</v>
      </c>
      <c r="P70" s="535">
        <v>0.224</v>
      </c>
      <c r="Q70" s="536">
        <v>0.20200000000000001</v>
      </c>
      <c r="R70" s="536">
        <v>0.21699999999999997</v>
      </c>
      <c r="S70" s="536">
        <v>0.23899999999999999</v>
      </c>
      <c r="T70" s="536">
        <v>0.218</v>
      </c>
      <c r="U70" s="536">
        <v>0.26300000000000001</v>
      </c>
      <c r="V70" s="536">
        <v>0.25</v>
      </c>
      <c r="W70" s="536">
        <v>0.24899999999999997</v>
      </c>
      <c r="X70" s="536">
        <v>0.27200000000000002</v>
      </c>
      <c r="Y70" s="536">
        <v>0.27499999999999997</v>
      </c>
      <c r="Z70" s="537">
        <v>0.27900000000000003</v>
      </c>
      <c r="AA70" s="538">
        <v>0.29100000000000004</v>
      </c>
      <c r="AC70" s="531">
        <v>3601</v>
      </c>
      <c r="AD70" s="532">
        <v>3634</v>
      </c>
      <c r="AE70" s="532">
        <v>3640</v>
      </c>
      <c r="AF70" s="532">
        <v>3579</v>
      </c>
      <c r="AG70" s="532">
        <v>3575</v>
      </c>
      <c r="AH70" s="532">
        <v>3518</v>
      </c>
      <c r="AI70" s="532">
        <v>3432</v>
      </c>
      <c r="AJ70" s="532">
        <v>3409</v>
      </c>
      <c r="AK70" s="532">
        <v>3370</v>
      </c>
      <c r="AL70" s="532">
        <v>3343</v>
      </c>
      <c r="AM70" s="533">
        <v>3263</v>
      </c>
      <c r="AN70" s="539">
        <f>'2011 Population'!M70</f>
        <v>3265</v>
      </c>
    </row>
    <row r="71" spans="1:40">
      <c r="A71" s="529" t="s">
        <v>171</v>
      </c>
      <c r="B71" s="530" t="s">
        <v>669</v>
      </c>
      <c r="C71" s="531">
        <v>767</v>
      </c>
      <c r="D71" s="532">
        <v>694</v>
      </c>
      <c r="E71" s="532">
        <v>724</v>
      </c>
      <c r="F71" s="532">
        <v>778</v>
      </c>
      <c r="G71" s="532">
        <v>722</v>
      </c>
      <c r="H71" s="532">
        <v>825</v>
      </c>
      <c r="I71" s="532">
        <v>706</v>
      </c>
      <c r="J71" s="532">
        <v>774</v>
      </c>
      <c r="K71" s="532">
        <v>845</v>
      </c>
      <c r="L71" s="532">
        <v>1051</v>
      </c>
      <c r="M71" s="533">
        <v>1120</v>
      </c>
      <c r="N71" s="534">
        <v>1292</v>
      </c>
      <c r="P71" s="535">
        <v>0.128</v>
      </c>
      <c r="Q71" s="536">
        <v>0.115</v>
      </c>
      <c r="R71" s="536">
        <v>0.11699999999999999</v>
      </c>
      <c r="S71" s="536">
        <v>0.123</v>
      </c>
      <c r="T71" s="536">
        <v>0.112</v>
      </c>
      <c r="U71" s="536">
        <v>0.129</v>
      </c>
      <c r="V71" s="536">
        <v>0.10800000000000001</v>
      </c>
      <c r="W71" s="536">
        <v>0.10800000000000001</v>
      </c>
      <c r="X71" s="536">
        <v>0.11699999999999999</v>
      </c>
      <c r="Y71" s="536">
        <v>0.13899999999999998</v>
      </c>
      <c r="Z71" s="537">
        <v>0.14799999999999999</v>
      </c>
      <c r="AA71" s="538">
        <v>0.17199999999999999</v>
      </c>
      <c r="AC71" s="531">
        <v>5961</v>
      </c>
      <c r="AD71" s="532">
        <v>6068</v>
      </c>
      <c r="AE71" s="532">
        <v>6081</v>
      </c>
      <c r="AF71" s="532">
        <v>6187</v>
      </c>
      <c r="AG71" s="532">
        <v>6336</v>
      </c>
      <c r="AH71" s="532">
        <v>6688</v>
      </c>
      <c r="AI71" s="532">
        <v>7108</v>
      </c>
      <c r="AJ71" s="532">
        <v>7430</v>
      </c>
      <c r="AK71" s="532">
        <v>7662</v>
      </c>
      <c r="AL71" s="532">
        <v>7684</v>
      </c>
      <c r="AM71" s="533">
        <v>7662</v>
      </c>
      <c r="AN71" s="539">
        <f>'2011 Population'!M71</f>
        <v>7620</v>
      </c>
    </row>
    <row r="72" spans="1:40">
      <c r="A72" s="529" t="s">
        <v>173</v>
      </c>
      <c r="B72" s="530" t="s">
        <v>670</v>
      </c>
      <c r="C72" s="531">
        <v>816</v>
      </c>
      <c r="D72" s="532">
        <v>734</v>
      </c>
      <c r="E72" s="532">
        <v>796</v>
      </c>
      <c r="F72" s="532">
        <v>895</v>
      </c>
      <c r="G72" s="532">
        <v>819</v>
      </c>
      <c r="H72" s="532">
        <v>997</v>
      </c>
      <c r="I72" s="532">
        <v>926</v>
      </c>
      <c r="J72" s="532">
        <v>899</v>
      </c>
      <c r="K72" s="532">
        <v>1035</v>
      </c>
      <c r="L72" s="532">
        <v>1031</v>
      </c>
      <c r="M72" s="533">
        <v>1159</v>
      </c>
      <c r="N72" s="534">
        <v>1172</v>
      </c>
      <c r="P72" s="535">
        <v>0.157</v>
      </c>
      <c r="Q72" s="536">
        <v>0.14300000000000002</v>
      </c>
      <c r="R72" s="536">
        <v>0.153</v>
      </c>
      <c r="S72" s="536">
        <v>0.17300000000000001</v>
      </c>
      <c r="T72" s="536">
        <v>0.158</v>
      </c>
      <c r="U72" s="536">
        <v>0.19500000000000001</v>
      </c>
      <c r="V72" s="536">
        <v>0.18300000000000002</v>
      </c>
      <c r="W72" s="536">
        <v>0.17899999999999999</v>
      </c>
      <c r="X72" s="536">
        <v>0.20800000000000002</v>
      </c>
      <c r="Y72" s="536">
        <v>0.20700000000000002</v>
      </c>
      <c r="Z72" s="537">
        <v>0.22700000000000001</v>
      </c>
      <c r="AA72" s="538">
        <v>0.23499999999999999</v>
      </c>
      <c r="AC72" s="531">
        <v>5316</v>
      </c>
      <c r="AD72" s="532">
        <v>5243</v>
      </c>
      <c r="AE72" s="532">
        <v>5237</v>
      </c>
      <c r="AF72" s="532">
        <v>5247</v>
      </c>
      <c r="AG72" s="532">
        <v>5254</v>
      </c>
      <c r="AH72" s="532">
        <v>5220</v>
      </c>
      <c r="AI72" s="532">
        <v>5242</v>
      </c>
      <c r="AJ72" s="532">
        <v>5180</v>
      </c>
      <c r="AK72" s="532">
        <v>5155</v>
      </c>
      <c r="AL72" s="532">
        <v>5082</v>
      </c>
      <c r="AM72" s="533">
        <v>5193</v>
      </c>
      <c r="AN72" s="539">
        <f>'2011 Population'!M72</f>
        <v>5045</v>
      </c>
    </row>
    <row r="73" spans="1:40">
      <c r="A73" s="529" t="s">
        <v>175</v>
      </c>
      <c r="B73" s="530" t="s">
        <v>671</v>
      </c>
      <c r="C73" s="531">
        <v>736</v>
      </c>
      <c r="D73" s="532">
        <v>671</v>
      </c>
      <c r="E73" s="532">
        <v>723</v>
      </c>
      <c r="F73" s="532">
        <v>848</v>
      </c>
      <c r="G73" s="532">
        <v>748</v>
      </c>
      <c r="H73" s="532">
        <v>859</v>
      </c>
      <c r="I73" s="532">
        <v>767</v>
      </c>
      <c r="J73" s="532">
        <v>803</v>
      </c>
      <c r="K73" s="532">
        <v>863</v>
      </c>
      <c r="L73" s="532">
        <v>928</v>
      </c>
      <c r="M73" s="533">
        <v>978</v>
      </c>
      <c r="N73" s="534">
        <v>919</v>
      </c>
      <c r="P73" s="535">
        <v>0.18000000000000002</v>
      </c>
      <c r="Q73" s="536">
        <v>0.16899999999999998</v>
      </c>
      <c r="R73" s="536">
        <v>0.18399999999999997</v>
      </c>
      <c r="S73" s="536">
        <v>0.218</v>
      </c>
      <c r="T73" s="536">
        <v>0.19500000000000001</v>
      </c>
      <c r="U73" s="536">
        <v>0.22700000000000001</v>
      </c>
      <c r="V73" s="536">
        <v>0.20799999999999999</v>
      </c>
      <c r="W73" s="536">
        <v>0.221</v>
      </c>
      <c r="X73" s="536">
        <v>0.24399999999999999</v>
      </c>
      <c r="Y73" s="536">
        <v>0.26699999999999996</v>
      </c>
      <c r="Z73" s="537">
        <v>0.28100000000000003</v>
      </c>
      <c r="AA73" s="538">
        <v>0.27</v>
      </c>
      <c r="AC73" s="531">
        <v>4203</v>
      </c>
      <c r="AD73" s="532">
        <v>4074</v>
      </c>
      <c r="AE73" s="532">
        <v>3959</v>
      </c>
      <c r="AF73" s="532">
        <v>3838</v>
      </c>
      <c r="AG73" s="532">
        <v>3776</v>
      </c>
      <c r="AH73" s="532">
        <v>3714</v>
      </c>
      <c r="AI73" s="532">
        <v>3649</v>
      </c>
      <c r="AJ73" s="532">
        <v>3660</v>
      </c>
      <c r="AK73" s="532">
        <v>3613</v>
      </c>
      <c r="AL73" s="532">
        <v>3519</v>
      </c>
      <c r="AM73" s="533">
        <v>3566</v>
      </c>
      <c r="AN73" s="539">
        <f>'2011 Population'!M73</f>
        <v>3460</v>
      </c>
    </row>
    <row r="74" spans="1:40">
      <c r="A74" s="529" t="s">
        <v>179</v>
      </c>
      <c r="B74" s="530" t="s">
        <v>180</v>
      </c>
      <c r="C74" s="531">
        <v>2045</v>
      </c>
      <c r="D74" s="532">
        <v>1937</v>
      </c>
      <c r="E74" s="532">
        <v>2274</v>
      </c>
      <c r="F74" s="532">
        <v>2478</v>
      </c>
      <c r="G74" s="532">
        <v>2214</v>
      </c>
      <c r="H74" s="532">
        <v>2542</v>
      </c>
      <c r="I74" s="532">
        <v>2278</v>
      </c>
      <c r="J74" s="532">
        <v>2198</v>
      </c>
      <c r="K74" s="532">
        <v>2305</v>
      </c>
      <c r="L74" s="532">
        <v>2664</v>
      </c>
      <c r="M74" s="533">
        <v>2968</v>
      </c>
      <c r="N74" s="534">
        <v>2694</v>
      </c>
      <c r="P74" s="535">
        <v>0.14599999999999999</v>
      </c>
      <c r="Q74" s="536">
        <v>0.14100000000000001</v>
      </c>
      <c r="R74" s="536">
        <v>0.16500000000000001</v>
      </c>
      <c r="S74" s="536">
        <v>0.182</v>
      </c>
      <c r="T74" s="536">
        <v>0.16300000000000001</v>
      </c>
      <c r="U74" s="536">
        <v>0.19</v>
      </c>
      <c r="V74" s="536">
        <v>0.17599999999999999</v>
      </c>
      <c r="W74" s="536">
        <v>0.17199999999999999</v>
      </c>
      <c r="X74" s="536">
        <v>0.18300000000000002</v>
      </c>
      <c r="Y74" s="536">
        <v>0.20499999999999999</v>
      </c>
      <c r="Z74" s="537">
        <v>0.224</v>
      </c>
      <c r="AA74" s="538">
        <v>0.20800000000000002</v>
      </c>
      <c r="AC74" s="531">
        <v>14193</v>
      </c>
      <c r="AD74" s="532">
        <v>14129</v>
      </c>
      <c r="AE74" s="532">
        <v>13983</v>
      </c>
      <c r="AF74" s="532">
        <v>13807</v>
      </c>
      <c r="AG74" s="532">
        <v>13768</v>
      </c>
      <c r="AH74" s="532">
        <v>13646</v>
      </c>
      <c r="AI74" s="532">
        <v>13441</v>
      </c>
      <c r="AJ74" s="532">
        <v>13378</v>
      </c>
      <c r="AK74" s="532">
        <v>13331</v>
      </c>
      <c r="AL74" s="532">
        <v>13149</v>
      </c>
      <c r="AM74" s="533">
        <v>13485</v>
      </c>
      <c r="AN74" s="539">
        <f>'2011 Population'!M74</f>
        <v>13078</v>
      </c>
    </row>
    <row r="75" spans="1:40">
      <c r="A75" s="529" t="s">
        <v>183</v>
      </c>
      <c r="B75" s="530" t="s">
        <v>673</v>
      </c>
      <c r="C75" s="531">
        <v>373</v>
      </c>
      <c r="D75" s="532">
        <v>324</v>
      </c>
      <c r="E75" s="532">
        <v>346</v>
      </c>
      <c r="F75" s="532">
        <v>403</v>
      </c>
      <c r="G75" s="532">
        <v>386</v>
      </c>
      <c r="H75" s="532">
        <v>392</v>
      </c>
      <c r="I75" s="532">
        <v>373</v>
      </c>
      <c r="J75" s="532">
        <v>382</v>
      </c>
      <c r="K75" s="532">
        <v>433</v>
      </c>
      <c r="L75" s="532">
        <v>472</v>
      </c>
      <c r="M75" s="533">
        <v>569</v>
      </c>
      <c r="N75" s="534">
        <v>576</v>
      </c>
      <c r="P75" s="535">
        <v>7.0000000000000007E-2</v>
      </c>
      <c r="Q75" s="536">
        <v>0.06</v>
      </c>
      <c r="R75" s="536">
        <v>6.3E-2</v>
      </c>
      <c r="S75" s="536">
        <v>7.0999999999999994E-2</v>
      </c>
      <c r="T75" s="536">
        <v>6.7000000000000004E-2</v>
      </c>
      <c r="U75" s="536">
        <v>6.9000000000000006E-2</v>
      </c>
      <c r="V75" s="536">
        <v>6.5000000000000002E-2</v>
      </c>
      <c r="W75" s="536">
        <v>6.4000000000000001E-2</v>
      </c>
      <c r="X75" s="536">
        <v>7.400000000000001E-2</v>
      </c>
      <c r="Y75" s="536">
        <v>7.6999999999999999E-2</v>
      </c>
      <c r="Z75" s="537">
        <v>9.1999999999999985E-2</v>
      </c>
      <c r="AA75" s="538">
        <v>9.6999999999999989E-2</v>
      </c>
      <c r="AC75" s="531">
        <v>5413</v>
      </c>
      <c r="AD75" s="532">
        <v>5492</v>
      </c>
      <c r="AE75" s="532">
        <v>5742</v>
      </c>
      <c r="AF75" s="532">
        <v>5915</v>
      </c>
      <c r="AG75" s="532">
        <v>6044</v>
      </c>
      <c r="AH75" s="532">
        <v>6226</v>
      </c>
      <c r="AI75" s="532">
        <v>6395</v>
      </c>
      <c r="AJ75" s="532">
        <v>6365</v>
      </c>
      <c r="AK75" s="532">
        <v>6270</v>
      </c>
      <c r="AL75" s="532">
        <v>6290</v>
      </c>
      <c r="AM75" s="533">
        <v>6477</v>
      </c>
      <c r="AN75" s="539">
        <f>'2011 Population'!M75</f>
        <v>6162</v>
      </c>
    </row>
    <row r="76" spans="1:40">
      <c r="A76" s="529" t="s">
        <v>185</v>
      </c>
      <c r="B76" s="530" t="s">
        <v>674</v>
      </c>
      <c r="C76" s="531">
        <v>864</v>
      </c>
      <c r="D76" s="532">
        <v>791</v>
      </c>
      <c r="E76" s="532">
        <v>876</v>
      </c>
      <c r="F76" s="532">
        <v>918</v>
      </c>
      <c r="G76" s="532">
        <v>850</v>
      </c>
      <c r="H76" s="532">
        <v>1000</v>
      </c>
      <c r="I76" s="532">
        <v>935</v>
      </c>
      <c r="J76" s="532">
        <v>919</v>
      </c>
      <c r="K76" s="532">
        <v>1023</v>
      </c>
      <c r="L76" s="532">
        <v>990</v>
      </c>
      <c r="M76" s="533">
        <v>1071</v>
      </c>
      <c r="N76" s="534">
        <v>1069</v>
      </c>
      <c r="P76" s="535">
        <v>0.22399999999999998</v>
      </c>
      <c r="Q76" s="536">
        <v>0.20199999999999999</v>
      </c>
      <c r="R76" s="536">
        <v>0.218</v>
      </c>
      <c r="S76" s="536">
        <v>0.23399999999999999</v>
      </c>
      <c r="T76" s="536">
        <v>0.21800000000000003</v>
      </c>
      <c r="U76" s="536">
        <v>0.26</v>
      </c>
      <c r="V76" s="536">
        <v>0.249</v>
      </c>
      <c r="W76" s="536">
        <v>0.23899999999999999</v>
      </c>
      <c r="X76" s="536">
        <v>0.26600000000000001</v>
      </c>
      <c r="Y76" s="536">
        <v>0.25600000000000001</v>
      </c>
      <c r="Z76" s="537">
        <v>0.27</v>
      </c>
      <c r="AA76" s="538">
        <v>0.27300000000000002</v>
      </c>
      <c r="AC76" s="531">
        <v>3971</v>
      </c>
      <c r="AD76" s="532">
        <v>3894</v>
      </c>
      <c r="AE76" s="532">
        <v>3968</v>
      </c>
      <c r="AF76" s="532">
        <v>3958</v>
      </c>
      <c r="AG76" s="532">
        <v>3951</v>
      </c>
      <c r="AH76" s="532">
        <v>3948</v>
      </c>
      <c r="AI76" s="532">
        <v>3881</v>
      </c>
      <c r="AJ76" s="532">
        <v>3893</v>
      </c>
      <c r="AK76" s="532">
        <v>3950</v>
      </c>
      <c r="AL76" s="532">
        <v>3935</v>
      </c>
      <c r="AM76" s="533">
        <v>4057</v>
      </c>
      <c r="AN76" s="539">
        <f>'2011 Population'!M76</f>
        <v>3992</v>
      </c>
    </row>
    <row r="77" spans="1:40">
      <c r="A77" s="529" t="s">
        <v>187</v>
      </c>
      <c r="B77" s="530" t="s">
        <v>675</v>
      </c>
      <c r="C77" s="531">
        <v>795</v>
      </c>
      <c r="D77" s="532">
        <v>708</v>
      </c>
      <c r="E77" s="532">
        <v>695</v>
      </c>
      <c r="F77" s="532">
        <v>924</v>
      </c>
      <c r="G77" s="532">
        <v>778</v>
      </c>
      <c r="H77" s="532">
        <v>816</v>
      </c>
      <c r="I77" s="532">
        <v>785</v>
      </c>
      <c r="J77" s="532">
        <v>819</v>
      </c>
      <c r="K77" s="532">
        <v>931</v>
      </c>
      <c r="L77" s="532">
        <v>941</v>
      </c>
      <c r="M77" s="533">
        <v>1006</v>
      </c>
      <c r="N77" s="534">
        <v>1111</v>
      </c>
      <c r="P77" s="535">
        <v>9.6000000000000002E-2</v>
      </c>
      <c r="Q77" s="536">
        <v>8.6000000000000007E-2</v>
      </c>
      <c r="R77" s="536">
        <v>8.5000000000000006E-2</v>
      </c>
      <c r="S77" s="536">
        <v>0.115</v>
      </c>
      <c r="T77" s="536">
        <v>9.6999999999999989E-2</v>
      </c>
      <c r="U77" s="536">
        <v>0.10300000000000001</v>
      </c>
      <c r="V77" s="536">
        <v>0.10400000000000001</v>
      </c>
      <c r="W77" s="536">
        <v>0.111</v>
      </c>
      <c r="X77" s="536">
        <v>0.128</v>
      </c>
      <c r="Y77" s="536">
        <v>0.11599999999999999</v>
      </c>
      <c r="Z77" s="537">
        <v>0.127</v>
      </c>
      <c r="AA77" s="538">
        <v>0.13600000000000001</v>
      </c>
      <c r="AC77" s="531">
        <v>8306</v>
      </c>
      <c r="AD77" s="532">
        <v>8450</v>
      </c>
      <c r="AE77" s="532">
        <v>8508</v>
      </c>
      <c r="AF77" s="532">
        <v>8585</v>
      </c>
      <c r="AG77" s="532">
        <v>8588</v>
      </c>
      <c r="AH77" s="532">
        <v>8540</v>
      </c>
      <c r="AI77" s="532">
        <v>8281</v>
      </c>
      <c r="AJ77" s="532">
        <v>8115</v>
      </c>
      <c r="AK77" s="532">
        <v>8030</v>
      </c>
      <c r="AL77" s="532">
        <v>8257</v>
      </c>
      <c r="AM77" s="533">
        <v>8052</v>
      </c>
      <c r="AN77" s="539">
        <f>'2011 Population'!M77</f>
        <v>8221</v>
      </c>
    </row>
    <row r="78" spans="1:40">
      <c r="A78" s="529" t="s">
        <v>189</v>
      </c>
      <c r="B78" s="530" t="s">
        <v>676</v>
      </c>
      <c r="C78" s="531">
        <v>5688</v>
      </c>
      <c r="D78" s="532">
        <v>5592</v>
      </c>
      <c r="E78" s="532">
        <v>7107</v>
      </c>
      <c r="F78" s="532">
        <v>8029</v>
      </c>
      <c r="G78" s="532">
        <v>7411</v>
      </c>
      <c r="H78" s="532">
        <v>7148</v>
      </c>
      <c r="I78" s="532">
        <v>7105</v>
      </c>
      <c r="J78" s="532">
        <v>7135</v>
      </c>
      <c r="K78" s="532">
        <v>7921</v>
      </c>
      <c r="L78" s="532">
        <v>9006</v>
      </c>
      <c r="M78" s="533">
        <v>9782</v>
      </c>
      <c r="N78" s="534">
        <v>11468</v>
      </c>
      <c r="P78" s="535">
        <v>6.4000000000000001E-2</v>
      </c>
      <c r="Q78" s="536">
        <v>0.06</v>
      </c>
      <c r="R78" s="536">
        <v>7.2999999999999995E-2</v>
      </c>
      <c r="S78" s="536">
        <v>8.1000000000000003E-2</v>
      </c>
      <c r="T78" s="536">
        <v>7.2000000000000008E-2</v>
      </c>
      <c r="U78" s="536">
        <v>7.0000000000000007E-2</v>
      </c>
      <c r="V78" s="536">
        <v>7.0000000000000007E-2</v>
      </c>
      <c r="W78" s="536">
        <v>6.7999999999999991E-2</v>
      </c>
      <c r="X78" s="536">
        <v>7.4999999999999997E-2</v>
      </c>
      <c r="Y78" s="536">
        <v>8.2000000000000003E-2</v>
      </c>
      <c r="Z78" s="537">
        <v>8.4999999999999992E-2</v>
      </c>
      <c r="AA78" s="538">
        <v>9.6999999999999989E-2</v>
      </c>
      <c r="AC78" s="531">
        <v>86214</v>
      </c>
      <c r="AD78" s="532">
        <v>89363</v>
      </c>
      <c r="AE78" s="532">
        <v>93183</v>
      </c>
      <c r="AF78" s="532">
        <v>96283</v>
      </c>
      <c r="AG78" s="532">
        <v>99962</v>
      </c>
      <c r="AH78" s="532">
        <v>103111</v>
      </c>
      <c r="AI78" s="532">
        <v>105032</v>
      </c>
      <c r="AJ78" s="532">
        <v>107847</v>
      </c>
      <c r="AK78" s="532">
        <v>108414</v>
      </c>
      <c r="AL78" s="532">
        <v>110941</v>
      </c>
      <c r="AM78" s="533">
        <v>116175</v>
      </c>
      <c r="AN78" s="539">
        <f>'2011 Population'!M78</f>
        <v>119405</v>
      </c>
    </row>
    <row r="79" spans="1:40">
      <c r="A79" s="529" t="s">
        <v>191</v>
      </c>
      <c r="B79" s="530" t="s">
        <v>677</v>
      </c>
      <c r="C79" s="531">
        <v>1182</v>
      </c>
      <c r="D79" s="532">
        <v>1105</v>
      </c>
      <c r="E79" s="532">
        <v>1244</v>
      </c>
      <c r="F79" s="532">
        <v>1354</v>
      </c>
      <c r="G79" s="532">
        <v>1250</v>
      </c>
      <c r="H79" s="532">
        <v>1456</v>
      </c>
      <c r="I79" s="532">
        <v>1284</v>
      </c>
      <c r="J79" s="532">
        <v>1334</v>
      </c>
      <c r="K79" s="532">
        <v>1377</v>
      </c>
      <c r="L79" s="532">
        <v>1352</v>
      </c>
      <c r="M79" s="533">
        <v>1557</v>
      </c>
      <c r="N79" s="534">
        <v>1564</v>
      </c>
      <c r="P79" s="535">
        <v>0.16499999999999998</v>
      </c>
      <c r="Q79" s="536">
        <v>0.156</v>
      </c>
      <c r="R79" s="536">
        <v>0.17399999999999999</v>
      </c>
      <c r="S79" s="536">
        <v>0.193</v>
      </c>
      <c r="T79" s="536">
        <v>0.18100000000000002</v>
      </c>
      <c r="U79" s="536">
        <v>0.21299999999999999</v>
      </c>
      <c r="V79" s="536">
        <v>0.19</v>
      </c>
      <c r="W79" s="536">
        <v>0.19800000000000001</v>
      </c>
      <c r="X79" s="536">
        <v>0.20799999999999999</v>
      </c>
      <c r="Y79" s="536">
        <v>0.20600000000000002</v>
      </c>
      <c r="Z79" s="537">
        <v>0.23399999999999999</v>
      </c>
      <c r="AA79" s="538">
        <v>0.23899999999999999</v>
      </c>
      <c r="AC79" s="531">
        <v>7222</v>
      </c>
      <c r="AD79" s="532">
        <v>7197</v>
      </c>
      <c r="AE79" s="532">
        <v>6996</v>
      </c>
      <c r="AF79" s="532">
        <v>6928</v>
      </c>
      <c r="AG79" s="532">
        <v>6846</v>
      </c>
      <c r="AH79" s="532">
        <v>6759</v>
      </c>
      <c r="AI79" s="532">
        <v>6798</v>
      </c>
      <c r="AJ79" s="532">
        <v>6798</v>
      </c>
      <c r="AK79" s="532">
        <v>6727</v>
      </c>
      <c r="AL79" s="532">
        <v>6651</v>
      </c>
      <c r="AM79" s="533">
        <v>6801</v>
      </c>
      <c r="AN79" s="539">
        <f>'2011 Population'!M79</f>
        <v>6655</v>
      </c>
    </row>
    <row r="80" spans="1:40">
      <c r="A80" s="529" t="s">
        <v>195</v>
      </c>
      <c r="B80" s="530" t="s">
        <v>196</v>
      </c>
      <c r="C80" s="531">
        <v>190</v>
      </c>
      <c r="D80" s="532">
        <v>178</v>
      </c>
      <c r="E80" s="532">
        <v>161</v>
      </c>
      <c r="F80" s="532">
        <v>165</v>
      </c>
      <c r="G80" s="532">
        <v>134</v>
      </c>
      <c r="H80" s="532">
        <v>149</v>
      </c>
      <c r="I80" s="532">
        <v>149</v>
      </c>
      <c r="J80" s="532">
        <v>165</v>
      </c>
      <c r="K80" s="532">
        <v>186</v>
      </c>
      <c r="L80" s="532">
        <v>199</v>
      </c>
      <c r="M80" s="533">
        <v>222</v>
      </c>
      <c r="N80" s="534">
        <v>231</v>
      </c>
      <c r="P80" s="535">
        <v>0.122</v>
      </c>
      <c r="Q80" s="536">
        <v>0.11399999999999999</v>
      </c>
      <c r="R80" s="536">
        <v>0.10500000000000001</v>
      </c>
      <c r="S80" s="536">
        <v>0.109</v>
      </c>
      <c r="T80" s="536">
        <v>0.09</v>
      </c>
      <c r="U80" s="536">
        <v>0.10199999999999998</v>
      </c>
      <c r="V80" s="536">
        <v>0.10300000000000001</v>
      </c>
      <c r="W80" s="536">
        <v>0.11499999999999999</v>
      </c>
      <c r="X80" s="536">
        <v>0.13300000000000001</v>
      </c>
      <c r="Y80" s="536">
        <v>0.14199999999999999</v>
      </c>
      <c r="Z80" s="537">
        <v>0.155</v>
      </c>
      <c r="AA80" s="538">
        <v>0.16200000000000001</v>
      </c>
      <c r="AC80" s="531">
        <v>1580</v>
      </c>
      <c r="AD80" s="532">
        <v>1634</v>
      </c>
      <c r="AE80" s="532">
        <v>1619</v>
      </c>
      <c r="AF80" s="532">
        <v>1593</v>
      </c>
      <c r="AG80" s="532">
        <v>1588</v>
      </c>
      <c r="AH80" s="532">
        <v>1560</v>
      </c>
      <c r="AI80" s="532">
        <v>1532</v>
      </c>
      <c r="AJ80" s="532">
        <v>1483</v>
      </c>
      <c r="AK80" s="532">
        <v>1480</v>
      </c>
      <c r="AL80" s="532">
        <v>1432</v>
      </c>
      <c r="AM80" s="533">
        <v>1465</v>
      </c>
      <c r="AN80" s="539">
        <f>'2011 Population'!M80</f>
        <v>1444</v>
      </c>
    </row>
    <row r="81" spans="1:40">
      <c r="A81" s="529" t="s">
        <v>199</v>
      </c>
      <c r="B81" s="530" t="s">
        <v>279</v>
      </c>
      <c r="C81" s="531">
        <v>293</v>
      </c>
      <c r="D81" s="532">
        <v>262</v>
      </c>
      <c r="E81" s="532">
        <v>278</v>
      </c>
      <c r="F81" s="532">
        <v>304</v>
      </c>
      <c r="G81" s="532">
        <v>269</v>
      </c>
      <c r="H81" s="532">
        <v>305</v>
      </c>
      <c r="I81" s="532">
        <v>284</v>
      </c>
      <c r="J81" s="532">
        <v>317</v>
      </c>
      <c r="K81" s="532">
        <v>308</v>
      </c>
      <c r="L81" s="532">
        <v>325</v>
      </c>
      <c r="M81" s="533">
        <v>365</v>
      </c>
      <c r="N81" s="534">
        <v>394</v>
      </c>
      <c r="P81" s="535">
        <v>0.189</v>
      </c>
      <c r="Q81" s="536">
        <v>0.17600000000000002</v>
      </c>
      <c r="R81" s="536">
        <v>0.185</v>
      </c>
      <c r="S81" s="536">
        <v>0.20100000000000001</v>
      </c>
      <c r="T81" s="536">
        <v>0.187</v>
      </c>
      <c r="U81" s="536">
        <v>0.21299999999999999</v>
      </c>
      <c r="V81" s="536">
        <v>0.19900000000000001</v>
      </c>
      <c r="W81" s="536">
        <v>0.21500000000000002</v>
      </c>
      <c r="X81" s="536">
        <v>0.20899999999999999</v>
      </c>
      <c r="Y81" s="536">
        <v>0.21899999999999997</v>
      </c>
      <c r="Z81" s="537">
        <v>0.23799999999999999</v>
      </c>
      <c r="AA81" s="538">
        <v>0.25900000000000001</v>
      </c>
      <c r="AC81" s="531">
        <v>1615</v>
      </c>
      <c r="AD81" s="532">
        <v>1599</v>
      </c>
      <c r="AE81" s="532">
        <v>1583</v>
      </c>
      <c r="AF81" s="532">
        <v>1513</v>
      </c>
      <c r="AG81" s="532">
        <v>1561</v>
      </c>
      <c r="AH81" s="532">
        <v>1539</v>
      </c>
      <c r="AI81" s="532">
        <v>1582</v>
      </c>
      <c r="AJ81" s="532">
        <v>1578</v>
      </c>
      <c r="AK81" s="532">
        <v>1573</v>
      </c>
      <c r="AL81" s="532">
        <v>1519</v>
      </c>
      <c r="AM81" s="533">
        <v>1591</v>
      </c>
      <c r="AN81" s="539">
        <f>'2011 Population'!M81</f>
        <v>1554</v>
      </c>
    </row>
    <row r="82" spans="1:40">
      <c r="A82" s="529" t="s">
        <v>203</v>
      </c>
      <c r="B82" s="530" t="s">
        <v>805</v>
      </c>
      <c r="C82" s="531">
        <v>1630</v>
      </c>
      <c r="D82" s="532">
        <v>1584</v>
      </c>
      <c r="E82" s="532">
        <v>1955</v>
      </c>
      <c r="F82" s="532">
        <v>2276</v>
      </c>
      <c r="G82" s="532">
        <v>2031</v>
      </c>
      <c r="H82" s="532">
        <v>1890</v>
      </c>
      <c r="I82" s="532">
        <v>1886</v>
      </c>
      <c r="J82" s="532">
        <v>1987</v>
      </c>
      <c r="K82" s="532">
        <v>2095</v>
      </c>
      <c r="L82" s="532">
        <v>2424</v>
      </c>
      <c r="M82" s="533">
        <v>2510</v>
      </c>
      <c r="N82" s="534">
        <v>2734</v>
      </c>
      <c r="P82" s="535">
        <v>6.8193940308644313E-2</v>
      </c>
      <c r="Q82" s="536">
        <v>6.5974551764025446E-2</v>
      </c>
      <c r="R82" s="536">
        <v>7.944924009010175E-2</v>
      </c>
      <c r="S82" s="536">
        <v>9.4153362380463512E-2</v>
      </c>
      <c r="T82" s="536">
        <v>8.4813546374689658E-2</v>
      </c>
      <c r="U82" s="536">
        <v>8.02463426937952E-2</v>
      </c>
      <c r="V82" s="536">
        <v>7.7264923917284428E-2</v>
      </c>
      <c r="W82" s="536">
        <v>8.1615503397158728E-2</v>
      </c>
      <c r="X82" s="536">
        <v>8.5679896462467639E-2</v>
      </c>
      <c r="Y82" s="536">
        <v>9.3418944062637801E-2</v>
      </c>
      <c r="Z82" s="537">
        <v>0.10149676712900199</v>
      </c>
      <c r="AA82" s="538">
        <v>0.252</v>
      </c>
      <c r="AC82" s="531">
        <v>24618</v>
      </c>
      <c r="AD82" s="532">
        <v>24454</v>
      </c>
      <c r="AE82" s="532">
        <v>24880</v>
      </c>
      <c r="AF82" s="532">
        <v>24935</v>
      </c>
      <c r="AG82" s="532">
        <v>25241</v>
      </c>
      <c r="AH82" s="532">
        <v>25649</v>
      </c>
      <c r="AI82" s="532">
        <v>26031</v>
      </c>
      <c r="AJ82" s="532">
        <v>25998</v>
      </c>
      <c r="AK82" s="532">
        <v>26126</v>
      </c>
      <c r="AL82" s="532">
        <v>26257</v>
      </c>
      <c r="AM82" s="533">
        <v>25047</v>
      </c>
      <c r="AN82" s="539">
        <f>'2011 Population'!M82</f>
        <v>24657</v>
      </c>
    </row>
    <row r="83" spans="1:40">
      <c r="A83" s="529" t="s">
        <v>205</v>
      </c>
      <c r="B83" s="530" t="s">
        <v>1015</v>
      </c>
      <c r="C83" s="531">
        <v>815</v>
      </c>
      <c r="D83" s="532">
        <v>749</v>
      </c>
      <c r="E83" s="532">
        <v>865</v>
      </c>
      <c r="F83" s="532">
        <v>932</v>
      </c>
      <c r="G83" s="532">
        <v>785</v>
      </c>
      <c r="H83" s="532">
        <v>876</v>
      </c>
      <c r="I83" s="532">
        <v>924</v>
      </c>
      <c r="J83" s="532">
        <v>879</v>
      </c>
      <c r="K83" s="532">
        <v>938</v>
      </c>
      <c r="L83" s="532">
        <v>1017</v>
      </c>
      <c r="M83" s="533">
        <v>1130</v>
      </c>
      <c r="N83" s="534">
        <v>1164</v>
      </c>
      <c r="P83" s="535">
        <v>0.12251567942620668</v>
      </c>
      <c r="Q83" s="536">
        <v>0.11493050403158708</v>
      </c>
      <c r="R83" s="536">
        <v>0.13090330456689325</v>
      </c>
      <c r="S83" s="536">
        <v>0.14345094670059147</v>
      </c>
      <c r="T83" s="536">
        <v>0.12311181521666978</v>
      </c>
      <c r="U83" s="536">
        <v>0.13926536034540019</v>
      </c>
      <c r="V83" s="536">
        <v>0.14667017682672617</v>
      </c>
      <c r="W83" s="536">
        <v>0.13979679129953718</v>
      </c>
      <c r="X83" s="536">
        <v>0.15096898355924435</v>
      </c>
      <c r="Y83" s="536">
        <v>0.16557930071263913</v>
      </c>
      <c r="Z83" s="537">
        <v>0.18075532332328353</v>
      </c>
      <c r="AA83" s="538">
        <v>0.18936066373840899</v>
      </c>
      <c r="AC83" s="531">
        <v>6764</v>
      </c>
      <c r="AD83" s="532">
        <v>6712</v>
      </c>
      <c r="AE83" s="532">
        <v>6545</v>
      </c>
      <c r="AF83" s="532">
        <v>6478</v>
      </c>
      <c r="AG83" s="532">
        <v>6487</v>
      </c>
      <c r="AH83" s="532">
        <v>6490</v>
      </c>
      <c r="AI83" s="532">
        <v>6395</v>
      </c>
      <c r="AJ83" s="532">
        <v>6408</v>
      </c>
      <c r="AK83" s="532">
        <v>6333</v>
      </c>
      <c r="AL83" s="532">
        <v>6230</v>
      </c>
      <c r="AM83" s="533">
        <v>6402</v>
      </c>
      <c r="AN83" s="539">
        <f>'2011 Population'!M83</f>
        <v>6207</v>
      </c>
    </row>
    <row r="84" spans="1:40">
      <c r="A84" s="529" t="s">
        <v>207</v>
      </c>
      <c r="B84" s="530" t="s">
        <v>1016</v>
      </c>
      <c r="C84" s="531">
        <v>2884</v>
      </c>
      <c r="D84" s="532">
        <v>2710</v>
      </c>
      <c r="E84" s="532">
        <v>3019</v>
      </c>
      <c r="F84" s="532">
        <v>3287</v>
      </c>
      <c r="G84" s="532">
        <v>2935</v>
      </c>
      <c r="H84" s="532">
        <v>2963</v>
      </c>
      <c r="I84" s="532">
        <v>2932</v>
      </c>
      <c r="J84" s="532">
        <v>3342</v>
      </c>
      <c r="K84" s="532">
        <v>3535</v>
      </c>
      <c r="L84" s="532">
        <v>3765</v>
      </c>
      <c r="M84" s="533">
        <v>4302</v>
      </c>
      <c r="N84" s="534">
        <v>4061</v>
      </c>
      <c r="P84" s="535">
        <v>0.12778413353338336</v>
      </c>
      <c r="Q84" s="536">
        <v>0.11888582454334963</v>
      </c>
      <c r="R84" s="536">
        <v>0.13148748332417798</v>
      </c>
      <c r="S84" s="536">
        <v>0.1414905487181094</v>
      </c>
      <c r="T84" s="536">
        <v>0.12762551060745816</v>
      </c>
      <c r="U84" s="536">
        <v>0.13042314334320348</v>
      </c>
      <c r="V84" s="536">
        <v>0.12657400610789404</v>
      </c>
      <c r="W84" s="536">
        <v>0.13915740575977523</v>
      </c>
      <c r="X84" s="536">
        <v>0.1465355207875364</v>
      </c>
      <c r="Y84" s="536">
        <v>0.15607638752568281</v>
      </c>
      <c r="Z84" s="537">
        <v>0.17198822367149413</v>
      </c>
      <c r="AA84" s="538">
        <v>0.16272639846129183</v>
      </c>
      <c r="AC84" s="531">
        <v>22822</v>
      </c>
      <c r="AD84" s="532">
        <v>23168</v>
      </c>
      <c r="AE84" s="532">
        <v>23492</v>
      </c>
      <c r="AF84" s="532">
        <v>23539</v>
      </c>
      <c r="AG84" s="532">
        <v>23560</v>
      </c>
      <c r="AH84" s="532">
        <v>23951</v>
      </c>
      <c r="AI84" s="532">
        <v>24282</v>
      </c>
      <c r="AJ84" s="532">
        <v>24532</v>
      </c>
      <c r="AK84" s="532">
        <v>24381</v>
      </c>
      <c r="AL84" s="532">
        <v>24540</v>
      </c>
      <c r="AM84" s="533">
        <v>25420</v>
      </c>
      <c r="AN84" s="539">
        <f>'2011 Population'!M84</f>
        <v>25346</v>
      </c>
    </row>
    <row r="85" spans="1:40">
      <c r="A85" s="529" t="s">
        <v>209</v>
      </c>
      <c r="B85" s="530" t="s">
        <v>679</v>
      </c>
      <c r="C85" s="531">
        <v>1360</v>
      </c>
      <c r="D85" s="532">
        <v>1181</v>
      </c>
      <c r="E85" s="532">
        <v>1396</v>
      </c>
      <c r="F85" s="532">
        <v>1499</v>
      </c>
      <c r="G85" s="532">
        <v>1321</v>
      </c>
      <c r="H85" s="532">
        <v>1596</v>
      </c>
      <c r="I85" s="532">
        <v>1295</v>
      </c>
      <c r="J85" s="532">
        <v>1476</v>
      </c>
      <c r="K85" s="532">
        <v>1428</v>
      </c>
      <c r="L85" s="532">
        <v>1500</v>
      </c>
      <c r="M85" s="533">
        <v>1464</v>
      </c>
      <c r="N85" s="534">
        <v>1546</v>
      </c>
      <c r="P85" s="535">
        <v>0.22100000000000003</v>
      </c>
      <c r="Q85" s="536">
        <v>0.19499999999999998</v>
      </c>
      <c r="R85" s="536">
        <v>0.23</v>
      </c>
      <c r="S85" s="536">
        <v>0.249</v>
      </c>
      <c r="T85" s="536">
        <v>0.218</v>
      </c>
      <c r="U85" s="536">
        <v>0.26699999999999996</v>
      </c>
      <c r="V85" s="536">
        <v>0.22500000000000001</v>
      </c>
      <c r="W85" s="536">
        <v>0.255</v>
      </c>
      <c r="X85" s="536">
        <v>0.251</v>
      </c>
      <c r="Y85" s="536">
        <v>0.25600000000000001</v>
      </c>
      <c r="Z85" s="537">
        <v>0.252</v>
      </c>
      <c r="AA85" s="538">
        <v>0.27200000000000002</v>
      </c>
      <c r="AC85" s="531">
        <v>6401</v>
      </c>
      <c r="AD85" s="532">
        <v>6293</v>
      </c>
      <c r="AE85" s="532">
        <v>6139</v>
      </c>
      <c r="AF85" s="532">
        <v>6102</v>
      </c>
      <c r="AG85" s="532">
        <v>6008</v>
      </c>
      <c r="AH85" s="532">
        <v>5948</v>
      </c>
      <c r="AI85" s="532">
        <v>5889</v>
      </c>
      <c r="AJ85" s="532">
        <v>5917</v>
      </c>
      <c r="AK85" s="532">
        <v>5844</v>
      </c>
      <c r="AL85" s="532">
        <v>5921</v>
      </c>
      <c r="AM85" s="533">
        <v>5905</v>
      </c>
      <c r="AN85" s="539">
        <f>'2011 Population'!M85</f>
        <v>5752</v>
      </c>
    </row>
    <row r="86" spans="1:40">
      <c r="A86" s="529" t="s">
        <v>211</v>
      </c>
      <c r="B86" s="530" t="s">
        <v>680</v>
      </c>
      <c r="C86" s="531">
        <v>900</v>
      </c>
      <c r="D86" s="532">
        <v>828</v>
      </c>
      <c r="E86" s="532">
        <v>877</v>
      </c>
      <c r="F86" s="532">
        <v>1004</v>
      </c>
      <c r="G86" s="532">
        <v>884</v>
      </c>
      <c r="H86" s="532">
        <v>1075</v>
      </c>
      <c r="I86" s="532">
        <v>1046</v>
      </c>
      <c r="J86" s="532">
        <v>942</v>
      </c>
      <c r="K86" s="532">
        <v>936</v>
      </c>
      <c r="L86" s="532">
        <v>1035</v>
      </c>
      <c r="M86" s="533">
        <v>1094</v>
      </c>
      <c r="N86" s="534">
        <v>1076</v>
      </c>
      <c r="P86" s="535">
        <v>0.192</v>
      </c>
      <c r="Q86" s="536">
        <v>0.18</v>
      </c>
      <c r="R86" s="536">
        <v>0.191</v>
      </c>
      <c r="S86" s="536">
        <v>0.22100000000000003</v>
      </c>
      <c r="T86" s="536">
        <v>0.19699999999999998</v>
      </c>
      <c r="U86" s="536">
        <v>0.24300000000000002</v>
      </c>
      <c r="V86" s="536">
        <v>0.24000000000000002</v>
      </c>
      <c r="W86" s="536">
        <v>0.221</v>
      </c>
      <c r="X86" s="536">
        <v>0.221</v>
      </c>
      <c r="Y86" s="536">
        <v>0.24100000000000002</v>
      </c>
      <c r="Z86" s="537">
        <v>0.25</v>
      </c>
      <c r="AA86" s="538">
        <v>0.249</v>
      </c>
      <c r="AC86" s="531">
        <v>4799</v>
      </c>
      <c r="AD86" s="532">
        <v>4722</v>
      </c>
      <c r="AE86" s="532">
        <v>4651</v>
      </c>
      <c r="AF86" s="532">
        <v>4565</v>
      </c>
      <c r="AG86" s="532">
        <v>4554</v>
      </c>
      <c r="AH86" s="532">
        <v>4499</v>
      </c>
      <c r="AI86" s="532">
        <v>4512</v>
      </c>
      <c r="AJ86" s="532">
        <v>4485</v>
      </c>
      <c r="AK86" s="532">
        <v>4433</v>
      </c>
      <c r="AL86" s="532">
        <v>4350</v>
      </c>
      <c r="AM86" s="533">
        <v>4476</v>
      </c>
      <c r="AN86" s="539">
        <f>'2011 Population'!M86</f>
        <v>4391</v>
      </c>
    </row>
    <row r="87" spans="1:40">
      <c r="A87" s="529" t="s">
        <v>213</v>
      </c>
      <c r="B87" s="530" t="s">
        <v>681</v>
      </c>
      <c r="C87" s="531">
        <v>952</v>
      </c>
      <c r="D87" s="532">
        <v>910</v>
      </c>
      <c r="E87" s="532">
        <v>942</v>
      </c>
      <c r="F87" s="532">
        <v>1070</v>
      </c>
      <c r="G87" s="532">
        <v>1038</v>
      </c>
      <c r="H87" s="532">
        <v>1094</v>
      </c>
      <c r="I87" s="532">
        <v>1059</v>
      </c>
      <c r="J87" s="532">
        <v>1086</v>
      </c>
      <c r="K87" s="532">
        <v>1281</v>
      </c>
      <c r="L87" s="532">
        <v>1375</v>
      </c>
      <c r="M87" s="533">
        <v>1556</v>
      </c>
      <c r="N87" s="534">
        <v>1838</v>
      </c>
      <c r="P87" s="535">
        <v>0.12300000000000001</v>
      </c>
      <c r="Q87" s="536">
        <v>0.11499999999999999</v>
      </c>
      <c r="R87" s="536">
        <v>0.115</v>
      </c>
      <c r="S87" s="536">
        <v>0.13100000000000001</v>
      </c>
      <c r="T87" s="536">
        <v>0.12300000000000001</v>
      </c>
      <c r="U87" s="536">
        <v>0.13100000000000001</v>
      </c>
      <c r="V87" s="536">
        <v>0.12699999999999997</v>
      </c>
      <c r="W87" s="536">
        <v>0.124</v>
      </c>
      <c r="X87" s="536">
        <v>0.14599999999999999</v>
      </c>
      <c r="Y87" s="536">
        <v>0.15500000000000003</v>
      </c>
      <c r="Z87" s="537">
        <v>0.17199999999999999</v>
      </c>
      <c r="AA87" s="538">
        <v>0.20300000000000001</v>
      </c>
      <c r="AC87" s="531">
        <v>7831</v>
      </c>
      <c r="AD87" s="532">
        <v>7998</v>
      </c>
      <c r="AE87" s="532">
        <v>8128</v>
      </c>
      <c r="AF87" s="532">
        <v>8212</v>
      </c>
      <c r="AG87" s="532">
        <v>8465</v>
      </c>
      <c r="AH87" s="532">
        <v>8716</v>
      </c>
      <c r="AI87" s="532">
        <v>8915</v>
      </c>
      <c r="AJ87" s="532">
        <v>9030</v>
      </c>
      <c r="AK87" s="532">
        <v>9039</v>
      </c>
      <c r="AL87" s="532">
        <v>9073</v>
      </c>
      <c r="AM87" s="533">
        <v>9229</v>
      </c>
      <c r="AN87" s="539">
        <f>'2011 Population'!M87</f>
        <v>9208</v>
      </c>
    </row>
    <row r="88" spans="1:40">
      <c r="A88" s="529" t="s">
        <v>215</v>
      </c>
      <c r="B88" s="530" t="s">
        <v>682</v>
      </c>
      <c r="C88" s="531">
        <v>1245</v>
      </c>
      <c r="D88" s="532">
        <v>1207</v>
      </c>
      <c r="E88" s="532">
        <v>1367</v>
      </c>
      <c r="F88" s="532">
        <v>1524</v>
      </c>
      <c r="G88" s="532">
        <v>1291</v>
      </c>
      <c r="H88" s="532">
        <v>1295</v>
      </c>
      <c r="I88" s="532">
        <v>1401</v>
      </c>
      <c r="J88" s="532">
        <v>1410</v>
      </c>
      <c r="K88" s="532">
        <v>1545</v>
      </c>
      <c r="L88" s="532">
        <v>1593</v>
      </c>
      <c r="M88" s="533">
        <v>1843</v>
      </c>
      <c r="N88" s="534">
        <v>1786</v>
      </c>
      <c r="P88" s="535">
        <v>0.18</v>
      </c>
      <c r="Q88" s="536">
        <v>0.17500000000000002</v>
      </c>
      <c r="R88" s="536">
        <v>0.19500000000000001</v>
      </c>
      <c r="S88" s="536">
        <v>0.22399999999999998</v>
      </c>
      <c r="T88" s="536">
        <v>0.18600000000000003</v>
      </c>
      <c r="U88" s="536">
        <v>0.19</v>
      </c>
      <c r="V88" s="536">
        <v>0.214</v>
      </c>
      <c r="W88" s="536">
        <v>0.218</v>
      </c>
      <c r="X88" s="536">
        <v>0.24299999999999999</v>
      </c>
      <c r="Y88" s="536">
        <v>0.247</v>
      </c>
      <c r="Z88" s="537">
        <v>0.28000000000000003</v>
      </c>
      <c r="AA88" s="538">
        <v>0.27899999999999997</v>
      </c>
      <c r="AC88" s="531">
        <v>7126</v>
      </c>
      <c r="AD88" s="532">
        <v>7034</v>
      </c>
      <c r="AE88" s="532">
        <v>6990</v>
      </c>
      <c r="AF88" s="532">
        <v>6926</v>
      </c>
      <c r="AG88" s="532">
        <v>6863</v>
      </c>
      <c r="AH88" s="532">
        <v>6802</v>
      </c>
      <c r="AI88" s="532">
        <v>6852</v>
      </c>
      <c r="AJ88" s="532">
        <v>6766</v>
      </c>
      <c r="AK88" s="532">
        <v>6668</v>
      </c>
      <c r="AL88" s="532">
        <v>6558</v>
      </c>
      <c r="AM88" s="533">
        <v>6717</v>
      </c>
      <c r="AN88" s="539">
        <f>'2011 Population'!M88</f>
        <v>6500</v>
      </c>
    </row>
    <row r="89" spans="1:40">
      <c r="A89" s="529" t="s">
        <v>217</v>
      </c>
      <c r="B89" s="530" t="s">
        <v>683</v>
      </c>
      <c r="C89" s="531">
        <v>714</v>
      </c>
      <c r="D89" s="532">
        <v>607</v>
      </c>
      <c r="E89" s="532">
        <v>656</v>
      </c>
      <c r="F89" s="532">
        <v>707</v>
      </c>
      <c r="G89" s="532">
        <v>640</v>
      </c>
      <c r="H89" s="532">
        <v>701</v>
      </c>
      <c r="I89" s="532">
        <v>717</v>
      </c>
      <c r="J89" s="532">
        <v>662</v>
      </c>
      <c r="K89" s="532">
        <v>747</v>
      </c>
      <c r="L89" s="532">
        <v>704</v>
      </c>
      <c r="M89" s="533">
        <v>768</v>
      </c>
      <c r="N89" s="534">
        <v>831</v>
      </c>
      <c r="P89" s="535">
        <v>0.18899999999999997</v>
      </c>
      <c r="Q89" s="536">
        <v>0.16399999999999998</v>
      </c>
      <c r="R89" s="536">
        <v>0.17399999999999999</v>
      </c>
      <c r="S89" s="536">
        <v>0.19600000000000001</v>
      </c>
      <c r="T89" s="536">
        <v>0.17499999999999999</v>
      </c>
      <c r="U89" s="536">
        <v>0.19399999999999998</v>
      </c>
      <c r="V89" s="536">
        <v>0.20199999999999999</v>
      </c>
      <c r="W89" s="536">
        <v>0.188</v>
      </c>
      <c r="X89" s="536">
        <v>0.218</v>
      </c>
      <c r="Y89" s="536">
        <v>0.19500000000000001</v>
      </c>
      <c r="Z89" s="537">
        <v>0.2</v>
      </c>
      <c r="AA89" s="538">
        <v>0.221</v>
      </c>
      <c r="AC89" s="531">
        <v>3966</v>
      </c>
      <c r="AD89" s="532">
        <v>3934</v>
      </c>
      <c r="AE89" s="532">
        <v>3841</v>
      </c>
      <c r="AF89" s="532">
        <v>3849</v>
      </c>
      <c r="AG89" s="532">
        <v>3882</v>
      </c>
      <c r="AH89" s="532">
        <v>3839</v>
      </c>
      <c r="AI89" s="532">
        <v>3832</v>
      </c>
      <c r="AJ89" s="532">
        <v>3770</v>
      </c>
      <c r="AK89" s="532">
        <v>3785</v>
      </c>
      <c r="AL89" s="532">
        <v>3696</v>
      </c>
      <c r="AM89" s="533">
        <v>3918</v>
      </c>
      <c r="AN89" s="539">
        <f>'2011 Population'!M89</f>
        <v>3801</v>
      </c>
    </row>
    <row r="90" spans="1:40">
      <c r="A90" s="529" t="s">
        <v>219</v>
      </c>
      <c r="B90" s="530" t="s">
        <v>684</v>
      </c>
      <c r="C90" s="531">
        <v>2013</v>
      </c>
      <c r="D90" s="532">
        <v>1875</v>
      </c>
      <c r="E90" s="532">
        <v>2164</v>
      </c>
      <c r="F90" s="532">
        <v>2418</v>
      </c>
      <c r="G90" s="532">
        <v>2320</v>
      </c>
      <c r="H90" s="532">
        <v>2365</v>
      </c>
      <c r="I90" s="532">
        <v>2241</v>
      </c>
      <c r="J90" s="532">
        <v>2473</v>
      </c>
      <c r="K90" s="532">
        <v>2790</v>
      </c>
      <c r="L90" s="532">
        <v>3473</v>
      </c>
      <c r="M90" s="533">
        <v>3532</v>
      </c>
      <c r="N90" s="534">
        <v>3814</v>
      </c>
      <c r="P90" s="535">
        <v>7.2000000000000008E-2</v>
      </c>
      <c r="Q90" s="536">
        <v>6.4000000000000001E-2</v>
      </c>
      <c r="R90" s="536">
        <v>7.0999999999999994E-2</v>
      </c>
      <c r="S90" s="536">
        <v>7.8E-2</v>
      </c>
      <c r="T90" s="536">
        <v>7.2999999999999995E-2</v>
      </c>
      <c r="U90" s="536">
        <v>7.4999999999999997E-2</v>
      </c>
      <c r="V90" s="536">
        <v>7.0999999999999994E-2</v>
      </c>
      <c r="W90" s="536">
        <v>7.6999999999999999E-2</v>
      </c>
      <c r="X90" s="536">
        <v>8.6999999999999994E-2</v>
      </c>
      <c r="Y90" s="536">
        <v>0.10400000000000001</v>
      </c>
      <c r="Z90" s="537">
        <v>0.10500000000000001</v>
      </c>
      <c r="AA90" s="538">
        <v>0.11599999999999999</v>
      </c>
      <c r="AC90" s="531">
        <v>27399</v>
      </c>
      <c r="AD90" s="532">
        <v>28689</v>
      </c>
      <c r="AE90" s="532">
        <v>30431</v>
      </c>
      <c r="AF90" s="532">
        <v>31737</v>
      </c>
      <c r="AG90" s="532">
        <v>32523</v>
      </c>
      <c r="AH90" s="532">
        <v>33850</v>
      </c>
      <c r="AI90" s="532">
        <v>34470</v>
      </c>
      <c r="AJ90" s="532">
        <v>34352</v>
      </c>
      <c r="AK90" s="532">
        <v>34176</v>
      </c>
      <c r="AL90" s="532">
        <v>33859</v>
      </c>
      <c r="AM90" s="533">
        <v>34043</v>
      </c>
      <c r="AN90" s="539">
        <f>'2011 Population'!M90</f>
        <v>33455</v>
      </c>
    </row>
    <row r="91" spans="1:40">
      <c r="A91" s="529" t="s">
        <v>221</v>
      </c>
      <c r="B91" s="530" t="s">
        <v>685</v>
      </c>
      <c r="C91" s="531">
        <v>1608</v>
      </c>
      <c r="D91" s="532">
        <v>1416</v>
      </c>
      <c r="E91" s="532">
        <v>1718</v>
      </c>
      <c r="F91" s="532">
        <v>2023</v>
      </c>
      <c r="G91" s="532">
        <v>1944</v>
      </c>
      <c r="H91" s="532">
        <v>1758</v>
      </c>
      <c r="I91" s="532">
        <v>1493</v>
      </c>
      <c r="J91" s="532">
        <v>1706</v>
      </c>
      <c r="K91" s="532">
        <v>1930</v>
      </c>
      <c r="L91" s="532">
        <v>2223</v>
      </c>
      <c r="M91" s="533">
        <v>2504</v>
      </c>
      <c r="N91" s="534">
        <v>2894</v>
      </c>
      <c r="P91" s="535">
        <v>5.2999999999999999E-2</v>
      </c>
      <c r="Q91" s="536">
        <v>4.4999999999999998E-2</v>
      </c>
      <c r="R91" s="536">
        <v>5.2999999999999999E-2</v>
      </c>
      <c r="S91" s="536">
        <v>6.2E-2</v>
      </c>
      <c r="T91" s="536">
        <v>5.7999999999999996E-2</v>
      </c>
      <c r="U91" s="536">
        <v>5.2999999999999992E-2</v>
      </c>
      <c r="V91" s="536">
        <v>4.5999999999999999E-2</v>
      </c>
      <c r="W91" s="536">
        <v>5.099999999999999E-2</v>
      </c>
      <c r="X91" s="536">
        <v>5.9000000000000004E-2</v>
      </c>
      <c r="Y91" s="536">
        <v>6.2000000000000006E-2</v>
      </c>
      <c r="Z91" s="537">
        <v>6.8000000000000005E-2</v>
      </c>
      <c r="AA91" s="538">
        <v>7.9000000000000001E-2</v>
      </c>
      <c r="AC91" s="531">
        <v>29472</v>
      </c>
      <c r="AD91" s="532">
        <v>30898</v>
      </c>
      <c r="AE91" s="532">
        <v>32622</v>
      </c>
      <c r="AF91" s="532">
        <v>34376</v>
      </c>
      <c r="AG91" s="532">
        <v>35530</v>
      </c>
      <c r="AH91" s="532">
        <v>36129</v>
      </c>
      <c r="AI91" s="532">
        <v>36355</v>
      </c>
      <c r="AJ91" s="532">
        <v>36729</v>
      </c>
      <c r="AK91" s="532">
        <v>36246</v>
      </c>
      <c r="AL91" s="532">
        <v>36249</v>
      </c>
      <c r="AM91" s="533">
        <v>37197</v>
      </c>
      <c r="AN91" s="539">
        <f>'2011 Population'!M91</f>
        <v>37214</v>
      </c>
    </row>
    <row r="92" spans="1:40">
      <c r="A92" s="529" t="s">
        <v>225</v>
      </c>
      <c r="B92" s="530" t="s">
        <v>686</v>
      </c>
      <c r="C92" s="531">
        <v>279</v>
      </c>
      <c r="D92" s="532">
        <v>240</v>
      </c>
      <c r="E92" s="532">
        <v>256</v>
      </c>
      <c r="F92" s="532">
        <v>265</v>
      </c>
      <c r="G92" s="532">
        <v>231</v>
      </c>
      <c r="H92" s="532">
        <v>262</v>
      </c>
      <c r="I92" s="532">
        <v>232</v>
      </c>
      <c r="J92" s="532">
        <v>236</v>
      </c>
      <c r="K92" s="532">
        <v>246</v>
      </c>
      <c r="L92" s="532">
        <v>240</v>
      </c>
      <c r="M92" s="533">
        <v>288</v>
      </c>
      <c r="N92" s="534">
        <v>282</v>
      </c>
      <c r="P92" s="535">
        <v>0.16600000000000001</v>
      </c>
      <c r="Q92" s="536">
        <v>0.14199999999999999</v>
      </c>
      <c r="R92" s="536">
        <v>0.15</v>
      </c>
      <c r="S92" s="536">
        <v>0.16200000000000001</v>
      </c>
      <c r="T92" s="536">
        <v>0.14499999999999999</v>
      </c>
      <c r="U92" s="536">
        <v>0.16699999999999998</v>
      </c>
      <c r="V92" s="536">
        <v>0.151</v>
      </c>
      <c r="W92" s="536">
        <v>0.157</v>
      </c>
      <c r="X92" s="536">
        <v>0.16499999999999998</v>
      </c>
      <c r="Y92" s="536">
        <v>0.17199999999999999</v>
      </c>
      <c r="Z92" s="537">
        <v>0.19700000000000001</v>
      </c>
      <c r="AA92" s="538">
        <v>0.20300000000000001</v>
      </c>
      <c r="AC92" s="531">
        <v>1723</v>
      </c>
      <c r="AD92" s="532">
        <v>1713</v>
      </c>
      <c r="AE92" s="532">
        <v>1707</v>
      </c>
      <c r="AF92" s="532">
        <v>1683</v>
      </c>
      <c r="AG92" s="532">
        <v>1607</v>
      </c>
      <c r="AH92" s="532">
        <v>1534</v>
      </c>
      <c r="AI92" s="532">
        <v>1497</v>
      </c>
      <c r="AJ92" s="532">
        <v>1464</v>
      </c>
      <c r="AK92" s="532">
        <v>1454</v>
      </c>
      <c r="AL92" s="532">
        <v>1410</v>
      </c>
      <c r="AM92" s="533">
        <v>1487</v>
      </c>
      <c r="AN92" s="539">
        <f>'2011 Population'!M92</f>
        <v>1394</v>
      </c>
    </row>
    <row r="93" spans="1:40">
      <c r="A93" s="529" t="s">
        <v>227</v>
      </c>
      <c r="B93" s="530" t="s">
        <v>687</v>
      </c>
      <c r="C93" s="531">
        <v>504</v>
      </c>
      <c r="D93" s="532">
        <v>437</v>
      </c>
      <c r="E93" s="532">
        <v>446</v>
      </c>
      <c r="F93" s="532">
        <v>513</v>
      </c>
      <c r="G93" s="532">
        <v>464</v>
      </c>
      <c r="H93" s="532">
        <v>534</v>
      </c>
      <c r="I93" s="532">
        <v>610</v>
      </c>
      <c r="J93" s="532">
        <v>510</v>
      </c>
      <c r="K93" s="532">
        <v>472</v>
      </c>
      <c r="L93" s="532">
        <v>481</v>
      </c>
      <c r="M93" s="533">
        <v>473</v>
      </c>
      <c r="N93" s="534">
        <v>465</v>
      </c>
      <c r="P93" s="535">
        <v>0.21100000000000002</v>
      </c>
      <c r="Q93" s="536">
        <v>0.188</v>
      </c>
      <c r="R93" s="536">
        <v>0.19399999999999998</v>
      </c>
      <c r="S93" s="536">
        <v>0.22600000000000001</v>
      </c>
      <c r="T93" s="536">
        <v>0.21</v>
      </c>
      <c r="U93" s="536">
        <v>0.245</v>
      </c>
      <c r="V93" s="536">
        <v>0.28000000000000003</v>
      </c>
      <c r="W93" s="536">
        <v>0.24</v>
      </c>
      <c r="X93" s="536">
        <v>0.22800000000000004</v>
      </c>
      <c r="Y93" s="536">
        <v>0.23600000000000002</v>
      </c>
      <c r="Z93" s="537">
        <v>0.24000000000000002</v>
      </c>
      <c r="AA93" s="538">
        <v>0.23199999999999998</v>
      </c>
      <c r="AC93" s="531">
        <v>2445</v>
      </c>
      <c r="AD93" s="532">
        <v>2370</v>
      </c>
      <c r="AE93" s="532">
        <v>2300</v>
      </c>
      <c r="AF93" s="532">
        <v>2173</v>
      </c>
      <c r="AG93" s="532">
        <v>2141</v>
      </c>
      <c r="AH93" s="532">
        <v>2109</v>
      </c>
      <c r="AI93" s="532">
        <v>2175</v>
      </c>
      <c r="AJ93" s="532">
        <v>2150</v>
      </c>
      <c r="AK93" s="532">
        <v>2095</v>
      </c>
      <c r="AL93" s="532">
        <v>2070</v>
      </c>
      <c r="AM93" s="533">
        <v>2028</v>
      </c>
      <c r="AN93" s="539">
        <f>'2011 Population'!M93</f>
        <v>2027</v>
      </c>
    </row>
    <row r="94" spans="1:40">
      <c r="A94" s="529" t="s">
        <v>229</v>
      </c>
      <c r="B94" s="530" t="s">
        <v>688</v>
      </c>
      <c r="C94" s="531">
        <v>1886</v>
      </c>
      <c r="D94" s="532">
        <v>1666</v>
      </c>
      <c r="E94" s="532">
        <v>2007</v>
      </c>
      <c r="F94" s="532">
        <v>2172</v>
      </c>
      <c r="G94" s="532">
        <v>1979</v>
      </c>
      <c r="H94" s="532">
        <v>2139</v>
      </c>
      <c r="I94" s="532">
        <v>1865</v>
      </c>
      <c r="J94" s="532">
        <v>2038</v>
      </c>
      <c r="K94" s="532">
        <v>2088</v>
      </c>
      <c r="L94" s="532">
        <v>1961</v>
      </c>
      <c r="M94" s="533">
        <v>2127</v>
      </c>
      <c r="N94" s="534">
        <v>2038</v>
      </c>
      <c r="P94" s="535">
        <v>0.20699999999999999</v>
      </c>
      <c r="Q94" s="536">
        <v>0.18399999999999997</v>
      </c>
      <c r="R94" s="536">
        <v>0.22000000000000003</v>
      </c>
      <c r="S94" s="536">
        <v>0.24</v>
      </c>
      <c r="T94" s="536">
        <v>0.21600000000000003</v>
      </c>
      <c r="U94" s="536">
        <v>0.23700000000000002</v>
      </c>
      <c r="V94" s="536">
        <v>0.21199999999999999</v>
      </c>
      <c r="W94" s="536">
        <v>0.23500000000000001</v>
      </c>
      <c r="X94" s="536">
        <v>0.24199999999999999</v>
      </c>
      <c r="Y94" s="536">
        <v>0.21600000000000003</v>
      </c>
      <c r="Z94" s="537">
        <v>0.23500000000000001</v>
      </c>
      <c r="AA94" s="538">
        <v>0.23100000000000001</v>
      </c>
      <c r="AC94" s="531">
        <v>9496</v>
      </c>
      <c r="AD94" s="532">
        <v>9246</v>
      </c>
      <c r="AE94" s="532">
        <v>9205</v>
      </c>
      <c r="AF94" s="532">
        <v>9140</v>
      </c>
      <c r="AG94" s="532">
        <v>9136</v>
      </c>
      <c r="AH94" s="532">
        <v>9149</v>
      </c>
      <c r="AI94" s="532">
        <v>9283</v>
      </c>
      <c r="AJ94" s="532">
        <v>9258</v>
      </c>
      <c r="AK94" s="532">
        <v>9179</v>
      </c>
      <c r="AL94" s="532">
        <v>9178</v>
      </c>
      <c r="AM94" s="533">
        <v>9175</v>
      </c>
      <c r="AN94" s="539">
        <f>'2011 Population'!M94</f>
        <v>8909</v>
      </c>
    </row>
    <row r="95" spans="1:40">
      <c r="A95" s="529" t="s">
        <v>233</v>
      </c>
      <c r="B95" s="530" t="s">
        <v>689</v>
      </c>
      <c r="C95" s="531">
        <v>939</v>
      </c>
      <c r="D95" s="532">
        <v>861</v>
      </c>
      <c r="E95" s="532">
        <v>993</v>
      </c>
      <c r="F95" s="532">
        <v>1111</v>
      </c>
      <c r="G95" s="532">
        <v>982</v>
      </c>
      <c r="H95" s="532">
        <v>1095</v>
      </c>
      <c r="I95" s="532">
        <v>1011</v>
      </c>
      <c r="J95" s="532">
        <v>1000</v>
      </c>
      <c r="K95" s="532">
        <v>1161</v>
      </c>
      <c r="L95" s="532">
        <v>1179</v>
      </c>
      <c r="M95" s="533">
        <v>1290</v>
      </c>
      <c r="N95" s="534">
        <v>1390</v>
      </c>
      <c r="P95" s="535">
        <v>0.11599999999999999</v>
      </c>
      <c r="Q95" s="536">
        <v>0.105</v>
      </c>
      <c r="R95" s="536">
        <v>0.11699999999999998</v>
      </c>
      <c r="S95" s="536">
        <v>0.13099999999999998</v>
      </c>
      <c r="T95" s="536">
        <v>0.112</v>
      </c>
      <c r="U95" s="536">
        <v>0.127</v>
      </c>
      <c r="V95" s="536">
        <v>0.11800000000000001</v>
      </c>
      <c r="W95" s="536">
        <v>0.114</v>
      </c>
      <c r="X95" s="536">
        <v>0.13100000000000001</v>
      </c>
      <c r="Y95" s="536">
        <v>0.13700000000000001</v>
      </c>
      <c r="Z95" s="537">
        <v>0.14399999999999999</v>
      </c>
      <c r="AA95" s="538">
        <v>0.158</v>
      </c>
      <c r="AC95" s="531">
        <v>8059</v>
      </c>
      <c r="AD95" s="532">
        <v>8161</v>
      </c>
      <c r="AE95" s="532">
        <v>8307</v>
      </c>
      <c r="AF95" s="532">
        <v>8440</v>
      </c>
      <c r="AG95" s="532">
        <v>8472</v>
      </c>
      <c r="AH95" s="532">
        <v>8580</v>
      </c>
      <c r="AI95" s="532">
        <v>8728</v>
      </c>
      <c r="AJ95" s="532">
        <v>8744</v>
      </c>
      <c r="AK95" s="532">
        <v>8812</v>
      </c>
      <c r="AL95" s="532">
        <v>8804</v>
      </c>
      <c r="AM95" s="533">
        <v>9080</v>
      </c>
      <c r="AN95" s="539">
        <f>'2011 Population'!M95</f>
        <v>8908</v>
      </c>
    </row>
    <row r="96" spans="1:40">
      <c r="A96" s="529" t="s">
        <v>235</v>
      </c>
      <c r="B96" s="530" t="s">
        <v>690</v>
      </c>
      <c r="C96" s="531">
        <v>1611</v>
      </c>
      <c r="D96" s="532">
        <v>1484</v>
      </c>
      <c r="E96" s="532">
        <v>1695</v>
      </c>
      <c r="F96" s="532">
        <v>1885</v>
      </c>
      <c r="G96" s="532">
        <v>1709</v>
      </c>
      <c r="H96" s="532">
        <v>1690</v>
      </c>
      <c r="I96" s="532">
        <v>1764</v>
      </c>
      <c r="J96" s="532">
        <v>1927</v>
      </c>
      <c r="K96" s="532">
        <v>1908</v>
      </c>
      <c r="L96" s="532">
        <v>2024</v>
      </c>
      <c r="M96" s="533">
        <v>2037</v>
      </c>
      <c r="N96" s="534">
        <v>2060</v>
      </c>
      <c r="P96" s="535">
        <v>0.157</v>
      </c>
      <c r="Q96" s="536">
        <v>0.14499999999999999</v>
      </c>
      <c r="R96" s="536">
        <v>0.16300000000000001</v>
      </c>
      <c r="S96" s="536">
        <v>0.18099999999999999</v>
      </c>
      <c r="T96" s="536">
        <v>0.16499999999999998</v>
      </c>
      <c r="U96" s="536">
        <v>0.16500000000000001</v>
      </c>
      <c r="V96" s="536">
        <v>0.17800000000000002</v>
      </c>
      <c r="W96" s="536">
        <v>0.19100000000000003</v>
      </c>
      <c r="X96" s="536">
        <v>0.19</v>
      </c>
      <c r="Y96" s="536">
        <v>0.19600000000000004</v>
      </c>
      <c r="Z96" s="537">
        <v>0.193</v>
      </c>
      <c r="AA96" s="538">
        <v>0.19800000000000001</v>
      </c>
      <c r="AC96" s="531">
        <v>10579</v>
      </c>
      <c r="AD96" s="532">
        <v>10399</v>
      </c>
      <c r="AE96" s="532">
        <v>10413</v>
      </c>
      <c r="AF96" s="532">
        <v>10370</v>
      </c>
      <c r="AG96" s="532">
        <v>10417</v>
      </c>
      <c r="AH96" s="532">
        <v>10352</v>
      </c>
      <c r="AI96" s="532">
        <v>10312</v>
      </c>
      <c r="AJ96" s="532">
        <v>10503</v>
      </c>
      <c r="AK96" s="532">
        <v>10498</v>
      </c>
      <c r="AL96" s="532">
        <v>10443</v>
      </c>
      <c r="AM96" s="533">
        <v>10754</v>
      </c>
      <c r="AN96" s="539">
        <f>'2011 Population'!M96</f>
        <v>10580</v>
      </c>
    </row>
    <row r="97" spans="1:40">
      <c r="A97" s="529" t="s">
        <v>237</v>
      </c>
      <c r="B97" s="530" t="s">
        <v>691</v>
      </c>
      <c r="C97" s="531">
        <v>788</v>
      </c>
      <c r="D97" s="532">
        <v>711</v>
      </c>
      <c r="E97" s="532">
        <v>758</v>
      </c>
      <c r="F97" s="532">
        <v>833</v>
      </c>
      <c r="G97" s="532">
        <v>733</v>
      </c>
      <c r="H97" s="532">
        <v>891</v>
      </c>
      <c r="I97" s="532">
        <v>795</v>
      </c>
      <c r="J97" s="532">
        <v>765</v>
      </c>
      <c r="K97" s="532">
        <v>870</v>
      </c>
      <c r="L97" s="532">
        <v>879</v>
      </c>
      <c r="M97" s="533">
        <v>897</v>
      </c>
      <c r="N97" s="534">
        <v>979</v>
      </c>
      <c r="P97" s="535">
        <v>0.21199999999999999</v>
      </c>
      <c r="Q97" s="536">
        <v>0.192</v>
      </c>
      <c r="R97" s="536">
        <v>0.20199999999999999</v>
      </c>
      <c r="S97" s="536">
        <v>0.221</v>
      </c>
      <c r="T97" s="536">
        <v>0.19899999999999998</v>
      </c>
      <c r="U97" s="536">
        <v>0.24500000000000002</v>
      </c>
      <c r="V97" s="536">
        <v>0.22399999999999998</v>
      </c>
      <c r="W97" s="536">
        <v>0.214</v>
      </c>
      <c r="X97" s="536">
        <v>0.24300000000000002</v>
      </c>
      <c r="Y97" s="536">
        <v>0.249</v>
      </c>
      <c r="Z97" s="537">
        <v>0.26200000000000001</v>
      </c>
      <c r="AA97" s="538">
        <v>0.28499999999999998</v>
      </c>
      <c r="AC97" s="531">
        <v>3831</v>
      </c>
      <c r="AD97" s="532">
        <v>3738</v>
      </c>
      <c r="AE97" s="532">
        <v>3698</v>
      </c>
      <c r="AF97" s="532">
        <v>3699</v>
      </c>
      <c r="AG97" s="532">
        <v>3589</v>
      </c>
      <c r="AH97" s="532">
        <v>3542</v>
      </c>
      <c r="AI97" s="532">
        <v>3557</v>
      </c>
      <c r="AJ97" s="532">
        <v>3556</v>
      </c>
      <c r="AK97" s="532">
        <v>3578</v>
      </c>
      <c r="AL97" s="532">
        <v>3593</v>
      </c>
      <c r="AM97" s="533">
        <v>3493</v>
      </c>
      <c r="AN97" s="539">
        <f>'2011 Population'!M97</f>
        <v>3481</v>
      </c>
    </row>
    <row r="98" spans="1:40">
      <c r="A98" s="529" t="s">
        <v>243</v>
      </c>
      <c r="B98" s="530" t="s">
        <v>692</v>
      </c>
      <c r="C98" s="531">
        <v>2192</v>
      </c>
      <c r="D98" s="532">
        <v>1920</v>
      </c>
      <c r="E98" s="532">
        <v>2292</v>
      </c>
      <c r="F98" s="532">
        <v>2477</v>
      </c>
      <c r="G98" s="532">
        <v>2202</v>
      </c>
      <c r="H98" s="532">
        <v>2706</v>
      </c>
      <c r="I98" s="532">
        <v>2260</v>
      </c>
      <c r="J98" s="532">
        <v>2386</v>
      </c>
      <c r="K98" s="532">
        <v>2501</v>
      </c>
      <c r="L98" s="532">
        <v>2396</v>
      </c>
      <c r="M98" s="533">
        <v>2327</v>
      </c>
      <c r="N98" s="534">
        <v>2353</v>
      </c>
      <c r="P98" s="535">
        <v>0.24600000000000002</v>
      </c>
      <c r="Q98" s="536">
        <v>0.217</v>
      </c>
      <c r="R98" s="536">
        <v>0.25600000000000001</v>
      </c>
      <c r="S98" s="536">
        <v>0.27800000000000002</v>
      </c>
      <c r="T98" s="536">
        <v>0.24399999999999999</v>
      </c>
      <c r="U98" s="536">
        <v>0.30600000000000005</v>
      </c>
      <c r="V98" s="536">
        <v>0.25900000000000001</v>
      </c>
      <c r="W98" s="536">
        <v>0.27800000000000002</v>
      </c>
      <c r="X98" s="536">
        <v>0.29299999999999998</v>
      </c>
      <c r="Y98" s="536">
        <v>0.27100000000000002</v>
      </c>
      <c r="Z98" s="537">
        <v>0.27500000000000002</v>
      </c>
      <c r="AA98" s="538">
        <v>0.27800000000000002</v>
      </c>
      <c r="AC98" s="531">
        <v>9198</v>
      </c>
      <c r="AD98" s="532">
        <v>9041</v>
      </c>
      <c r="AE98" s="532">
        <v>9036</v>
      </c>
      <c r="AF98" s="532">
        <v>8925</v>
      </c>
      <c r="AG98" s="532">
        <v>8966</v>
      </c>
      <c r="AH98" s="532">
        <v>8995</v>
      </c>
      <c r="AI98" s="532">
        <v>8978</v>
      </c>
      <c r="AJ98" s="532">
        <v>8927</v>
      </c>
      <c r="AK98" s="532">
        <v>8951</v>
      </c>
      <c r="AL98" s="532">
        <v>8960</v>
      </c>
      <c r="AM98" s="533">
        <v>8606</v>
      </c>
      <c r="AN98" s="539">
        <f>'2011 Population'!M98</f>
        <v>8585</v>
      </c>
    </row>
    <row r="99" spans="1:40">
      <c r="A99" s="529" t="s">
        <v>245</v>
      </c>
      <c r="B99" s="530" t="s">
        <v>693</v>
      </c>
      <c r="C99" s="531">
        <v>945</v>
      </c>
      <c r="D99" s="532">
        <v>888</v>
      </c>
      <c r="E99" s="532">
        <v>1159</v>
      </c>
      <c r="F99" s="532">
        <v>1153</v>
      </c>
      <c r="G99" s="532">
        <v>976</v>
      </c>
      <c r="H99" s="532">
        <v>1167</v>
      </c>
      <c r="I99" s="532">
        <v>1186</v>
      </c>
      <c r="J99" s="532">
        <v>1038</v>
      </c>
      <c r="K99" s="532">
        <v>1164</v>
      </c>
      <c r="L99" s="532">
        <v>1242</v>
      </c>
      <c r="M99" s="533">
        <v>1364</v>
      </c>
      <c r="N99" s="534">
        <v>1303</v>
      </c>
      <c r="P99" s="535">
        <v>0.16</v>
      </c>
      <c r="Q99" s="536">
        <v>0.151</v>
      </c>
      <c r="R99" s="536">
        <v>0.19399999999999998</v>
      </c>
      <c r="S99" s="536">
        <v>0.19500000000000001</v>
      </c>
      <c r="T99" s="536">
        <v>0.16300000000000001</v>
      </c>
      <c r="U99" s="536">
        <v>0.19700000000000001</v>
      </c>
      <c r="V99" s="536">
        <v>0.20199999999999999</v>
      </c>
      <c r="W99" s="536">
        <v>0.17699999999999999</v>
      </c>
      <c r="X99" s="536">
        <v>0.2</v>
      </c>
      <c r="Y99" s="536">
        <v>0.21199999999999999</v>
      </c>
      <c r="Z99" s="537">
        <v>0.22899999999999998</v>
      </c>
      <c r="AA99" s="538">
        <v>0.222</v>
      </c>
      <c r="AC99" s="531">
        <v>6021</v>
      </c>
      <c r="AD99" s="532">
        <v>5944</v>
      </c>
      <c r="AE99" s="532">
        <v>5970</v>
      </c>
      <c r="AF99" s="532">
        <v>5926</v>
      </c>
      <c r="AG99" s="532">
        <v>5869</v>
      </c>
      <c r="AH99" s="532">
        <v>5961</v>
      </c>
      <c r="AI99" s="532">
        <v>5974</v>
      </c>
      <c r="AJ99" s="532">
        <v>6038</v>
      </c>
      <c r="AK99" s="532">
        <v>5989</v>
      </c>
      <c r="AL99" s="532">
        <v>5964</v>
      </c>
      <c r="AM99" s="533">
        <v>6110</v>
      </c>
      <c r="AN99" s="539">
        <f>'2011 Population'!M99</f>
        <v>5977</v>
      </c>
    </row>
    <row r="100" spans="1:40">
      <c r="A100" s="529" t="s">
        <v>247</v>
      </c>
      <c r="B100" s="530" t="s">
        <v>1017</v>
      </c>
      <c r="C100" s="531">
        <v>1102</v>
      </c>
      <c r="D100" s="532">
        <v>962</v>
      </c>
      <c r="E100" s="532">
        <v>1018</v>
      </c>
      <c r="F100" s="532">
        <v>1110</v>
      </c>
      <c r="G100" s="532">
        <v>1033</v>
      </c>
      <c r="H100" s="532">
        <v>881</v>
      </c>
      <c r="I100" s="532">
        <v>871</v>
      </c>
      <c r="J100" s="532">
        <v>882</v>
      </c>
      <c r="K100" s="532">
        <v>906</v>
      </c>
      <c r="L100" s="532">
        <v>1106</v>
      </c>
      <c r="M100" s="533">
        <v>1351</v>
      </c>
      <c r="N100" s="534">
        <v>1443</v>
      </c>
      <c r="P100" s="535">
        <v>5.6401280791515608E-2</v>
      </c>
      <c r="Q100" s="536">
        <v>5.0256129333956845E-2</v>
      </c>
      <c r="R100" s="536">
        <v>5.2533947265540157E-2</v>
      </c>
      <c r="S100" s="536">
        <v>6.0559770540340487E-2</v>
      </c>
      <c r="T100" s="536">
        <v>5.685748279964823E-2</v>
      </c>
      <c r="U100" s="536">
        <v>4.9573310510692706E-2</v>
      </c>
      <c r="V100" s="536">
        <v>5.1145672342404185E-2</v>
      </c>
      <c r="W100" s="536">
        <v>5.3281178762382392E-2</v>
      </c>
      <c r="X100" s="536">
        <v>5.6580193560167996E-2</v>
      </c>
      <c r="Y100" s="536">
        <v>6.1533224839921533E-2</v>
      </c>
      <c r="Z100" s="537">
        <v>6.7706896551724141E-2</v>
      </c>
      <c r="AA100" s="538">
        <v>7.4018979225442427E-2</v>
      </c>
      <c r="AC100" s="531">
        <v>19511</v>
      </c>
      <c r="AD100" s="532">
        <v>19569</v>
      </c>
      <c r="AE100" s="532">
        <v>19831</v>
      </c>
      <c r="AF100" s="532">
        <v>19929</v>
      </c>
      <c r="AG100" s="532">
        <v>19686</v>
      </c>
      <c r="AH100" s="532">
        <v>19498</v>
      </c>
      <c r="AI100" s="532">
        <v>19185</v>
      </c>
      <c r="AJ100" s="532">
        <v>18845</v>
      </c>
      <c r="AK100" s="532">
        <v>18449</v>
      </c>
      <c r="AL100" s="532">
        <v>18146</v>
      </c>
      <c r="AM100" s="533">
        <v>20245</v>
      </c>
      <c r="AN100" s="539">
        <f>'2011 Population'!M100</f>
        <v>19506</v>
      </c>
    </row>
    <row r="101" spans="1:40">
      <c r="A101" s="529" t="s">
        <v>14</v>
      </c>
      <c r="B101" s="530" t="s">
        <v>15</v>
      </c>
      <c r="C101" s="531">
        <v>3146</v>
      </c>
      <c r="D101" s="532">
        <v>2860</v>
      </c>
      <c r="E101" s="532">
        <v>3202</v>
      </c>
      <c r="F101" s="532">
        <v>3504</v>
      </c>
      <c r="G101" s="532">
        <v>3196</v>
      </c>
      <c r="H101" s="532">
        <v>3557</v>
      </c>
      <c r="I101" s="532">
        <v>3098</v>
      </c>
      <c r="J101" s="532">
        <v>3511</v>
      </c>
      <c r="K101" s="532">
        <v>4030</v>
      </c>
      <c r="L101" s="532">
        <v>3990</v>
      </c>
      <c r="M101" s="533">
        <v>3332</v>
      </c>
      <c r="N101" s="534">
        <v>3614</v>
      </c>
      <c r="P101" s="535">
        <v>0.14199999999999999</v>
      </c>
      <c r="Q101" s="536">
        <v>0.126</v>
      </c>
      <c r="R101" s="536">
        <v>0.13599999999999998</v>
      </c>
      <c r="S101" s="536">
        <v>0.13900000000000001</v>
      </c>
      <c r="T101" s="536">
        <v>0.121</v>
      </c>
      <c r="U101" s="536">
        <v>0.13599999999999998</v>
      </c>
      <c r="V101" s="536">
        <v>0.11900000000000001</v>
      </c>
      <c r="W101" s="536">
        <v>0.129</v>
      </c>
      <c r="X101" s="536">
        <v>0.13700000000000001</v>
      </c>
      <c r="Y101" s="536">
        <v>0.14800000000000002</v>
      </c>
      <c r="Z101" s="537">
        <v>0.14199999999999999</v>
      </c>
      <c r="AA101" s="538">
        <v>0.14699999999999999</v>
      </c>
      <c r="AC101" s="531">
        <v>21706</v>
      </c>
      <c r="AD101" s="532">
        <v>22345</v>
      </c>
      <c r="AE101" s="532">
        <v>22597</v>
      </c>
      <c r="AF101" s="532">
        <v>22783</v>
      </c>
      <c r="AG101" s="532">
        <v>23163</v>
      </c>
      <c r="AH101" s="532">
        <v>23570</v>
      </c>
      <c r="AI101" s="532">
        <v>23883</v>
      </c>
      <c r="AJ101" s="532">
        <v>24721</v>
      </c>
      <c r="AK101" s="532">
        <v>26058</v>
      </c>
      <c r="AL101" s="532">
        <v>27447</v>
      </c>
      <c r="AM101" s="533">
        <v>23970</v>
      </c>
      <c r="AN101" s="539">
        <f>'2011 Population'!M101</f>
        <v>25229</v>
      </c>
    </row>
    <row r="102" spans="1:40">
      <c r="A102" s="529" t="s">
        <v>35</v>
      </c>
      <c r="B102" s="530" t="s">
        <v>36</v>
      </c>
      <c r="C102" s="531">
        <v>817</v>
      </c>
      <c r="D102" s="532">
        <v>756</v>
      </c>
      <c r="E102" s="532">
        <v>900</v>
      </c>
      <c r="F102" s="532">
        <v>929</v>
      </c>
      <c r="G102" s="532">
        <v>835</v>
      </c>
      <c r="H102" s="532">
        <v>968</v>
      </c>
      <c r="I102" s="532">
        <v>1070</v>
      </c>
      <c r="J102" s="532">
        <v>1000</v>
      </c>
      <c r="K102" s="532">
        <v>1215</v>
      </c>
      <c r="L102" s="532">
        <v>1136</v>
      </c>
      <c r="M102" s="533">
        <v>1222</v>
      </c>
      <c r="N102" s="534">
        <v>1239</v>
      </c>
      <c r="P102" s="535">
        <v>0.23699999999999999</v>
      </c>
      <c r="Q102" s="536">
        <v>0.22</v>
      </c>
      <c r="R102" s="536">
        <v>0.25700000000000001</v>
      </c>
      <c r="S102" s="536">
        <v>0.26899999999999996</v>
      </c>
      <c r="T102" s="536">
        <v>0.245</v>
      </c>
      <c r="U102" s="536">
        <v>0.28800000000000003</v>
      </c>
      <c r="V102" s="536">
        <v>0.317</v>
      </c>
      <c r="W102" s="536">
        <v>0.29100000000000004</v>
      </c>
      <c r="X102" s="536">
        <v>0.36200000000000004</v>
      </c>
      <c r="Y102" s="536">
        <v>0.33100000000000002</v>
      </c>
      <c r="Z102" s="537">
        <v>0.33899999999999997</v>
      </c>
      <c r="AA102" s="538">
        <v>0.35200000000000004</v>
      </c>
      <c r="AC102" s="531">
        <v>3507</v>
      </c>
      <c r="AD102" s="532">
        <v>3526</v>
      </c>
      <c r="AE102" s="532">
        <v>3467</v>
      </c>
      <c r="AF102" s="532">
        <v>3510</v>
      </c>
      <c r="AG102" s="532">
        <v>3532</v>
      </c>
      <c r="AH102" s="532">
        <v>3481</v>
      </c>
      <c r="AI102" s="532">
        <v>3504</v>
      </c>
      <c r="AJ102" s="532">
        <v>3490</v>
      </c>
      <c r="AK102" s="532">
        <v>3445</v>
      </c>
      <c r="AL102" s="532">
        <v>3510</v>
      </c>
      <c r="AM102" s="533">
        <v>3707</v>
      </c>
      <c r="AN102" s="539">
        <f>'2011 Population'!M102</f>
        <v>3592</v>
      </c>
    </row>
    <row r="103" spans="1:40">
      <c r="A103" s="529" t="s">
        <v>53</v>
      </c>
      <c r="B103" s="530" t="s">
        <v>54</v>
      </c>
      <c r="C103" s="531">
        <v>1357</v>
      </c>
      <c r="D103" s="532">
        <v>1141</v>
      </c>
      <c r="E103" s="532">
        <v>1363</v>
      </c>
      <c r="F103" s="532">
        <v>1436</v>
      </c>
      <c r="G103" s="532">
        <v>1378</v>
      </c>
      <c r="H103" s="532">
        <v>1605</v>
      </c>
      <c r="I103" s="532">
        <v>1367</v>
      </c>
      <c r="J103" s="532">
        <v>1497</v>
      </c>
      <c r="K103" s="532">
        <v>1442</v>
      </c>
      <c r="L103" s="532">
        <v>1406</v>
      </c>
      <c r="M103" s="533">
        <v>1439</v>
      </c>
      <c r="N103" s="534">
        <v>1387</v>
      </c>
      <c r="P103" s="535">
        <v>0.20100000000000001</v>
      </c>
      <c r="Q103" s="536">
        <v>0.17199999999999999</v>
      </c>
      <c r="R103" s="536">
        <v>0.20499999999999999</v>
      </c>
      <c r="S103" s="536">
        <v>0.22700000000000001</v>
      </c>
      <c r="T103" s="536">
        <v>0.20300000000000001</v>
      </c>
      <c r="U103" s="536">
        <v>0.24</v>
      </c>
      <c r="V103" s="536">
        <v>0.20300000000000001</v>
      </c>
      <c r="W103" s="536">
        <v>0.219</v>
      </c>
      <c r="X103" s="536">
        <v>0.20899999999999999</v>
      </c>
      <c r="Y103" s="536">
        <v>0.214</v>
      </c>
      <c r="Z103" s="537">
        <v>0.22699999999999998</v>
      </c>
      <c r="AA103" s="538">
        <v>0.222</v>
      </c>
      <c r="AC103" s="531">
        <v>6733</v>
      </c>
      <c r="AD103" s="532">
        <v>6826</v>
      </c>
      <c r="AE103" s="532">
        <v>6844</v>
      </c>
      <c r="AF103" s="532">
        <v>6830</v>
      </c>
      <c r="AG103" s="532">
        <v>6781</v>
      </c>
      <c r="AH103" s="532">
        <v>6753</v>
      </c>
      <c r="AI103" s="532">
        <v>6750</v>
      </c>
      <c r="AJ103" s="532">
        <v>6691</v>
      </c>
      <c r="AK103" s="532">
        <v>6653</v>
      </c>
      <c r="AL103" s="532">
        <v>6723</v>
      </c>
      <c r="AM103" s="533">
        <v>6474</v>
      </c>
      <c r="AN103" s="539">
        <f>'2011 Population'!M103</f>
        <v>6368</v>
      </c>
    </row>
    <row r="104" spans="1:40">
      <c r="A104" s="529" t="s">
        <v>55</v>
      </c>
      <c r="B104" s="530" t="s">
        <v>56</v>
      </c>
      <c r="C104" s="531">
        <v>5930</v>
      </c>
      <c r="D104" s="532">
        <v>5513</v>
      </c>
      <c r="E104" s="532">
        <v>6438</v>
      </c>
      <c r="F104" s="532">
        <v>7178</v>
      </c>
      <c r="G104" s="532">
        <v>6550</v>
      </c>
      <c r="H104" s="532">
        <v>5357</v>
      </c>
      <c r="I104" s="532">
        <v>5276</v>
      </c>
      <c r="J104" s="532">
        <v>6136</v>
      </c>
      <c r="K104" s="532">
        <v>6087</v>
      </c>
      <c r="L104" s="532">
        <v>5937</v>
      </c>
      <c r="M104" s="533">
        <v>6512</v>
      </c>
      <c r="N104" s="534">
        <v>7653</v>
      </c>
      <c r="P104" s="535">
        <v>0.10400000000000001</v>
      </c>
      <c r="Q104" s="536">
        <v>9.7000000000000003E-2</v>
      </c>
      <c r="R104" s="536">
        <v>0.111</v>
      </c>
      <c r="S104" s="536">
        <v>0.124</v>
      </c>
      <c r="T104" s="536">
        <v>0.11199999999999999</v>
      </c>
      <c r="U104" s="536">
        <v>9.2999999999999999E-2</v>
      </c>
      <c r="V104" s="536">
        <v>9.2999999999999999E-2</v>
      </c>
      <c r="W104" s="536">
        <v>0.109</v>
      </c>
      <c r="X104" s="536">
        <v>0.10999999999999999</v>
      </c>
      <c r="Y104" s="536">
        <v>0.104</v>
      </c>
      <c r="Z104" s="537">
        <v>0.114</v>
      </c>
      <c r="AA104" s="538">
        <v>0.13500000000000001</v>
      </c>
      <c r="AC104" s="531">
        <v>57485</v>
      </c>
      <c r="AD104" s="532">
        <v>57471</v>
      </c>
      <c r="AE104" s="532">
        <v>57806</v>
      </c>
      <c r="AF104" s="532">
        <v>58730</v>
      </c>
      <c r="AG104" s="532">
        <v>59635</v>
      </c>
      <c r="AH104" s="532">
        <v>60044</v>
      </c>
      <c r="AI104" s="532">
        <v>59497</v>
      </c>
      <c r="AJ104" s="532">
        <v>58466</v>
      </c>
      <c r="AK104" s="532">
        <v>57959</v>
      </c>
      <c r="AL104" s="532">
        <v>57845</v>
      </c>
      <c r="AM104" s="533">
        <v>57521</v>
      </c>
      <c r="AN104" s="539">
        <f>'2011 Population'!M104</f>
        <v>57117</v>
      </c>
    </row>
    <row r="105" spans="1:40">
      <c r="A105" s="529" t="s">
        <v>67</v>
      </c>
      <c r="B105" s="530" t="s">
        <v>68</v>
      </c>
      <c r="C105" s="531">
        <v>2860</v>
      </c>
      <c r="D105" s="532">
        <v>2683</v>
      </c>
      <c r="E105" s="532">
        <v>2994</v>
      </c>
      <c r="F105" s="532">
        <v>3217</v>
      </c>
      <c r="G105" s="532">
        <v>2948</v>
      </c>
      <c r="H105" s="532">
        <v>3628</v>
      </c>
      <c r="I105" s="532">
        <v>3560</v>
      </c>
      <c r="J105" s="532">
        <v>3593</v>
      </c>
      <c r="K105" s="532">
        <v>3075</v>
      </c>
      <c r="L105" s="532">
        <v>3443</v>
      </c>
      <c r="M105" s="533">
        <v>3778</v>
      </c>
      <c r="N105" s="534">
        <v>3791</v>
      </c>
      <c r="P105" s="535">
        <v>0.26300000000000001</v>
      </c>
      <c r="Q105" s="536">
        <v>0.251</v>
      </c>
      <c r="R105" s="536">
        <v>0.27800000000000002</v>
      </c>
      <c r="S105" s="536">
        <v>0.307</v>
      </c>
      <c r="T105" s="536">
        <v>0.28100000000000003</v>
      </c>
      <c r="U105" s="536">
        <v>0.35100000000000003</v>
      </c>
      <c r="V105" s="536">
        <v>0.35700000000000004</v>
      </c>
      <c r="W105" s="536">
        <v>0.37000000000000005</v>
      </c>
      <c r="X105" s="536">
        <v>0.32400000000000001</v>
      </c>
      <c r="Y105" s="536">
        <v>0.37600000000000006</v>
      </c>
      <c r="Z105" s="537">
        <v>0.41700000000000004</v>
      </c>
      <c r="AA105" s="538">
        <v>0.41299999999999998</v>
      </c>
      <c r="AC105" s="531">
        <v>11200</v>
      </c>
      <c r="AD105" s="532">
        <v>11032</v>
      </c>
      <c r="AE105" s="532">
        <v>10865</v>
      </c>
      <c r="AF105" s="532">
        <v>10600</v>
      </c>
      <c r="AG105" s="532">
        <v>10351</v>
      </c>
      <c r="AH105" s="532">
        <v>10136</v>
      </c>
      <c r="AI105" s="532">
        <v>9907</v>
      </c>
      <c r="AJ105" s="532">
        <v>9688</v>
      </c>
      <c r="AK105" s="532">
        <v>9466</v>
      </c>
      <c r="AL105" s="532">
        <v>9330</v>
      </c>
      <c r="AM105" s="533">
        <v>9262</v>
      </c>
      <c r="AN105" s="539">
        <f>'2011 Population'!M105</f>
        <v>9284</v>
      </c>
    </row>
    <row r="106" spans="1:40">
      <c r="A106" s="529" t="s">
        <v>83</v>
      </c>
      <c r="B106" s="530" t="s">
        <v>84</v>
      </c>
      <c r="C106" s="531">
        <v>569</v>
      </c>
      <c r="D106" s="532">
        <v>472</v>
      </c>
      <c r="E106" s="532">
        <v>542</v>
      </c>
      <c r="F106" s="532">
        <v>583</v>
      </c>
      <c r="G106" s="532">
        <v>517</v>
      </c>
      <c r="H106" s="532">
        <v>654</v>
      </c>
      <c r="I106" s="532">
        <v>586</v>
      </c>
      <c r="J106" s="532">
        <v>652</v>
      </c>
      <c r="K106" s="532">
        <v>621</v>
      </c>
      <c r="L106" s="532">
        <v>635</v>
      </c>
      <c r="M106" s="533">
        <v>671</v>
      </c>
      <c r="N106" s="534">
        <v>688</v>
      </c>
      <c r="P106" s="535">
        <v>0.27700000000000002</v>
      </c>
      <c r="Q106" s="536">
        <v>0.23399999999999999</v>
      </c>
      <c r="R106" s="536">
        <v>0.26400000000000001</v>
      </c>
      <c r="S106" s="536">
        <v>0.27199999999999996</v>
      </c>
      <c r="T106" s="536">
        <v>0.23600000000000002</v>
      </c>
      <c r="U106" s="536">
        <v>0.30299999999999999</v>
      </c>
      <c r="V106" s="536">
        <v>0.26900000000000002</v>
      </c>
      <c r="W106" s="536">
        <v>0.28999999999999998</v>
      </c>
      <c r="X106" s="536">
        <v>0.28200000000000003</v>
      </c>
      <c r="Y106" s="536">
        <v>0.28600000000000003</v>
      </c>
      <c r="Z106" s="537">
        <v>0.33200000000000002</v>
      </c>
      <c r="AA106" s="538">
        <v>0.33700000000000002</v>
      </c>
      <c r="AC106" s="531">
        <v>2075</v>
      </c>
      <c r="AD106" s="532">
        <v>2043</v>
      </c>
      <c r="AE106" s="532">
        <v>1993</v>
      </c>
      <c r="AF106" s="532">
        <v>2036</v>
      </c>
      <c r="AG106" s="532">
        <v>2121</v>
      </c>
      <c r="AH106" s="532">
        <v>2128</v>
      </c>
      <c r="AI106" s="532">
        <v>2218</v>
      </c>
      <c r="AJ106" s="532">
        <v>2270</v>
      </c>
      <c r="AK106" s="532">
        <v>2254</v>
      </c>
      <c r="AL106" s="532">
        <v>2251</v>
      </c>
      <c r="AM106" s="533">
        <v>2046</v>
      </c>
      <c r="AN106" s="539">
        <f>'2011 Population'!M106</f>
        <v>2050</v>
      </c>
    </row>
    <row r="107" spans="1:40">
      <c r="A107" s="529" t="s">
        <v>89</v>
      </c>
      <c r="B107" s="530" t="s">
        <v>90</v>
      </c>
      <c r="C107" s="531">
        <v>646</v>
      </c>
      <c r="D107" s="532">
        <v>583</v>
      </c>
      <c r="E107" s="532">
        <v>715</v>
      </c>
      <c r="F107" s="532">
        <v>830</v>
      </c>
      <c r="G107" s="532">
        <v>765</v>
      </c>
      <c r="H107" s="532">
        <v>871</v>
      </c>
      <c r="I107" s="532">
        <v>868</v>
      </c>
      <c r="J107" s="532">
        <v>911</v>
      </c>
      <c r="K107" s="532">
        <v>995</v>
      </c>
      <c r="L107" s="532">
        <v>1060</v>
      </c>
      <c r="M107" s="533">
        <v>1092</v>
      </c>
      <c r="N107" s="534">
        <v>1183</v>
      </c>
      <c r="P107" s="535">
        <v>0.17899999999999999</v>
      </c>
      <c r="Q107" s="536">
        <v>0.156</v>
      </c>
      <c r="R107" s="536">
        <v>0.18</v>
      </c>
      <c r="S107" s="536">
        <v>0.19699999999999998</v>
      </c>
      <c r="T107" s="536">
        <v>0.18100000000000002</v>
      </c>
      <c r="U107" s="536">
        <v>0.20799999999999999</v>
      </c>
      <c r="V107" s="536">
        <v>0.20200000000000001</v>
      </c>
      <c r="W107" s="536">
        <v>0.193</v>
      </c>
      <c r="X107" s="536">
        <v>0.20300000000000001</v>
      </c>
      <c r="Y107" s="536">
        <v>0.23199999999999998</v>
      </c>
      <c r="Z107" s="537">
        <v>0.23399999999999999</v>
      </c>
      <c r="AA107" s="538">
        <v>0.22899999999999998</v>
      </c>
      <c r="AC107" s="531">
        <v>3433</v>
      </c>
      <c r="AD107" s="532">
        <v>3632</v>
      </c>
      <c r="AE107" s="532">
        <v>3765</v>
      </c>
      <c r="AF107" s="532">
        <v>3917</v>
      </c>
      <c r="AG107" s="532">
        <v>4082</v>
      </c>
      <c r="AH107" s="532">
        <v>4172</v>
      </c>
      <c r="AI107" s="532">
        <v>4344</v>
      </c>
      <c r="AJ107" s="532">
        <v>4414</v>
      </c>
      <c r="AK107" s="532">
        <v>4503</v>
      </c>
      <c r="AL107" s="532">
        <v>4726</v>
      </c>
      <c r="AM107" s="533">
        <v>4779</v>
      </c>
      <c r="AN107" s="539">
        <f>'2011 Population'!M107</f>
        <v>5320</v>
      </c>
    </row>
    <row r="108" spans="1:40">
      <c r="A108" s="529" t="s">
        <v>91</v>
      </c>
      <c r="B108" s="530" t="s">
        <v>92</v>
      </c>
      <c r="C108" s="531">
        <v>412</v>
      </c>
      <c r="D108" s="532">
        <v>376</v>
      </c>
      <c r="E108" s="532">
        <v>408</v>
      </c>
      <c r="F108" s="532">
        <v>464</v>
      </c>
      <c r="G108" s="532">
        <v>390</v>
      </c>
      <c r="H108" s="532">
        <v>456</v>
      </c>
      <c r="I108" s="532">
        <v>459</v>
      </c>
      <c r="J108" s="532">
        <v>453</v>
      </c>
      <c r="K108" s="532">
        <v>502</v>
      </c>
      <c r="L108" s="532">
        <v>533</v>
      </c>
      <c r="M108" s="533">
        <v>541</v>
      </c>
      <c r="N108" s="534">
        <v>565</v>
      </c>
      <c r="P108" s="535">
        <v>0.26899999999999996</v>
      </c>
      <c r="Q108" s="536">
        <v>0.24399999999999997</v>
      </c>
      <c r="R108" s="536">
        <v>0.26</v>
      </c>
      <c r="S108" s="536">
        <v>0.29600000000000004</v>
      </c>
      <c r="T108" s="536">
        <v>0.24899999999999997</v>
      </c>
      <c r="U108" s="536">
        <v>0.29499999999999998</v>
      </c>
      <c r="V108" s="536">
        <v>0.29799999999999999</v>
      </c>
      <c r="W108" s="536">
        <v>0.29399999999999998</v>
      </c>
      <c r="X108" s="536">
        <v>0.32400000000000001</v>
      </c>
      <c r="Y108" s="536">
        <v>0.34299999999999997</v>
      </c>
      <c r="Z108" s="537">
        <v>0.35899999999999999</v>
      </c>
      <c r="AA108" s="538">
        <v>0.373</v>
      </c>
      <c r="AC108" s="531">
        <v>1573</v>
      </c>
      <c r="AD108" s="532">
        <v>1552</v>
      </c>
      <c r="AE108" s="532">
        <v>1569</v>
      </c>
      <c r="AF108" s="532">
        <v>1540</v>
      </c>
      <c r="AG108" s="532">
        <v>1568</v>
      </c>
      <c r="AH108" s="532">
        <v>1577</v>
      </c>
      <c r="AI108" s="532">
        <v>1576</v>
      </c>
      <c r="AJ108" s="532">
        <v>1569</v>
      </c>
      <c r="AK108" s="532">
        <v>1564</v>
      </c>
      <c r="AL108" s="532">
        <v>1568</v>
      </c>
      <c r="AM108" s="533">
        <v>1544</v>
      </c>
      <c r="AN108" s="539">
        <f>'2011 Population'!M108</f>
        <v>1537</v>
      </c>
    </row>
    <row r="109" spans="1:40">
      <c r="A109" s="529" t="s">
        <v>107</v>
      </c>
      <c r="B109" s="530" t="s">
        <v>108</v>
      </c>
      <c r="C109" s="531">
        <v>6095</v>
      </c>
      <c r="D109" s="532">
        <v>5622</v>
      </c>
      <c r="E109" s="532">
        <v>6355</v>
      </c>
      <c r="F109" s="532">
        <v>6489</v>
      </c>
      <c r="G109" s="532">
        <v>5995</v>
      </c>
      <c r="H109" s="532">
        <v>6926</v>
      </c>
      <c r="I109" s="532">
        <v>5650</v>
      </c>
      <c r="J109" s="532">
        <v>6578</v>
      </c>
      <c r="K109" s="532">
        <v>6452</v>
      </c>
      <c r="L109" s="532">
        <v>6526</v>
      </c>
      <c r="M109" s="533">
        <v>6225</v>
      </c>
      <c r="N109" s="534">
        <v>7163</v>
      </c>
      <c r="P109" s="535">
        <v>0.17500000000000002</v>
      </c>
      <c r="Q109" s="536">
        <v>0.16300000000000001</v>
      </c>
      <c r="R109" s="536">
        <v>0.18</v>
      </c>
      <c r="S109" s="536">
        <v>0.18699999999999997</v>
      </c>
      <c r="T109" s="536">
        <v>0.17399999999999999</v>
      </c>
      <c r="U109" s="536">
        <v>0.20300000000000001</v>
      </c>
      <c r="V109" s="536">
        <v>0.16899999999999998</v>
      </c>
      <c r="W109" s="536">
        <v>0.19800000000000001</v>
      </c>
      <c r="X109" s="536">
        <v>0.19899999999999998</v>
      </c>
      <c r="Y109" s="536">
        <v>0.20699999999999999</v>
      </c>
      <c r="Z109" s="537">
        <v>0.20300000000000001</v>
      </c>
      <c r="AA109" s="538">
        <v>0.23699999999999999</v>
      </c>
      <c r="AC109" s="531">
        <v>35396</v>
      </c>
      <c r="AD109" s="532">
        <v>34806</v>
      </c>
      <c r="AE109" s="532">
        <v>34404</v>
      </c>
      <c r="AF109" s="532">
        <v>34350</v>
      </c>
      <c r="AG109" s="532">
        <v>34218</v>
      </c>
      <c r="AH109" s="532">
        <v>34129</v>
      </c>
      <c r="AI109" s="532">
        <v>33841</v>
      </c>
      <c r="AJ109" s="532">
        <v>33524</v>
      </c>
      <c r="AK109" s="532">
        <v>32783</v>
      </c>
      <c r="AL109" s="532">
        <v>32144</v>
      </c>
      <c r="AM109" s="533">
        <v>31274</v>
      </c>
      <c r="AN109" s="539">
        <f>'2011 Population'!M109</f>
        <v>30712</v>
      </c>
    </row>
    <row r="110" spans="1:40">
      <c r="A110" s="529" t="s">
        <v>117</v>
      </c>
      <c r="B110" s="530" t="s">
        <v>118</v>
      </c>
      <c r="C110" s="531">
        <v>1348</v>
      </c>
      <c r="D110" s="532">
        <v>1213</v>
      </c>
      <c r="E110" s="532">
        <v>1480</v>
      </c>
      <c r="F110" s="532">
        <v>1567</v>
      </c>
      <c r="G110" s="532">
        <v>1342</v>
      </c>
      <c r="H110" s="532">
        <v>1611</v>
      </c>
      <c r="I110" s="532">
        <v>1546</v>
      </c>
      <c r="J110" s="532">
        <v>1488</v>
      </c>
      <c r="K110" s="532">
        <v>1655</v>
      </c>
      <c r="L110" s="532">
        <v>1758</v>
      </c>
      <c r="M110" s="533">
        <v>1535</v>
      </c>
      <c r="N110" s="534">
        <v>1664</v>
      </c>
      <c r="P110" s="535">
        <v>0.22800000000000001</v>
      </c>
      <c r="Q110" s="536">
        <v>0.20200000000000001</v>
      </c>
      <c r="R110" s="536">
        <v>0.24200000000000002</v>
      </c>
      <c r="S110" s="536">
        <v>0.26</v>
      </c>
      <c r="T110" s="536">
        <v>0.219</v>
      </c>
      <c r="U110" s="536">
        <v>0.26600000000000001</v>
      </c>
      <c r="V110" s="536">
        <v>0.26100000000000001</v>
      </c>
      <c r="W110" s="536">
        <v>0.24500000000000002</v>
      </c>
      <c r="X110" s="536">
        <v>0.27</v>
      </c>
      <c r="Y110" s="536">
        <v>0.29500000000000004</v>
      </c>
      <c r="Z110" s="537">
        <v>0.27499999999999997</v>
      </c>
      <c r="AA110" s="538">
        <v>0.30199999999999999</v>
      </c>
      <c r="AC110" s="531">
        <v>5956</v>
      </c>
      <c r="AD110" s="532">
        <v>6010</v>
      </c>
      <c r="AE110" s="532">
        <v>6106</v>
      </c>
      <c r="AF110" s="532">
        <v>5912</v>
      </c>
      <c r="AG110" s="532">
        <v>5906</v>
      </c>
      <c r="AH110" s="532">
        <v>5859</v>
      </c>
      <c r="AI110" s="532">
        <v>5956</v>
      </c>
      <c r="AJ110" s="532">
        <v>6104</v>
      </c>
      <c r="AK110" s="532">
        <v>6073</v>
      </c>
      <c r="AL110" s="532">
        <v>6052</v>
      </c>
      <c r="AM110" s="533">
        <v>5673</v>
      </c>
      <c r="AN110" s="539">
        <f>'2011 Population'!M110</f>
        <v>5605</v>
      </c>
    </row>
    <row r="111" spans="1:40">
      <c r="A111" s="529" t="s">
        <v>139</v>
      </c>
      <c r="B111" s="530" t="s">
        <v>140</v>
      </c>
      <c r="C111" s="531">
        <v>2811</v>
      </c>
      <c r="D111" s="532">
        <v>2742</v>
      </c>
      <c r="E111" s="532">
        <v>3339</v>
      </c>
      <c r="F111" s="532">
        <v>3579</v>
      </c>
      <c r="G111" s="532">
        <v>3266</v>
      </c>
      <c r="H111" s="532">
        <v>3540</v>
      </c>
      <c r="I111" s="532">
        <v>3488</v>
      </c>
      <c r="J111" s="532">
        <v>4018</v>
      </c>
      <c r="K111" s="532">
        <v>3522</v>
      </c>
      <c r="L111" s="532">
        <v>3857</v>
      </c>
      <c r="M111" s="533">
        <v>4267</v>
      </c>
      <c r="N111" s="534">
        <v>3687</v>
      </c>
      <c r="P111" s="535">
        <v>0.2</v>
      </c>
      <c r="Q111" s="536">
        <v>0.19699999999999998</v>
      </c>
      <c r="R111" s="536">
        <v>0.23500000000000001</v>
      </c>
      <c r="S111" s="536">
        <v>0.253</v>
      </c>
      <c r="T111" s="536">
        <v>0.23100000000000001</v>
      </c>
      <c r="U111" s="536">
        <v>0.25399999999999995</v>
      </c>
      <c r="V111" s="536">
        <v>0.252</v>
      </c>
      <c r="W111" s="536">
        <v>0.27699999999999997</v>
      </c>
      <c r="X111" s="536">
        <v>0.24</v>
      </c>
      <c r="Y111" s="536">
        <v>0.26600000000000001</v>
      </c>
      <c r="Z111" s="537">
        <v>0.29599999999999999</v>
      </c>
      <c r="AA111" s="538">
        <v>0.252</v>
      </c>
      <c r="AC111" s="531">
        <v>14419</v>
      </c>
      <c r="AD111" s="532">
        <v>14163</v>
      </c>
      <c r="AE111" s="532">
        <v>13984</v>
      </c>
      <c r="AF111" s="532">
        <v>13939</v>
      </c>
      <c r="AG111" s="532">
        <v>13852</v>
      </c>
      <c r="AH111" s="532">
        <v>14071</v>
      </c>
      <c r="AI111" s="532">
        <v>14306</v>
      </c>
      <c r="AJ111" s="532">
        <v>14600</v>
      </c>
      <c r="AK111" s="532">
        <v>14587</v>
      </c>
      <c r="AL111" s="532">
        <v>14930</v>
      </c>
      <c r="AM111" s="533">
        <v>14774</v>
      </c>
      <c r="AN111" s="539">
        <f>'2011 Population'!M111</f>
        <v>14947</v>
      </c>
    </row>
    <row r="112" spans="1:40">
      <c r="A112" s="529" t="s">
        <v>143</v>
      </c>
      <c r="B112" s="530" t="s">
        <v>144</v>
      </c>
      <c r="C112" s="531">
        <v>862</v>
      </c>
      <c r="D112" s="532">
        <v>803</v>
      </c>
      <c r="E112" s="532">
        <v>919</v>
      </c>
      <c r="F112" s="532">
        <v>1055</v>
      </c>
      <c r="G112" s="532">
        <v>1038</v>
      </c>
      <c r="H112" s="532">
        <v>1017</v>
      </c>
      <c r="I112" s="532">
        <v>1022</v>
      </c>
      <c r="J112" s="532">
        <v>1324</v>
      </c>
      <c r="K112" s="532">
        <v>1308</v>
      </c>
      <c r="L112" s="532">
        <v>1504</v>
      </c>
      <c r="M112" s="533">
        <v>1888</v>
      </c>
      <c r="N112" s="534">
        <v>1790</v>
      </c>
      <c r="P112" s="535">
        <v>8.1000000000000003E-2</v>
      </c>
      <c r="Q112" s="536">
        <v>7.5000000000000011E-2</v>
      </c>
      <c r="R112" s="536">
        <v>8.3999999999999991E-2</v>
      </c>
      <c r="S112" s="536">
        <v>9.5000000000000001E-2</v>
      </c>
      <c r="T112" s="536">
        <v>9.3000000000000013E-2</v>
      </c>
      <c r="U112" s="536">
        <v>9.1999999999999985E-2</v>
      </c>
      <c r="V112" s="536">
        <v>9.8000000000000004E-2</v>
      </c>
      <c r="W112" s="536">
        <v>0.13099999999999998</v>
      </c>
      <c r="X112" s="536">
        <v>0.13100000000000001</v>
      </c>
      <c r="Y112" s="536">
        <v>0.14599999999999999</v>
      </c>
      <c r="Z112" s="537">
        <v>0.17899999999999999</v>
      </c>
      <c r="AA112" s="538">
        <v>0.16699999999999998</v>
      </c>
      <c r="AC112" s="531">
        <v>10433</v>
      </c>
      <c r="AD112" s="532">
        <v>10545</v>
      </c>
      <c r="AE112" s="532">
        <v>10596</v>
      </c>
      <c r="AF112" s="532">
        <v>10721</v>
      </c>
      <c r="AG112" s="532">
        <v>10748</v>
      </c>
      <c r="AH112" s="532">
        <v>10576</v>
      </c>
      <c r="AI112" s="532">
        <v>10264</v>
      </c>
      <c r="AJ112" s="532">
        <v>10128</v>
      </c>
      <c r="AK112" s="532">
        <v>10060</v>
      </c>
      <c r="AL112" s="532">
        <v>10519</v>
      </c>
      <c r="AM112" s="533">
        <v>10747</v>
      </c>
      <c r="AN112" s="539">
        <f>'2011 Population'!M112</f>
        <v>11024</v>
      </c>
    </row>
    <row r="113" spans="1:40">
      <c r="A113" s="529" t="s">
        <v>145</v>
      </c>
      <c r="B113" s="530" t="s">
        <v>146</v>
      </c>
      <c r="C113" s="531">
        <v>275</v>
      </c>
      <c r="D113" s="532">
        <v>250</v>
      </c>
      <c r="E113" s="532">
        <v>293</v>
      </c>
      <c r="F113" s="532">
        <v>339</v>
      </c>
      <c r="G113" s="532">
        <v>286</v>
      </c>
      <c r="H113" s="532">
        <v>319</v>
      </c>
      <c r="I113" s="532">
        <v>349</v>
      </c>
      <c r="J113" s="532">
        <v>363</v>
      </c>
      <c r="K113" s="532">
        <v>409</v>
      </c>
      <c r="L113" s="532">
        <v>452</v>
      </c>
      <c r="M113" s="533">
        <v>546</v>
      </c>
      <c r="N113" s="534">
        <v>615</v>
      </c>
      <c r="P113" s="535">
        <v>8.3000000000000004E-2</v>
      </c>
      <c r="Q113" s="536">
        <v>7.2999999999999995E-2</v>
      </c>
      <c r="R113" s="536">
        <v>8.4000000000000005E-2</v>
      </c>
      <c r="S113" s="536">
        <v>9.1999999999999998E-2</v>
      </c>
      <c r="T113" s="536">
        <v>7.6999999999999999E-2</v>
      </c>
      <c r="U113" s="536">
        <v>8.6999999999999994E-2</v>
      </c>
      <c r="V113" s="536">
        <v>9.2999999999999999E-2</v>
      </c>
      <c r="W113" s="536">
        <v>0.1</v>
      </c>
      <c r="X113" s="536">
        <v>0.113</v>
      </c>
      <c r="Y113" s="536">
        <v>0.126</v>
      </c>
      <c r="Z113" s="537">
        <v>0.13599999999999998</v>
      </c>
      <c r="AA113" s="538">
        <v>0.14199999999999999</v>
      </c>
      <c r="AC113" s="531">
        <v>3202</v>
      </c>
      <c r="AD113" s="532">
        <v>3365</v>
      </c>
      <c r="AE113" s="532">
        <v>3443</v>
      </c>
      <c r="AF113" s="532">
        <v>3444</v>
      </c>
      <c r="AG113" s="532">
        <v>3568</v>
      </c>
      <c r="AH113" s="532">
        <v>3640</v>
      </c>
      <c r="AI113" s="532">
        <v>3657</v>
      </c>
      <c r="AJ113" s="532">
        <v>3647</v>
      </c>
      <c r="AK113" s="532">
        <v>3454</v>
      </c>
      <c r="AL113" s="532">
        <v>3632</v>
      </c>
      <c r="AM113" s="533">
        <v>4059</v>
      </c>
      <c r="AN113" s="539">
        <f>'2011 Population'!M113</f>
        <v>4426</v>
      </c>
    </row>
    <row r="114" spans="1:40">
      <c r="A114" s="529" t="s">
        <v>159</v>
      </c>
      <c r="B114" s="530" t="s">
        <v>160</v>
      </c>
      <c r="C114" s="531">
        <v>9366</v>
      </c>
      <c r="D114" s="532">
        <v>8608</v>
      </c>
      <c r="E114" s="532">
        <v>10012</v>
      </c>
      <c r="F114" s="532">
        <v>10363</v>
      </c>
      <c r="G114" s="532">
        <v>9610</v>
      </c>
      <c r="H114" s="532">
        <v>10934</v>
      </c>
      <c r="I114" s="532">
        <v>9486</v>
      </c>
      <c r="J114" s="532">
        <v>10346</v>
      </c>
      <c r="K114" s="532">
        <v>9552</v>
      </c>
      <c r="L114" s="532">
        <v>9976</v>
      </c>
      <c r="M114" s="533">
        <v>10038</v>
      </c>
      <c r="N114" s="534">
        <v>9700</v>
      </c>
      <c r="P114" s="535">
        <v>0.188</v>
      </c>
      <c r="Q114" s="536">
        <v>0.17100000000000001</v>
      </c>
      <c r="R114" s="536">
        <v>0.192</v>
      </c>
      <c r="S114" s="536">
        <v>0.19899999999999998</v>
      </c>
      <c r="T114" s="536">
        <v>0.18399999999999997</v>
      </c>
      <c r="U114" s="536">
        <v>0.21199999999999999</v>
      </c>
      <c r="V114" s="536">
        <v>0.189</v>
      </c>
      <c r="W114" s="536">
        <v>0.20799999999999999</v>
      </c>
      <c r="X114" s="536">
        <v>0.19399999999999998</v>
      </c>
      <c r="Y114" s="536">
        <v>0.20600000000000002</v>
      </c>
      <c r="Z114" s="537">
        <v>0.23300000000000001</v>
      </c>
      <c r="AA114" s="538">
        <v>0.22699999999999998</v>
      </c>
      <c r="AC114" s="531">
        <v>49627</v>
      </c>
      <c r="AD114" s="532">
        <v>50316</v>
      </c>
      <c r="AE114" s="532">
        <v>50930</v>
      </c>
      <c r="AF114" s="532">
        <v>51740</v>
      </c>
      <c r="AG114" s="532">
        <v>51820</v>
      </c>
      <c r="AH114" s="532">
        <v>51102</v>
      </c>
      <c r="AI114" s="532">
        <v>51027</v>
      </c>
      <c r="AJ114" s="532">
        <v>50633</v>
      </c>
      <c r="AK114" s="532">
        <v>50021</v>
      </c>
      <c r="AL114" s="532">
        <v>49502</v>
      </c>
      <c r="AM114" s="533">
        <v>43913</v>
      </c>
      <c r="AN114" s="539">
        <f>'2011 Population'!M114</f>
        <v>43481</v>
      </c>
    </row>
    <row r="115" spans="1:40">
      <c r="A115" s="529" t="s">
        <v>161</v>
      </c>
      <c r="B115" s="530" t="s">
        <v>162</v>
      </c>
      <c r="C115" s="531">
        <v>14823</v>
      </c>
      <c r="D115" s="532">
        <v>13868</v>
      </c>
      <c r="E115" s="532">
        <v>15592</v>
      </c>
      <c r="F115" s="532">
        <v>16014</v>
      </c>
      <c r="G115" s="532">
        <v>14146</v>
      </c>
      <c r="H115" s="532">
        <v>16042</v>
      </c>
      <c r="I115" s="532">
        <v>13864</v>
      </c>
      <c r="J115" s="532">
        <v>14375</v>
      </c>
      <c r="K115" s="532">
        <v>16416</v>
      </c>
      <c r="L115" s="532">
        <v>14190</v>
      </c>
      <c r="M115" s="533">
        <v>12663</v>
      </c>
      <c r="N115" s="534">
        <v>13951</v>
      </c>
      <c r="P115" s="535">
        <v>0.26399999999999996</v>
      </c>
      <c r="Q115" s="536">
        <v>0.24100000000000002</v>
      </c>
      <c r="R115" s="536">
        <v>0.26200000000000001</v>
      </c>
      <c r="S115" s="536">
        <v>0.27100000000000002</v>
      </c>
      <c r="T115" s="536">
        <v>0.24000000000000002</v>
      </c>
      <c r="U115" s="536">
        <v>0.27499999999999997</v>
      </c>
      <c r="V115" s="536">
        <v>0.24000000000000002</v>
      </c>
      <c r="W115" s="536">
        <v>0.24299999999999999</v>
      </c>
      <c r="X115" s="536">
        <v>0.27899999999999997</v>
      </c>
      <c r="Y115" s="536">
        <v>0.26700000000000002</v>
      </c>
      <c r="Z115" s="537">
        <v>0.255</v>
      </c>
      <c r="AA115" s="538">
        <v>0.28000000000000003</v>
      </c>
      <c r="AC115" s="531">
        <v>56220</v>
      </c>
      <c r="AD115" s="532">
        <v>56067</v>
      </c>
      <c r="AE115" s="532">
        <v>56940</v>
      </c>
      <c r="AF115" s="532">
        <v>57854</v>
      </c>
      <c r="AG115" s="532">
        <v>57638</v>
      </c>
      <c r="AH115" s="532">
        <v>57436</v>
      </c>
      <c r="AI115" s="532">
        <v>56751</v>
      </c>
      <c r="AJ115" s="532">
        <v>56369</v>
      </c>
      <c r="AK115" s="532">
        <v>55366</v>
      </c>
      <c r="AL115" s="532">
        <v>54515</v>
      </c>
      <c r="AM115" s="533">
        <v>50612</v>
      </c>
      <c r="AN115" s="539">
        <f>'2011 Population'!M115</f>
        <v>50672</v>
      </c>
    </row>
    <row r="116" spans="1:40">
      <c r="A116" s="529" t="s">
        <v>167</v>
      </c>
      <c r="B116" s="530" t="s">
        <v>168</v>
      </c>
      <c r="C116" s="531">
        <v>231</v>
      </c>
      <c r="D116" s="532">
        <v>219</v>
      </c>
      <c r="E116" s="532">
        <v>210</v>
      </c>
      <c r="F116" s="532">
        <v>221</v>
      </c>
      <c r="G116" s="532">
        <v>207</v>
      </c>
      <c r="H116" s="532">
        <v>252</v>
      </c>
      <c r="I116" s="532">
        <v>211</v>
      </c>
      <c r="J116" s="532">
        <v>227</v>
      </c>
      <c r="K116" s="532">
        <v>237</v>
      </c>
      <c r="L116" s="532">
        <v>232</v>
      </c>
      <c r="M116" s="533">
        <v>268</v>
      </c>
      <c r="N116" s="534">
        <v>279</v>
      </c>
      <c r="P116" s="535">
        <v>0.27100000000000002</v>
      </c>
      <c r="Q116" s="536">
        <v>0.25900000000000001</v>
      </c>
      <c r="R116" s="536">
        <v>0.254</v>
      </c>
      <c r="S116" s="536">
        <v>0.28899999999999998</v>
      </c>
      <c r="T116" s="536">
        <v>0.26499999999999996</v>
      </c>
      <c r="U116" s="536">
        <v>0.32600000000000001</v>
      </c>
      <c r="V116" s="536">
        <v>0.28999999999999998</v>
      </c>
      <c r="W116" s="536">
        <v>0.31</v>
      </c>
      <c r="X116" s="536">
        <v>0.32200000000000001</v>
      </c>
      <c r="Y116" s="536">
        <v>0.314</v>
      </c>
      <c r="Z116" s="537">
        <v>0.316</v>
      </c>
      <c r="AA116" s="538">
        <v>0.32100000000000001</v>
      </c>
      <c r="AC116" s="531">
        <v>848</v>
      </c>
      <c r="AD116" s="532">
        <v>850</v>
      </c>
      <c r="AE116" s="532">
        <v>825</v>
      </c>
      <c r="AF116" s="532">
        <v>820</v>
      </c>
      <c r="AG116" s="532">
        <v>783</v>
      </c>
      <c r="AH116" s="532">
        <v>737</v>
      </c>
      <c r="AI116" s="532">
        <v>770</v>
      </c>
      <c r="AJ116" s="532">
        <v>800</v>
      </c>
      <c r="AK116" s="532">
        <v>767</v>
      </c>
      <c r="AL116" s="532">
        <v>744</v>
      </c>
      <c r="AM116" s="533">
        <v>864</v>
      </c>
      <c r="AN116" s="539">
        <f>'2011 Population'!M116</f>
        <v>891</v>
      </c>
    </row>
    <row r="117" spans="1:40">
      <c r="A117" s="529" t="s">
        <v>177</v>
      </c>
      <c r="B117" s="530" t="s">
        <v>178</v>
      </c>
      <c r="C117" s="531">
        <v>2149</v>
      </c>
      <c r="D117" s="532">
        <v>2018</v>
      </c>
      <c r="E117" s="532">
        <v>2272</v>
      </c>
      <c r="F117" s="532">
        <v>2337</v>
      </c>
      <c r="G117" s="532">
        <v>2112</v>
      </c>
      <c r="H117" s="532">
        <v>2519</v>
      </c>
      <c r="I117" s="532">
        <v>2266</v>
      </c>
      <c r="J117" s="532">
        <v>2293</v>
      </c>
      <c r="K117" s="532">
        <v>2473</v>
      </c>
      <c r="L117" s="532">
        <v>2646</v>
      </c>
      <c r="M117" s="533">
        <v>2694</v>
      </c>
      <c r="N117" s="534">
        <v>2540</v>
      </c>
      <c r="P117" s="535">
        <v>0.26600000000000001</v>
      </c>
      <c r="Q117" s="536">
        <v>0.247</v>
      </c>
      <c r="R117" s="536">
        <v>0.27100000000000002</v>
      </c>
      <c r="S117" s="536">
        <v>0.28299999999999997</v>
      </c>
      <c r="T117" s="536">
        <v>0.255</v>
      </c>
      <c r="U117" s="536">
        <v>0.308</v>
      </c>
      <c r="V117" s="536">
        <v>0.28499999999999998</v>
      </c>
      <c r="W117" s="536">
        <v>0.28299999999999997</v>
      </c>
      <c r="X117" s="536">
        <v>0.307</v>
      </c>
      <c r="Y117" s="536">
        <v>0.34200000000000003</v>
      </c>
      <c r="Z117" s="537">
        <v>0.41400000000000003</v>
      </c>
      <c r="AA117" s="538">
        <v>0.377</v>
      </c>
      <c r="AC117" s="531">
        <v>8421</v>
      </c>
      <c r="AD117" s="532">
        <v>8310</v>
      </c>
      <c r="AE117" s="532">
        <v>8272</v>
      </c>
      <c r="AF117" s="532">
        <v>8250</v>
      </c>
      <c r="AG117" s="532">
        <v>8123</v>
      </c>
      <c r="AH117" s="532">
        <v>8028</v>
      </c>
      <c r="AI117" s="532">
        <v>8010</v>
      </c>
      <c r="AJ117" s="532">
        <v>8061</v>
      </c>
      <c r="AK117" s="532">
        <v>8190</v>
      </c>
      <c r="AL117" s="532">
        <v>8003</v>
      </c>
      <c r="AM117" s="533">
        <v>6707</v>
      </c>
      <c r="AN117" s="539">
        <f>'2011 Population'!M117</f>
        <v>6938</v>
      </c>
    </row>
    <row r="118" spans="1:40">
      <c r="A118" s="529" t="s">
        <v>181</v>
      </c>
      <c r="B118" s="530" t="s">
        <v>182</v>
      </c>
      <c r="C118" s="531">
        <v>5804</v>
      </c>
      <c r="D118" s="532">
        <v>5510</v>
      </c>
      <c r="E118" s="532">
        <v>6185</v>
      </c>
      <c r="F118" s="532">
        <v>6463</v>
      </c>
      <c r="G118" s="532">
        <v>5669</v>
      </c>
      <c r="H118" s="532">
        <v>7067</v>
      </c>
      <c r="I118" s="532">
        <v>6160</v>
      </c>
      <c r="J118" s="532">
        <v>6087</v>
      </c>
      <c r="K118" s="532">
        <v>7321</v>
      </c>
      <c r="L118" s="532">
        <v>5829</v>
      </c>
      <c r="M118" s="533">
        <v>6280</v>
      </c>
      <c r="N118" s="534">
        <v>6231</v>
      </c>
      <c r="P118" s="535">
        <v>0.23300000000000001</v>
      </c>
      <c r="Q118" s="536">
        <v>0.21899999999999997</v>
      </c>
      <c r="R118" s="536">
        <v>0.24100000000000002</v>
      </c>
      <c r="S118" s="536">
        <v>0.251</v>
      </c>
      <c r="T118" s="536">
        <v>0.21600000000000003</v>
      </c>
      <c r="U118" s="536">
        <v>0.27299999999999996</v>
      </c>
      <c r="V118" s="536">
        <v>0.23800000000000002</v>
      </c>
      <c r="W118" s="536">
        <v>0.23500000000000001</v>
      </c>
      <c r="X118" s="536">
        <v>0.28800000000000003</v>
      </c>
      <c r="Y118" s="536">
        <v>0.25100000000000006</v>
      </c>
      <c r="Z118" s="537">
        <v>0.28500000000000003</v>
      </c>
      <c r="AA118" s="538">
        <v>0.28100000000000003</v>
      </c>
      <c r="AC118" s="531">
        <v>25770</v>
      </c>
      <c r="AD118" s="532">
        <v>25302</v>
      </c>
      <c r="AE118" s="532">
        <v>25149</v>
      </c>
      <c r="AF118" s="532">
        <v>25205</v>
      </c>
      <c r="AG118" s="532">
        <v>25073</v>
      </c>
      <c r="AH118" s="532">
        <v>25203</v>
      </c>
      <c r="AI118" s="532">
        <v>25385</v>
      </c>
      <c r="AJ118" s="532">
        <v>24981</v>
      </c>
      <c r="AK118" s="532">
        <v>24205</v>
      </c>
      <c r="AL118" s="532">
        <v>23984</v>
      </c>
      <c r="AM118" s="533">
        <v>22666</v>
      </c>
      <c r="AN118" s="539">
        <f>'2011 Population'!M118</f>
        <v>22755</v>
      </c>
    </row>
    <row r="119" spans="1:40">
      <c r="A119" s="529" t="s">
        <v>193</v>
      </c>
      <c r="B119" s="530" t="s">
        <v>194</v>
      </c>
      <c r="C119" s="531">
        <v>255</v>
      </c>
      <c r="D119" s="532">
        <v>236</v>
      </c>
      <c r="E119" s="532">
        <v>285</v>
      </c>
      <c r="F119" s="532">
        <v>291</v>
      </c>
      <c r="G119" s="532">
        <v>237</v>
      </c>
      <c r="H119" s="532">
        <v>245</v>
      </c>
      <c r="I119" s="532">
        <v>267</v>
      </c>
      <c r="J119" s="532">
        <v>323</v>
      </c>
      <c r="K119" s="532">
        <v>331</v>
      </c>
      <c r="L119" s="532">
        <v>346</v>
      </c>
      <c r="M119" s="533">
        <v>408</v>
      </c>
      <c r="N119" s="534">
        <v>391</v>
      </c>
      <c r="P119" s="535">
        <v>0.13100000000000001</v>
      </c>
      <c r="Q119" s="536">
        <v>0.126</v>
      </c>
      <c r="R119" s="536">
        <v>0.158</v>
      </c>
      <c r="S119" s="536">
        <v>0.16</v>
      </c>
      <c r="T119" s="536">
        <v>0.14800000000000002</v>
      </c>
      <c r="U119" s="536">
        <v>0.155</v>
      </c>
      <c r="V119" s="536">
        <v>0.16300000000000001</v>
      </c>
      <c r="W119" s="536">
        <v>0.16699999999999998</v>
      </c>
      <c r="X119" s="536">
        <v>0.16600000000000001</v>
      </c>
      <c r="Y119" s="536">
        <v>0.183</v>
      </c>
      <c r="Z119" s="537">
        <v>0.193</v>
      </c>
      <c r="AA119" s="538">
        <v>0.19399999999999998</v>
      </c>
      <c r="AC119" s="531">
        <v>1973</v>
      </c>
      <c r="AD119" s="532">
        <v>1925</v>
      </c>
      <c r="AE119" s="532">
        <v>1944</v>
      </c>
      <c r="AF119" s="532">
        <v>1877</v>
      </c>
      <c r="AG119" s="532">
        <v>1865</v>
      </c>
      <c r="AH119" s="532">
        <v>1865</v>
      </c>
      <c r="AI119" s="532">
        <v>1880</v>
      </c>
      <c r="AJ119" s="532">
        <v>1932</v>
      </c>
      <c r="AK119" s="532">
        <v>1945</v>
      </c>
      <c r="AL119" s="532">
        <v>1937</v>
      </c>
      <c r="AM119" s="533">
        <v>2145</v>
      </c>
      <c r="AN119" s="539">
        <f>'2011 Population'!M119</f>
        <v>2050</v>
      </c>
    </row>
    <row r="120" spans="1:40">
      <c r="A120" s="529" t="s">
        <v>197</v>
      </c>
      <c r="B120" s="530" t="s">
        <v>198</v>
      </c>
      <c r="C120" s="531">
        <v>11931</v>
      </c>
      <c r="D120" s="532">
        <v>10957</v>
      </c>
      <c r="E120" s="532">
        <v>12863</v>
      </c>
      <c r="F120" s="532">
        <v>13332</v>
      </c>
      <c r="G120" s="532">
        <v>12062</v>
      </c>
      <c r="H120" s="532">
        <v>12857</v>
      </c>
      <c r="I120" s="532">
        <v>12459</v>
      </c>
      <c r="J120" s="532">
        <v>14145</v>
      </c>
      <c r="K120" s="532">
        <v>15714</v>
      </c>
      <c r="L120" s="532">
        <v>13912</v>
      </c>
      <c r="M120" s="533">
        <v>13051</v>
      </c>
      <c r="N120" s="534">
        <v>14013</v>
      </c>
      <c r="P120" s="535">
        <v>0.28200000000000003</v>
      </c>
      <c r="Q120" s="536">
        <v>0.25700000000000001</v>
      </c>
      <c r="R120" s="536">
        <v>0.29499999999999998</v>
      </c>
      <c r="S120" s="536">
        <v>0.30599999999999999</v>
      </c>
      <c r="T120" s="536">
        <v>0.27499999999999997</v>
      </c>
      <c r="U120" s="536">
        <v>0.29700000000000004</v>
      </c>
      <c r="V120" s="536">
        <v>0.29300000000000004</v>
      </c>
      <c r="W120" s="536">
        <v>0.32299999999999995</v>
      </c>
      <c r="X120" s="536">
        <v>0.35600000000000004</v>
      </c>
      <c r="Y120" s="536">
        <v>0.34700000000000003</v>
      </c>
      <c r="Z120" s="537">
        <v>0.35000000000000003</v>
      </c>
      <c r="AA120" s="538">
        <v>0.36200000000000004</v>
      </c>
      <c r="AC120" s="531">
        <v>43060</v>
      </c>
      <c r="AD120" s="532">
        <v>42984</v>
      </c>
      <c r="AE120" s="532">
        <v>43167</v>
      </c>
      <c r="AF120" s="532">
        <v>42603</v>
      </c>
      <c r="AG120" s="532">
        <v>42220</v>
      </c>
      <c r="AH120" s="532">
        <v>41863</v>
      </c>
      <c r="AI120" s="532">
        <v>41518</v>
      </c>
      <c r="AJ120" s="532">
        <v>41305</v>
      </c>
      <c r="AK120" s="532">
        <v>41334</v>
      </c>
      <c r="AL120" s="532">
        <v>41253</v>
      </c>
      <c r="AM120" s="533">
        <v>38009</v>
      </c>
      <c r="AN120" s="539">
        <f>'2011 Population'!M120</f>
        <v>39396</v>
      </c>
    </row>
    <row r="121" spans="1:40">
      <c r="A121" s="529" t="s">
        <v>201</v>
      </c>
      <c r="B121" s="530" t="s">
        <v>202</v>
      </c>
      <c r="C121" s="531">
        <v>5094</v>
      </c>
      <c r="D121" s="532">
        <v>4846</v>
      </c>
      <c r="E121" s="532">
        <v>5503</v>
      </c>
      <c r="F121" s="532">
        <v>5900</v>
      </c>
      <c r="G121" s="532">
        <v>5325</v>
      </c>
      <c r="H121" s="532">
        <v>5575</v>
      </c>
      <c r="I121" s="532">
        <v>4915</v>
      </c>
      <c r="J121" s="532">
        <v>5669</v>
      </c>
      <c r="K121" s="532">
        <v>5608</v>
      </c>
      <c r="L121" s="532">
        <v>5862</v>
      </c>
      <c r="M121" s="533">
        <v>6981</v>
      </c>
      <c r="N121" s="534">
        <v>6126</v>
      </c>
      <c r="P121" s="535">
        <v>0.23899999999999999</v>
      </c>
      <c r="Q121" s="536">
        <v>0.22699999999999998</v>
      </c>
      <c r="R121" s="536">
        <v>0.255</v>
      </c>
      <c r="S121" s="536">
        <v>0.27600000000000002</v>
      </c>
      <c r="T121" s="536">
        <v>0.24300000000000002</v>
      </c>
      <c r="U121" s="536">
        <v>0.25700000000000001</v>
      </c>
      <c r="V121" s="536">
        <v>0.24199999999999999</v>
      </c>
      <c r="W121" s="536">
        <v>0.27600000000000002</v>
      </c>
      <c r="X121" s="536">
        <v>0.27300000000000002</v>
      </c>
      <c r="Y121" s="536">
        <v>0.3</v>
      </c>
      <c r="Z121" s="537">
        <v>0.33899999999999997</v>
      </c>
      <c r="AA121" s="538">
        <v>0.29600000000000004</v>
      </c>
      <c r="AC121" s="531">
        <v>21393</v>
      </c>
      <c r="AD121" s="532">
        <v>21391</v>
      </c>
      <c r="AE121" s="532">
        <v>20977</v>
      </c>
      <c r="AF121" s="532">
        <v>20605</v>
      </c>
      <c r="AG121" s="532">
        <v>20303</v>
      </c>
      <c r="AH121" s="532">
        <v>20026</v>
      </c>
      <c r="AI121" s="532">
        <v>19810</v>
      </c>
      <c r="AJ121" s="532">
        <v>19926</v>
      </c>
      <c r="AK121" s="532">
        <v>19985</v>
      </c>
      <c r="AL121" s="532">
        <v>19970</v>
      </c>
      <c r="AM121" s="533">
        <v>21126</v>
      </c>
      <c r="AN121" s="539">
        <f>'2011 Population'!M121</f>
        <v>21053</v>
      </c>
    </row>
    <row r="122" spans="1:40">
      <c r="A122" s="529" t="s">
        <v>223</v>
      </c>
      <c r="B122" s="530" t="s">
        <v>224</v>
      </c>
      <c r="C122" s="531">
        <v>2997</v>
      </c>
      <c r="D122" s="532">
        <v>2660</v>
      </c>
      <c r="E122" s="532">
        <v>3031</v>
      </c>
      <c r="F122" s="532">
        <v>3412</v>
      </c>
      <c r="G122" s="532">
        <v>3136</v>
      </c>
      <c r="H122" s="532">
        <v>3335</v>
      </c>
      <c r="I122" s="532">
        <v>3012</v>
      </c>
      <c r="J122" s="532">
        <v>3249</v>
      </c>
      <c r="K122" s="532">
        <v>3100</v>
      </c>
      <c r="L122" s="532">
        <v>3779</v>
      </c>
      <c r="M122" s="533">
        <v>3764</v>
      </c>
      <c r="N122" s="534">
        <v>3897</v>
      </c>
      <c r="P122" s="535">
        <v>0.16500000000000001</v>
      </c>
      <c r="Q122" s="536">
        <v>0.14200000000000002</v>
      </c>
      <c r="R122" s="536">
        <v>0.15400000000000003</v>
      </c>
      <c r="S122" s="536">
        <v>0.16800000000000001</v>
      </c>
      <c r="T122" s="536">
        <v>0.151</v>
      </c>
      <c r="U122" s="536">
        <v>0.16300000000000001</v>
      </c>
      <c r="V122" s="536">
        <v>0.14599999999999999</v>
      </c>
      <c r="W122" s="536">
        <v>0.151</v>
      </c>
      <c r="X122" s="536">
        <v>0.14499999999999999</v>
      </c>
      <c r="Y122" s="536">
        <v>0.17799999999999999</v>
      </c>
      <c r="Z122" s="537">
        <v>0.17200000000000001</v>
      </c>
      <c r="AA122" s="538">
        <v>0.18100000000000002</v>
      </c>
      <c r="AC122" s="531">
        <v>17857</v>
      </c>
      <c r="AD122" s="532">
        <v>18564</v>
      </c>
      <c r="AE122" s="532">
        <v>19260</v>
      </c>
      <c r="AF122" s="532">
        <v>20247</v>
      </c>
      <c r="AG122" s="532">
        <v>20945</v>
      </c>
      <c r="AH122" s="532">
        <v>21443</v>
      </c>
      <c r="AI122" s="532">
        <v>21829</v>
      </c>
      <c r="AJ122" s="532">
        <v>21779</v>
      </c>
      <c r="AK122" s="532">
        <v>21640</v>
      </c>
      <c r="AL122" s="532">
        <v>21634</v>
      </c>
      <c r="AM122" s="533">
        <v>22137</v>
      </c>
      <c r="AN122" s="539">
        <f>'2011 Population'!M122</f>
        <v>21786</v>
      </c>
    </row>
    <row r="123" spans="1:40">
      <c r="A123" s="529" t="s">
        <v>231</v>
      </c>
      <c r="B123" s="530" t="s">
        <v>232</v>
      </c>
      <c r="C123" s="531">
        <v>11838</v>
      </c>
      <c r="D123" s="532">
        <v>10658</v>
      </c>
      <c r="E123" s="532">
        <v>11881</v>
      </c>
      <c r="F123" s="532">
        <v>12534</v>
      </c>
      <c r="G123" s="532">
        <v>11858</v>
      </c>
      <c r="H123" s="532">
        <v>12423</v>
      </c>
      <c r="I123" s="532">
        <v>10822</v>
      </c>
      <c r="J123" s="532">
        <v>10830</v>
      </c>
      <c r="K123" s="532">
        <v>11069</v>
      </c>
      <c r="L123" s="532">
        <v>10958</v>
      </c>
      <c r="M123" s="533">
        <v>11472</v>
      </c>
      <c r="N123" s="534">
        <v>13019</v>
      </c>
      <c r="P123" s="535">
        <v>0.10099999999999999</v>
      </c>
      <c r="Q123" s="536">
        <v>9.0999999999999998E-2</v>
      </c>
      <c r="R123" s="536">
        <v>0.1</v>
      </c>
      <c r="S123" s="536">
        <v>0.106</v>
      </c>
      <c r="T123" s="536">
        <v>0.10099999999999999</v>
      </c>
      <c r="U123" s="536">
        <v>0.10800000000000001</v>
      </c>
      <c r="V123" s="536">
        <v>9.6000000000000002E-2</v>
      </c>
      <c r="W123" s="536">
        <v>9.9000000000000005E-2</v>
      </c>
      <c r="X123" s="536">
        <v>0.10300000000000001</v>
      </c>
      <c r="Y123" s="536">
        <v>0.10400000000000001</v>
      </c>
      <c r="Z123" s="537">
        <v>0.11</v>
      </c>
      <c r="AA123" s="538">
        <v>0.126</v>
      </c>
      <c r="AC123" s="531">
        <v>116987</v>
      </c>
      <c r="AD123" s="532">
        <v>115938</v>
      </c>
      <c r="AE123" s="532">
        <v>115791</v>
      </c>
      <c r="AF123" s="532">
        <v>116808</v>
      </c>
      <c r="AG123" s="532">
        <v>116324</v>
      </c>
      <c r="AH123" s="532">
        <v>114310</v>
      </c>
      <c r="AI123" s="532">
        <v>112167</v>
      </c>
      <c r="AJ123" s="532">
        <v>109531</v>
      </c>
      <c r="AK123" s="532">
        <v>107703</v>
      </c>
      <c r="AL123" s="532">
        <v>106502</v>
      </c>
      <c r="AM123" s="533">
        <v>105249</v>
      </c>
      <c r="AN123" s="539">
        <f>'2011 Population'!M123</f>
        <v>104515</v>
      </c>
    </row>
    <row r="124" spans="1:40">
      <c r="A124" s="529" t="s">
        <v>239</v>
      </c>
      <c r="B124" s="530" t="s">
        <v>240</v>
      </c>
      <c r="C124" s="531">
        <v>229</v>
      </c>
      <c r="D124" s="532">
        <v>210</v>
      </c>
      <c r="E124" s="532">
        <v>208</v>
      </c>
      <c r="F124" s="532">
        <v>229</v>
      </c>
      <c r="G124" s="532">
        <v>241</v>
      </c>
      <c r="H124" s="532">
        <v>322</v>
      </c>
      <c r="I124" s="532">
        <v>263</v>
      </c>
      <c r="J124" s="532">
        <v>324</v>
      </c>
      <c r="K124" s="532">
        <v>372</v>
      </c>
      <c r="L124" s="532">
        <v>400</v>
      </c>
      <c r="M124" s="533">
        <v>319</v>
      </c>
      <c r="N124" s="534">
        <v>350</v>
      </c>
      <c r="P124" s="535">
        <v>0.21199999999999999</v>
      </c>
      <c r="Q124" s="536">
        <v>0.20199999999999999</v>
      </c>
      <c r="R124" s="536">
        <v>0.19699999999999998</v>
      </c>
      <c r="S124" s="536">
        <v>0.19800000000000001</v>
      </c>
      <c r="T124" s="536">
        <v>0.182</v>
      </c>
      <c r="U124" s="536">
        <v>0.24500000000000002</v>
      </c>
      <c r="V124" s="536">
        <v>0.19500000000000001</v>
      </c>
      <c r="W124" s="536">
        <v>0.20499999999999999</v>
      </c>
      <c r="X124" s="536">
        <v>0.222</v>
      </c>
      <c r="Y124" s="536">
        <v>0.224</v>
      </c>
      <c r="Z124" s="537">
        <v>0.22700000000000001</v>
      </c>
      <c r="AA124" s="538">
        <v>0.23399999999999999</v>
      </c>
      <c r="AC124" s="531">
        <v>1132</v>
      </c>
      <c r="AD124" s="532">
        <v>1081</v>
      </c>
      <c r="AE124" s="532">
        <v>1060</v>
      </c>
      <c r="AF124" s="532">
        <v>1097</v>
      </c>
      <c r="AG124" s="532">
        <v>1192</v>
      </c>
      <c r="AH124" s="532">
        <v>1365</v>
      </c>
      <c r="AI124" s="532">
        <v>1497</v>
      </c>
      <c r="AJ124" s="532">
        <v>1641</v>
      </c>
      <c r="AK124" s="532">
        <v>1696</v>
      </c>
      <c r="AL124" s="532">
        <v>1827</v>
      </c>
      <c r="AM124" s="533">
        <v>1404</v>
      </c>
      <c r="AN124" s="539">
        <f>'2011 Population'!M124</f>
        <v>1518</v>
      </c>
    </row>
    <row r="125" spans="1:40">
      <c r="A125" s="529" t="s">
        <v>241</v>
      </c>
      <c r="B125" s="530" t="s">
        <v>242</v>
      </c>
      <c r="C125" s="531">
        <v>850</v>
      </c>
      <c r="D125" s="532">
        <v>806</v>
      </c>
      <c r="E125" s="532">
        <v>887</v>
      </c>
      <c r="F125" s="532">
        <v>948</v>
      </c>
      <c r="G125" s="532">
        <v>847</v>
      </c>
      <c r="H125" s="532">
        <v>963</v>
      </c>
      <c r="I125" s="532">
        <v>921</v>
      </c>
      <c r="J125" s="532">
        <v>938</v>
      </c>
      <c r="K125" s="532">
        <v>1032</v>
      </c>
      <c r="L125" s="532">
        <v>1262</v>
      </c>
      <c r="M125" s="533">
        <v>1403</v>
      </c>
      <c r="N125" s="534">
        <v>1384</v>
      </c>
      <c r="P125" s="535">
        <v>0.16600000000000001</v>
      </c>
      <c r="Q125" s="536">
        <v>0.15400000000000003</v>
      </c>
      <c r="R125" s="536">
        <v>0.16399999999999998</v>
      </c>
      <c r="S125" s="536">
        <v>0.17300000000000001</v>
      </c>
      <c r="T125" s="536">
        <v>0.15</v>
      </c>
      <c r="U125" s="536">
        <v>0.17300000000000001</v>
      </c>
      <c r="V125" s="536">
        <v>0.16800000000000001</v>
      </c>
      <c r="W125" s="536">
        <v>0.16600000000000001</v>
      </c>
      <c r="X125" s="536">
        <v>0.18100000000000002</v>
      </c>
      <c r="Y125" s="536">
        <v>0.222</v>
      </c>
      <c r="Z125" s="537">
        <v>0.247</v>
      </c>
      <c r="AA125" s="538">
        <v>0.23600000000000002</v>
      </c>
      <c r="AC125" s="531">
        <v>5125</v>
      </c>
      <c r="AD125" s="532">
        <v>5255</v>
      </c>
      <c r="AE125" s="532">
        <v>5358</v>
      </c>
      <c r="AF125" s="532">
        <v>5339</v>
      </c>
      <c r="AG125" s="532">
        <v>5501</v>
      </c>
      <c r="AH125" s="532">
        <v>5670</v>
      </c>
      <c r="AI125" s="532">
        <v>5752</v>
      </c>
      <c r="AJ125" s="532">
        <v>5711</v>
      </c>
      <c r="AK125" s="532">
        <v>5883</v>
      </c>
      <c r="AL125" s="532">
        <v>5871</v>
      </c>
      <c r="AM125" s="533">
        <v>5821</v>
      </c>
      <c r="AN125" s="539">
        <f>'2011 Population'!M125</f>
        <v>6017</v>
      </c>
    </row>
    <row r="126" spans="1:40">
      <c r="A126" s="540"/>
      <c r="B126" s="540"/>
      <c r="C126" s="531"/>
      <c r="D126" s="532"/>
      <c r="E126" s="532"/>
      <c r="F126" s="532"/>
      <c r="G126" s="532"/>
      <c r="H126" s="532"/>
      <c r="I126" s="532"/>
      <c r="J126" s="532"/>
      <c r="K126" s="532"/>
      <c r="L126" s="532"/>
      <c r="M126" s="533"/>
      <c r="N126" s="534"/>
      <c r="P126" s="535"/>
      <c r="Q126" s="536"/>
      <c r="R126" s="536"/>
      <c r="S126" s="536"/>
      <c r="T126" s="536"/>
      <c r="U126" s="536"/>
      <c r="V126" s="536"/>
      <c r="W126" s="536"/>
      <c r="X126" s="536"/>
      <c r="Y126" s="536"/>
      <c r="Z126" s="537"/>
      <c r="AA126" s="538"/>
      <c r="AC126" s="531"/>
      <c r="AD126" s="532"/>
      <c r="AE126" s="532"/>
      <c r="AF126" s="532"/>
      <c r="AG126" s="532"/>
      <c r="AH126" s="532"/>
      <c r="AI126" s="532"/>
      <c r="AJ126" s="532"/>
      <c r="AK126" s="532"/>
      <c r="AL126" s="532"/>
      <c r="AM126" s="533"/>
      <c r="AN126" s="337"/>
    </row>
    <row r="127" spans="1:40">
      <c r="A127" s="541" t="s">
        <v>970</v>
      </c>
      <c r="B127" s="540"/>
      <c r="C127" s="531"/>
      <c r="D127" s="532"/>
      <c r="E127" s="532"/>
      <c r="F127" s="532"/>
      <c r="G127" s="532"/>
      <c r="H127" s="532"/>
      <c r="I127" s="532"/>
      <c r="J127" s="532"/>
      <c r="K127" s="532"/>
      <c r="L127" s="532"/>
      <c r="M127" s="533"/>
      <c r="N127" s="534"/>
      <c r="P127" s="535"/>
      <c r="Q127" s="536"/>
      <c r="R127" s="536"/>
      <c r="S127" s="536"/>
      <c r="T127" s="536"/>
      <c r="U127" s="536"/>
      <c r="V127" s="536"/>
      <c r="W127" s="536"/>
      <c r="X127" s="536"/>
      <c r="Y127" s="536"/>
      <c r="Z127" s="537"/>
      <c r="AA127" s="538"/>
      <c r="AC127" s="531"/>
      <c r="AD127" s="532"/>
      <c r="AE127" s="532"/>
      <c r="AF127" s="532"/>
      <c r="AG127" s="532"/>
      <c r="AH127" s="532"/>
      <c r="AI127" s="532"/>
      <c r="AJ127" s="532"/>
      <c r="AK127" s="532"/>
      <c r="AL127" s="532"/>
      <c r="AM127" s="533"/>
      <c r="AN127" s="337"/>
    </row>
    <row r="128" spans="1:40">
      <c r="A128" s="954" t="s">
        <v>273</v>
      </c>
      <c r="B128" s="955"/>
      <c r="C128" s="545">
        <f>C9+C20+C22+C24+C26+C30+C33+C37+C42+C47+C48+C53+C55+C56+C60+C64+C67+C69+C70+C75+C76+C81+C97+C110+C117+C120</f>
        <v>36457</v>
      </c>
      <c r="D128" s="546">
        <f t="shared" ref="D128:L128" si="0">D9+D20+D22+D24+D26+D30+D33+D37+D42+D47+D48+D53+D55+D56+D60+D64+D67+D69+D70+D75+D76+D81+D97+D110+D117+D120</f>
        <v>33372</v>
      </c>
      <c r="E128" s="546">
        <f t="shared" si="0"/>
        <v>39132</v>
      </c>
      <c r="F128" s="546">
        <f t="shared" si="0"/>
        <v>42635</v>
      </c>
      <c r="G128" s="546">
        <f t="shared" si="0"/>
        <v>39171</v>
      </c>
      <c r="H128" s="546">
        <f t="shared" si="0"/>
        <v>42547</v>
      </c>
      <c r="I128" s="546">
        <f t="shared" si="0"/>
        <v>39789</v>
      </c>
      <c r="J128" s="546">
        <f t="shared" si="0"/>
        <v>43372</v>
      </c>
      <c r="K128" s="546">
        <f t="shared" si="0"/>
        <v>46022</v>
      </c>
      <c r="L128" s="546">
        <f t="shared" si="0"/>
        <v>47153</v>
      </c>
      <c r="M128" s="547">
        <f>M9+M20+M22+M24+M26+M30+M33+M37+M42+M47+M48+M53+M55+M56+M60+M64+M67+M69+M70+M75+M76+M81+M97+M110+M117+M120</f>
        <v>48304</v>
      </c>
      <c r="N128" s="534">
        <v>52189</v>
      </c>
      <c r="O128" s="64"/>
      <c r="P128" s="548">
        <v>0.12902241366612227</v>
      </c>
      <c r="Q128" s="549">
        <v>0.11790164799472912</v>
      </c>
      <c r="R128" s="549">
        <v>0.13542762177509418</v>
      </c>
      <c r="S128" s="549">
        <v>0.14729820539995264</v>
      </c>
      <c r="T128" s="549">
        <v>0.13392953572389535</v>
      </c>
      <c r="U128" s="549">
        <v>0.14725871967179197</v>
      </c>
      <c r="V128" s="549">
        <v>0.13854845122848453</v>
      </c>
      <c r="W128" s="549">
        <v>0.14730599929956345</v>
      </c>
      <c r="X128" s="549">
        <v>0.15672235320983538</v>
      </c>
      <c r="Y128" s="549">
        <v>0.15975493770522162</v>
      </c>
      <c r="Z128" s="550">
        <v>0.16250899768958355</v>
      </c>
      <c r="AA128" s="551">
        <v>0.17646919591533103</v>
      </c>
      <c r="AC128" s="545">
        <v>285332</v>
      </c>
      <c r="AD128" s="546">
        <v>286334</v>
      </c>
      <c r="AE128" s="546">
        <v>288905</v>
      </c>
      <c r="AF128" s="546">
        <v>290001</v>
      </c>
      <c r="AG128" s="546">
        <v>293074</v>
      </c>
      <c r="AH128" s="546">
        <v>295699</v>
      </c>
      <c r="AI128" s="546">
        <v>298903</v>
      </c>
      <c r="AJ128" s="546">
        <v>300971</v>
      </c>
      <c r="AK128" s="546">
        <v>301108</v>
      </c>
      <c r="AL128" s="546">
        <v>300939</v>
      </c>
      <c r="AM128" s="547">
        <v>301948</v>
      </c>
      <c r="AN128" s="552">
        <f>'2011 Population'!M128</f>
        <v>300405</v>
      </c>
    </row>
    <row r="129" spans="1:40">
      <c r="A129" s="511" t="s">
        <v>271</v>
      </c>
      <c r="C129" s="531">
        <f>C6+C18+C32+C41+C45+C51+C52+C62+C68+C77+C89+C92+C93+C100+C104+C106+C109+C114+C115+C118+C122+C123+C124</f>
        <v>69450</v>
      </c>
      <c r="D129" s="532">
        <f t="shared" ref="D129:L129" si="1">D6+D18+D32+D41+D45+D51+D52+D62+D68+D77+D89+D92+D93+D100+D104+D106+D109+D114+D115+D118+D122+D123+D124</f>
        <v>63514</v>
      </c>
      <c r="E129" s="532">
        <f t="shared" si="1"/>
        <v>71700</v>
      </c>
      <c r="F129" s="532">
        <f t="shared" si="1"/>
        <v>75816</v>
      </c>
      <c r="G129" s="532">
        <f t="shared" si="1"/>
        <v>68689</v>
      </c>
      <c r="H129" s="532">
        <f t="shared" si="1"/>
        <v>74957</v>
      </c>
      <c r="I129" s="532">
        <f t="shared" si="1"/>
        <v>66664</v>
      </c>
      <c r="J129" s="532">
        <f t="shared" si="1"/>
        <v>70198</v>
      </c>
      <c r="K129" s="532">
        <f t="shared" si="1"/>
        <v>73388</v>
      </c>
      <c r="L129" s="532">
        <f t="shared" si="1"/>
        <v>71473</v>
      </c>
      <c r="M129" s="533">
        <f>M6+M18+M32+M41+M45+M51+M52+M62+M68+M77+M89+M92+M93+M100+M104+M106+M109+M114+M115+M118+M122+M123+M124</f>
        <v>71308</v>
      </c>
      <c r="N129" s="534">
        <v>77113</v>
      </c>
      <c r="O129" s="64"/>
      <c r="P129" s="535">
        <v>0.15395105596062122</v>
      </c>
      <c r="Q129" s="536">
        <v>0.14042696575020872</v>
      </c>
      <c r="R129" s="536">
        <v>0.15501777498914354</v>
      </c>
      <c r="S129" s="536">
        <v>0.16493672452764843</v>
      </c>
      <c r="T129" s="536">
        <v>0.14923216004308346</v>
      </c>
      <c r="U129" s="536">
        <v>0.16535776702421406</v>
      </c>
      <c r="V129" s="536">
        <v>0.1495177521052023</v>
      </c>
      <c r="W129" s="536">
        <v>0.15800268872236453</v>
      </c>
      <c r="X129" s="536">
        <v>0.16764883599895478</v>
      </c>
      <c r="Y129" s="536">
        <v>0.16546247243110182</v>
      </c>
      <c r="Z129" s="537">
        <v>0.16919638118542965</v>
      </c>
      <c r="AA129" s="538">
        <v>0.18442791543097675</v>
      </c>
      <c r="AC129" s="531">
        <v>453790</v>
      </c>
      <c r="AD129" s="532">
        <v>452593</v>
      </c>
      <c r="AE129" s="532">
        <v>454609</v>
      </c>
      <c r="AF129" s="532">
        <v>459332</v>
      </c>
      <c r="AG129" s="532">
        <v>460311</v>
      </c>
      <c r="AH129" s="532">
        <v>458375</v>
      </c>
      <c r="AI129" s="532">
        <v>455310</v>
      </c>
      <c r="AJ129" s="532">
        <v>449642</v>
      </c>
      <c r="AK129" s="532">
        <v>443436</v>
      </c>
      <c r="AL129" s="532">
        <v>439510</v>
      </c>
      <c r="AM129" s="533">
        <v>427382</v>
      </c>
      <c r="AN129" s="539">
        <f>'2011 Population'!M129</f>
        <v>423405</v>
      </c>
    </row>
    <row r="130" spans="1:40">
      <c r="A130" s="511" t="s">
        <v>274</v>
      </c>
      <c r="C130" s="531">
        <f>C12+C27+C29+C34+C35+C39+C44+C54+C58+C59+C61+C71+C72+C78+C80+C84+C87+C90+C91+C95+C101+C107+C112+C113+C125</f>
        <v>47040</v>
      </c>
      <c r="D130" s="532">
        <f t="shared" ref="D130:L130" si="2">D12+D27+D29+D34+D35+D39+D44+D54+D58+D59+D61+D71+D72+D78+D80+D84+D87+D90+D91+D95+D101+D107+D112+D113+D125</f>
        <v>43966</v>
      </c>
      <c r="E130" s="532">
        <f t="shared" si="2"/>
        <v>50455</v>
      </c>
      <c r="F130" s="532">
        <f t="shared" si="2"/>
        <v>56849</v>
      </c>
      <c r="G130" s="532">
        <f t="shared" si="2"/>
        <v>52855</v>
      </c>
      <c r="H130" s="532">
        <f t="shared" si="2"/>
        <v>53180</v>
      </c>
      <c r="I130" s="532">
        <f t="shared" si="2"/>
        <v>49691</v>
      </c>
      <c r="J130" s="532">
        <f t="shared" si="2"/>
        <v>52682</v>
      </c>
      <c r="K130" s="532">
        <f t="shared" si="2"/>
        <v>57771</v>
      </c>
      <c r="L130" s="532">
        <f t="shared" si="2"/>
        <v>64512</v>
      </c>
      <c r="M130" s="533">
        <f>M12+M27+M29+M34+M35+M39+M44+M54+M58+M59+M61+M71+M72+M78+M80+M84+M87+M90+M91+M95+M101+M107+M112+M113+M125</f>
        <v>69253</v>
      </c>
      <c r="N130" s="534">
        <v>77653</v>
      </c>
      <c r="O130" s="64"/>
      <c r="P130" s="535">
        <v>7.229427008031622E-2</v>
      </c>
      <c r="Q130" s="536">
        <v>6.6414265061775515E-2</v>
      </c>
      <c r="R130" s="536">
        <v>7.3938992511423066E-2</v>
      </c>
      <c r="S130" s="536">
        <v>8.177442932261339E-2</v>
      </c>
      <c r="T130" s="536">
        <v>7.4358945134250495E-2</v>
      </c>
      <c r="U130" s="536">
        <v>7.5334011674221046E-2</v>
      </c>
      <c r="V130" s="536">
        <v>7.0720655244210451E-2</v>
      </c>
      <c r="W130" s="536">
        <v>7.3652194922933914E-2</v>
      </c>
      <c r="X130" s="536">
        <v>7.9660030975978874E-2</v>
      </c>
      <c r="Y130" s="536">
        <v>8.6977603003554796E-2</v>
      </c>
      <c r="Z130" s="537">
        <v>9.0973422945788876E-2</v>
      </c>
      <c r="AA130" s="538">
        <v>0.10121861724938444</v>
      </c>
      <c r="AC130" s="531">
        <v>635909</v>
      </c>
      <c r="AD130" s="532">
        <v>652280</v>
      </c>
      <c r="AE130" s="532">
        <v>668390</v>
      </c>
      <c r="AF130" s="532">
        <v>681821</v>
      </c>
      <c r="AG130" s="532">
        <v>696580</v>
      </c>
      <c r="AH130" s="532">
        <v>711373</v>
      </c>
      <c r="AI130" s="532">
        <v>719578</v>
      </c>
      <c r="AJ130" s="532">
        <v>730414</v>
      </c>
      <c r="AK130" s="532">
        <v>740189</v>
      </c>
      <c r="AL130" s="532">
        <v>754103</v>
      </c>
      <c r="AM130" s="533">
        <v>766052</v>
      </c>
      <c r="AN130" s="539">
        <f>'2011 Population'!M130</f>
        <v>777786</v>
      </c>
    </row>
    <row r="131" spans="1:40">
      <c r="A131" s="511" t="s">
        <v>272</v>
      </c>
      <c r="C131" s="531">
        <f>C7+C8+C10+C11+C13+C14+C15+C17+C21+C25+C28+C38+C46+C49+C50+C63+C66+C74+C82+C83+C103+C105+C111+C121</f>
        <v>36510</v>
      </c>
      <c r="D131" s="532">
        <f t="shared" ref="D131:L131" si="3">D7+D8+D10+D11+D13+D14+D15+D17+D21+D25+D28+D38+D46+D49+D50+D63+D66+D74+D82+D83+D103+D105+D111+D121</f>
        <v>34262</v>
      </c>
      <c r="E131" s="532">
        <f t="shared" si="3"/>
        <v>39344</v>
      </c>
      <c r="F131" s="532">
        <f t="shared" si="3"/>
        <v>42781</v>
      </c>
      <c r="G131" s="532">
        <f t="shared" si="3"/>
        <v>38492</v>
      </c>
      <c r="H131" s="532">
        <f t="shared" si="3"/>
        <v>41515</v>
      </c>
      <c r="I131" s="532">
        <f t="shared" si="3"/>
        <v>39447</v>
      </c>
      <c r="J131" s="532">
        <f t="shared" si="3"/>
        <v>42272</v>
      </c>
      <c r="K131" s="532">
        <f t="shared" si="3"/>
        <v>41499</v>
      </c>
      <c r="L131" s="532">
        <f t="shared" si="3"/>
        <v>45820</v>
      </c>
      <c r="M131" s="533">
        <f>M7+M8+M10+M11+M13+M14+M15+M17+M21+M25+M28+M38+M46+M49+M50+M63+M66+M74+M82+M83+M103+M105+M111+M121</f>
        <v>50023</v>
      </c>
      <c r="N131" s="534">
        <v>49999</v>
      </c>
      <c r="O131" s="64"/>
      <c r="P131" s="535">
        <v>0.15062202479332501</v>
      </c>
      <c r="Q131" s="536">
        <v>0.14246591076262227</v>
      </c>
      <c r="R131" s="536">
        <v>0.16174129105585633</v>
      </c>
      <c r="S131" s="536">
        <v>0.1784401565202175</v>
      </c>
      <c r="T131" s="536">
        <v>0.15974124270065967</v>
      </c>
      <c r="U131" s="536">
        <v>0.17469827411830699</v>
      </c>
      <c r="V131" s="536">
        <v>0.16925454866217274</v>
      </c>
      <c r="W131" s="536">
        <v>0.18064297508433055</v>
      </c>
      <c r="X131" s="536">
        <v>0.17900381297545873</v>
      </c>
      <c r="Y131" s="536">
        <v>0.19513636956870381</v>
      </c>
      <c r="Z131" s="537">
        <v>0.21016266406234899</v>
      </c>
      <c r="AA131" s="538">
        <v>0.21212982605006364</v>
      </c>
      <c r="AC131" s="531">
        <v>246715</v>
      </c>
      <c r="AD131" s="532">
        <v>245602</v>
      </c>
      <c r="AE131" s="532">
        <v>244661</v>
      </c>
      <c r="AF131" s="532">
        <v>242283</v>
      </c>
      <c r="AG131" s="532">
        <v>241602</v>
      </c>
      <c r="AH131" s="532">
        <v>240788</v>
      </c>
      <c r="AI131" s="532">
        <v>240694</v>
      </c>
      <c r="AJ131" s="532">
        <v>240621</v>
      </c>
      <c r="AK131" s="532">
        <v>240013</v>
      </c>
      <c r="AL131" s="532">
        <v>239032</v>
      </c>
      <c r="AM131" s="533">
        <v>242317</v>
      </c>
      <c r="AN131" s="539">
        <f>'2011 Population'!M131</f>
        <v>239001</v>
      </c>
    </row>
    <row r="132" spans="1:40">
      <c r="A132" s="511" t="s">
        <v>275</v>
      </c>
      <c r="C132" s="531">
        <f>C16+C19+C23+C31+C36+C40+C43+C57+C65+C73+C79+C85+C86+C88+C94+C96+C98+C99+C102+C108+C116+C119</f>
        <v>22399</v>
      </c>
      <c r="D132" s="532">
        <f t="shared" ref="D132:L132" si="4">D16+D19+D23+D31+D36+D40+D43+D57+D65+D73+D79+D85+D86+D88+D94+D96+D98+D99+D102+D108+D116+D119</f>
        <v>20317</v>
      </c>
      <c r="E132" s="532">
        <f t="shared" si="4"/>
        <v>23387</v>
      </c>
      <c r="F132" s="532">
        <f t="shared" si="4"/>
        <v>25548</v>
      </c>
      <c r="G132" s="532">
        <f t="shared" si="4"/>
        <v>22472</v>
      </c>
      <c r="H132" s="532">
        <f t="shared" si="4"/>
        <v>25663</v>
      </c>
      <c r="I132" s="532">
        <f t="shared" si="4"/>
        <v>23670</v>
      </c>
      <c r="J132" s="532">
        <f t="shared" si="4"/>
        <v>24049</v>
      </c>
      <c r="K132" s="532">
        <f t="shared" si="4"/>
        <v>25530</v>
      </c>
      <c r="L132" s="532">
        <f t="shared" si="4"/>
        <v>26197</v>
      </c>
      <c r="M132" s="533">
        <f>M16+M19+M23+M31+M36+M40+M43+M57+M65+M73+M79+M85+M86+M88+M94+M96+M98+M99+M102+M108+M116+M119</f>
        <v>27721</v>
      </c>
      <c r="N132" s="534">
        <v>27602</v>
      </c>
      <c r="O132" s="64"/>
      <c r="P132" s="535">
        <v>0.19289036444014732</v>
      </c>
      <c r="Q132" s="536">
        <v>0.17673867323564471</v>
      </c>
      <c r="R132" s="536">
        <v>0.20220254396587597</v>
      </c>
      <c r="S132" s="536">
        <v>0.22285275846513325</v>
      </c>
      <c r="T132" s="536">
        <v>0.1972474155921109</v>
      </c>
      <c r="U132" s="536">
        <v>0.228607380925791</v>
      </c>
      <c r="V132" s="536">
        <v>0.21387527243007645</v>
      </c>
      <c r="W132" s="536">
        <v>0.21730236955005369</v>
      </c>
      <c r="X132" s="536">
        <v>0.23246616470421611</v>
      </c>
      <c r="Y132" s="536">
        <v>0.23424388544811361</v>
      </c>
      <c r="Z132" s="537">
        <v>0.24373818319017954</v>
      </c>
      <c r="AA132" s="538">
        <v>0.24836013208922322</v>
      </c>
      <c r="AC132" s="531">
        <v>119559</v>
      </c>
      <c r="AD132" s="532">
        <v>117799</v>
      </c>
      <c r="AE132" s="532">
        <v>116896</v>
      </c>
      <c r="AF132" s="532">
        <v>115749</v>
      </c>
      <c r="AG132" s="532">
        <v>115424</v>
      </c>
      <c r="AH132" s="532">
        <v>114846</v>
      </c>
      <c r="AI132" s="532">
        <v>114614</v>
      </c>
      <c r="AJ132" s="532">
        <v>114754</v>
      </c>
      <c r="AK132" s="532">
        <v>114175</v>
      </c>
      <c r="AL132" s="532">
        <v>113598</v>
      </c>
      <c r="AM132" s="533">
        <v>115978</v>
      </c>
      <c r="AN132" s="539">
        <f>'2011 Population'!M132</f>
        <v>112949</v>
      </c>
    </row>
    <row r="134" spans="1:40">
      <c r="A134" s="511" t="s">
        <v>1125</v>
      </c>
    </row>
    <row r="136" spans="1:40">
      <c r="A136" s="542" t="s">
        <v>249</v>
      </c>
      <c r="B136" s="542"/>
    </row>
    <row r="137" spans="1:40">
      <c r="A137" s="543" t="s">
        <v>250</v>
      </c>
      <c r="B137" s="544" t="s">
        <v>251</v>
      </c>
    </row>
  </sheetData>
  <autoFilter ref="A4:B4"/>
  <mergeCells count="3">
    <mergeCell ref="C3:M3"/>
    <mergeCell ref="P3:Z3"/>
    <mergeCell ref="AC3:AM3"/>
  </mergeCells>
  <hyperlinks>
    <hyperlink ref="B137" r:id="rId1"/>
  </hyperlinks>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BE139"/>
  <sheetViews>
    <sheetView workbookViewId="0">
      <pane xSplit="2" ySplit="5" topLeftCell="C110" activePane="bottomRight" state="frozen"/>
      <selection pane="topRight" activeCell="C1" sqref="C1"/>
      <selection pane="bottomLeft" activeCell="A5" sqref="A5"/>
      <selection pane="bottomRight" activeCell="A128" sqref="A128:A132"/>
    </sheetView>
  </sheetViews>
  <sheetFormatPr defaultRowHeight="15.75"/>
  <cols>
    <col min="1" max="1" width="9.875" style="542" customWidth="1"/>
    <col min="2" max="2" width="27.25" style="542" customWidth="1"/>
    <col min="3" max="3" width="12.5" style="542" customWidth="1"/>
    <col min="4" max="15" width="7.375" style="542" customWidth="1"/>
    <col min="16" max="16" width="11.375" style="542" customWidth="1"/>
    <col min="17" max="17" width="3.25" style="542" customWidth="1"/>
    <col min="18" max="53" width="15" style="542" customWidth="1"/>
    <col min="54" max="54" width="3" style="542" customWidth="1"/>
    <col min="55" max="57" width="19.5" style="542" customWidth="1"/>
    <col min="58" max="16384" width="9" style="542"/>
  </cols>
  <sheetData>
    <row r="1" spans="1:57">
      <c r="A1" s="190" t="s">
        <v>1058</v>
      </c>
    </row>
    <row r="3" spans="1:57">
      <c r="A3" s="1645" t="s">
        <v>958</v>
      </c>
      <c r="B3" s="1645"/>
      <c r="C3" s="1645"/>
      <c r="D3" s="1646"/>
      <c r="E3" s="1646"/>
      <c r="F3" s="1646"/>
      <c r="G3" s="1646"/>
      <c r="H3" s="1646"/>
      <c r="I3" s="1646"/>
      <c r="J3" s="1646"/>
      <c r="K3" s="1646"/>
      <c r="L3" s="1646"/>
      <c r="M3" s="1646"/>
      <c r="N3" s="1646"/>
      <c r="O3" s="506"/>
      <c r="P3" s="506"/>
      <c r="AD3" s="190"/>
      <c r="AV3" s="190"/>
      <c r="AY3" s="1645"/>
      <c r="AZ3" s="1645"/>
      <c r="BA3" s="1645"/>
    </row>
    <row r="4" spans="1:57" ht="42" customHeight="1">
      <c r="A4" s="553" t="s">
        <v>4</v>
      </c>
      <c r="B4" s="742" t="s">
        <v>5</v>
      </c>
      <c r="C4" s="895" t="s">
        <v>252</v>
      </c>
      <c r="D4" s="554">
        <v>2000</v>
      </c>
      <c r="E4" s="555">
        <v>2001</v>
      </c>
      <c r="F4" s="556">
        <v>2002</v>
      </c>
      <c r="G4" s="556">
        <v>2003</v>
      </c>
      <c r="H4" s="556">
        <v>2004</v>
      </c>
      <c r="I4" s="556">
        <v>2005</v>
      </c>
      <c r="J4" s="556">
        <v>2006</v>
      </c>
      <c r="K4" s="556">
        <v>2007</v>
      </c>
      <c r="L4" s="556">
        <v>2008</v>
      </c>
      <c r="M4" s="556">
        <v>2009</v>
      </c>
      <c r="N4" s="556">
        <v>2010</v>
      </c>
      <c r="O4" s="557" t="s">
        <v>768</v>
      </c>
      <c r="P4" s="558" t="s">
        <v>1054</v>
      </c>
      <c r="Q4" s="192"/>
      <c r="R4" s="554" t="s">
        <v>990</v>
      </c>
      <c r="S4" s="559" t="s">
        <v>988</v>
      </c>
      <c r="T4" s="560" t="s">
        <v>989</v>
      </c>
      <c r="U4" s="554" t="s">
        <v>598</v>
      </c>
      <c r="V4" s="559" t="s">
        <v>599</v>
      </c>
      <c r="W4" s="560" t="s">
        <v>600</v>
      </c>
      <c r="X4" s="561" t="s">
        <v>601</v>
      </c>
      <c r="Y4" s="556" t="s">
        <v>602</v>
      </c>
      <c r="Z4" s="562" t="s">
        <v>603</v>
      </c>
      <c r="AA4" s="561" t="s">
        <v>604</v>
      </c>
      <c r="AB4" s="556" t="s">
        <v>605</v>
      </c>
      <c r="AC4" s="562" t="s">
        <v>606</v>
      </c>
      <c r="AD4" s="561" t="s">
        <v>253</v>
      </c>
      <c r="AE4" s="556" t="s">
        <v>254</v>
      </c>
      <c r="AF4" s="562" t="s">
        <v>255</v>
      </c>
      <c r="AG4" s="561" t="s">
        <v>256</v>
      </c>
      <c r="AH4" s="556" t="s">
        <v>257</v>
      </c>
      <c r="AI4" s="562" t="s">
        <v>258</v>
      </c>
      <c r="AJ4" s="561" t="s">
        <v>259</v>
      </c>
      <c r="AK4" s="556" t="s">
        <v>260</v>
      </c>
      <c r="AL4" s="562" t="s">
        <v>261</v>
      </c>
      <c r="AM4" s="561" t="s">
        <v>262</v>
      </c>
      <c r="AN4" s="556" t="s">
        <v>263</v>
      </c>
      <c r="AO4" s="562" t="s">
        <v>264</v>
      </c>
      <c r="AP4" s="561" t="s">
        <v>265</v>
      </c>
      <c r="AQ4" s="556" t="s">
        <v>266</v>
      </c>
      <c r="AR4" s="562" t="s">
        <v>267</v>
      </c>
      <c r="AS4" s="563" t="s">
        <v>268</v>
      </c>
      <c r="AT4" s="556" t="s">
        <v>269</v>
      </c>
      <c r="AU4" s="562" t="s">
        <v>270</v>
      </c>
      <c r="AV4" s="554" t="s">
        <v>772</v>
      </c>
      <c r="AW4" s="556" t="s">
        <v>773</v>
      </c>
      <c r="AX4" s="562" t="s">
        <v>774</v>
      </c>
      <c r="AY4" s="564" t="s">
        <v>775</v>
      </c>
      <c r="AZ4" s="565" t="s">
        <v>776</v>
      </c>
      <c r="BA4" s="566" t="s">
        <v>777</v>
      </c>
      <c r="BC4" s="554" t="s">
        <v>1055</v>
      </c>
      <c r="BD4" s="559" t="s">
        <v>1056</v>
      </c>
      <c r="BE4" s="560" t="s">
        <v>1057</v>
      </c>
    </row>
    <row r="5" spans="1:57">
      <c r="A5" s="567" t="s">
        <v>8</v>
      </c>
      <c r="B5" s="568" t="s">
        <v>9</v>
      </c>
      <c r="C5" s="569"/>
      <c r="D5" s="570">
        <f>T5</f>
        <v>2.2743347794679576E-2</v>
      </c>
      <c r="E5" s="571">
        <f>+W5</f>
        <v>3.2187783912701044E-2</v>
      </c>
      <c r="F5" s="572">
        <f>+Z5</f>
        <v>4.1810282554885593E-2</v>
      </c>
      <c r="G5" s="572">
        <f>+AC5</f>
        <v>4.0951027325666245E-2</v>
      </c>
      <c r="H5" s="572">
        <f>+AF5</f>
        <v>3.6983564098822252E-2</v>
      </c>
      <c r="I5" s="572">
        <f>+AI5</f>
        <v>3.5006670478368591E-2</v>
      </c>
      <c r="J5" s="572">
        <f>+AL5</f>
        <v>3.0047576742774661E-2</v>
      </c>
      <c r="K5" s="572">
        <f>+AO5</f>
        <v>2.9970898696468237E-2</v>
      </c>
      <c r="L5" s="572">
        <f>+AR5</f>
        <v>3.9293121325249841E-2</v>
      </c>
      <c r="M5" s="572">
        <f>+AU5</f>
        <v>6.6504174435482052E-2</v>
      </c>
      <c r="N5" s="572">
        <f>+AX5</f>
        <v>6.9088302581042094E-2</v>
      </c>
      <c r="O5" s="573">
        <f>+BA5</f>
        <v>6.2429897166254779E-2</v>
      </c>
      <c r="P5" s="574">
        <f>BE5</f>
        <v>5.7201809277476895E-2</v>
      </c>
      <c r="Q5" s="193"/>
      <c r="R5" s="575">
        <v>3584037</v>
      </c>
      <c r="S5" s="576">
        <v>81513</v>
      </c>
      <c r="T5" s="577">
        <f t="shared" ref="T5:T68" si="0">+S5/R5</f>
        <v>2.2743347794679576E-2</v>
      </c>
      <c r="U5" s="578">
        <f>SUM(U6:U125)</f>
        <v>3655393</v>
      </c>
      <c r="V5" s="579">
        <f>SUM(V6:V125)</f>
        <v>117659</v>
      </c>
      <c r="W5" s="580">
        <f t="shared" ref="W5:W68" si="1">+V5/U5</f>
        <v>3.2187783912701044E-2</v>
      </c>
      <c r="X5" s="578">
        <f>SUM(X6:X125)</f>
        <v>3744653</v>
      </c>
      <c r="Y5" s="579">
        <f>SUM(Y6:Y125)</f>
        <v>156565</v>
      </c>
      <c r="Z5" s="581">
        <f>+Y5/X5</f>
        <v>4.1810282554885593E-2</v>
      </c>
      <c r="AA5" s="578">
        <f>SUM(AA6:AA125)</f>
        <v>3802835</v>
      </c>
      <c r="AB5" s="579">
        <f>SUM(AB6:AB125)</f>
        <v>155730</v>
      </c>
      <c r="AC5" s="581">
        <f>+AB5/AA5</f>
        <v>4.0951027325666245E-2</v>
      </c>
      <c r="AD5" s="578">
        <f>SUM(AD6:AD125)</f>
        <v>3857957</v>
      </c>
      <c r="AE5" s="579">
        <f>SUM(AE6:AE125)</f>
        <v>142681</v>
      </c>
      <c r="AF5" s="581">
        <f>+AE5/AD5</f>
        <v>3.6983564098822252E-2</v>
      </c>
      <c r="AG5" s="578">
        <f>SUM(AG6:AG125)</f>
        <v>3935250</v>
      </c>
      <c r="AH5" s="579">
        <f>SUM(AH6:AH125)</f>
        <v>137760</v>
      </c>
      <c r="AI5" s="581">
        <f>+AH5/AG5</f>
        <v>3.5006670478368591E-2</v>
      </c>
      <c r="AJ5" s="578">
        <f>SUM(AJ6:AJ125)</f>
        <v>4010573</v>
      </c>
      <c r="AK5" s="579">
        <f>SUM(AK6:AK125)</f>
        <v>120508</v>
      </c>
      <c r="AL5" s="581">
        <f>+AK5/AJ5</f>
        <v>3.0047576742774661E-2</v>
      </c>
      <c r="AM5" s="578">
        <f>SUM(AM6:AM125)</f>
        <v>4065110</v>
      </c>
      <c r="AN5" s="579">
        <f>SUM(AN6:AN125)</f>
        <v>121835</v>
      </c>
      <c r="AO5" s="581">
        <f>+AN5/AM5</f>
        <v>2.9970898696468237E-2</v>
      </c>
      <c r="AP5" s="578">
        <f>SUM(AP6:AP125)</f>
        <v>4130723</v>
      </c>
      <c r="AQ5" s="579">
        <f>SUM(AQ6:AQ125)</f>
        <v>162309</v>
      </c>
      <c r="AR5" s="581">
        <f>+AQ5/AP5</f>
        <v>3.9293121325249841E-2</v>
      </c>
      <c r="AS5" s="582">
        <f>SUM(AS6:AS125)</f>
        <v>4173738</v>
      </c>
      <c r="AT5" s="579">
        <f>SUM(AT6:AT125)</f>
        <v>277571</v>
      </c>
      <c r="AU5" s="580">
        <f>+AT5/AS5</f>
        <v>6.6504174435482052E-2</v>
      </c>
      <c r="AV5" s="578">
        <f>SUM(AV6:AV125)</f>
        <v>4185325</v>
      </c>
      <c r="AW5" s="579">
        <f>SUM(AW6:AW125)</f>
        <v>289157</v>
      </c>
      <c r="AX5" s="581">
        <f>+AW5/AV5</f>
        <v>6.9088302581042094E-2</v>
      </c>
      <c r="AY5" s="578">
        <f>SUM(AY6:AY125)</f>
        <v>4306174</v>
      </c>
      <c r="AZ5" s="579">
        <f>SUM(AZ6:AZ125)</f>
        <v>268834</v>
      </c>
      <c r="BA5" s="583">
        <f>+AZ5/AY5</f>
        <v>6.2429897166254779E-2</v>
      </c>
      <c r="BC5" s="584">
        <v>4339994.6363636367</v>
      </c>
      <c r="BD5" s="585">
        <v>248255.54545454544</v>
      </c>
      <c r="BE5" s="586">
        <f>BD5/BC5</f>
        <v>5.7201809277476895E-2</v>
      </c>
    </row>
    <row r="6" spans="1:57" ht="15" customHeight="1">
      <c r="A6" s="587" t="s">
        <v>10</v>
      </c>
      <c r="B6" s="588" t="s">
        <v>11</v>
      </c>
      <c r="C6" s="196" t="s">
        <v>271</v>
      </c>
      <c r="D6" s="589">
        <f t="shared" ref="D6:D69" si="2">T6</f>
        <v>2.9532585766625957E-2</v>
      </c>
      <c r="E6" s="590">
        <f>+W6</f>
        <v>3.3548598949211909E-2</v>
      </c>
      <c r="F6" s="591">
        <f>+Z6</f>
        <v>4.1398440362170934E-2</v>
      </c>
      <c r="G6" s="591">
        <f>+AC6</f>
        <v>4.3487190018996764E-2</v>
      </c>
      <c r="H6" s="591">
        <f t="shared" ref="H6:H69" si="3">+AF6</f>
        <v>4.57900986010015E-2</v>
      </c>
      <c r="I6" s="591">
        <f t="shared" ref="I6:I69" si="4">+AI6</f>
        <v>4.6037019458946372E-2</v>
      </c>
      <c r="J6" s="591">
        <f t="shared" ref="J6:J69" si="5">+AL6</f>
        <v>4.1579819357597136E-2</v>
      </c>
      <c r="K6" s="591">
        <f t="shared" ref="K6:K69" si="6">+AO6</f>
        <v>4.0461204844766487E-2</v>
      </c>
      <c r="L6" s="591">
        <f t="shared" ref="L6:L69" si="7">+AR6</f>
        <v>4.9591567852437415E-2</v>
      </c>
      <c r="M6" s="591">
        <f t="shared" ref="M6:M69" si="8">+AU6</f>
        <v>6.6257288817792456E-2</v>
      </c>
      <c r="N6" s="591">
        <f t="shared" ref="N6:N69" si="9">+AX6</f>
        <v>7.2078341701048862E-2</v>
      </c>
      <c r="O6" s="592">
        <f t="shared" ref="O6:O69" si="10">+BA6</f>
        <v>7.1893366918555829E-2</v>
      </c>
      <c r="P6" s="593">
        <f t="shared" ref="P6:P69" si="11">BE6</f>
        <v>6.6802829769016997E-2</v>
      </c>
      <c r="Q6" s="225"/>
      <c r="R6" s="594">
        <v>18014</v>
      </c>
      <c r="S6" s="595">
        <v>532</v>
      </c>
      <c r="T6" s="596">
        <f t="shared" si="0"/>
        <v>2.9532585766625957E-2</v>
      </c>
      <c r="U6" s="597">
        <v>18272</v>
      </c>
      <c r="V6" s="598">
        <v>613</v>
      </c>
      <c r="W6" s="599">
        <f t="shared" si="1"/>
        <v>3.3548598949211909E-2</v>
      </c>
      <c r="X6" s="597">
        <v>19107</v>
      </c>
      <c r="Y6" s="598">
        <v>791</v>
      </c>
      <c r="Z6" s="600">
        <f>+Y6/X6</f>
        <v>4.1398440362170934E-2</v>
      </c>
      <c r="AA6" s="597">
        <v>19477</v>
      </c>
      <c r="AB6" s="598">
        <v>847</v>
      </c>
      <c r="AC6" s="600">
        <f>+AB6/AA6</f>
        <v>4.3487190018996764E-2</v>
      </c>
      <c r="AD6" s="597">
        <v>19371</v>
      </c>
      <c r="AE6" s="598">
        <v>887</v>
      </c>
      <c r="AF6" s="601">
        <f>+AE6/AD6</f>
        <v>4.57900986010015E-2</v>
      </c>
      <c r="AG6" s="597">
        <v>18963</v>
      </c>
      <c r="AH6" s="598">
        <v>873</v>
      </c>
      <c r="AI6" s="601">
        <f>+AH6/AG6</f>
        <v>4.6037019458946372E-2</v>
      </c>
      <c r="AJ6" s="597">
        <v>18711</v>
      </c>
      <c r="AK6" s="598">
        <v>778</v>
      </c>
      <c r="AL6" s="601">
        <f>+AK6/AJ6</f>
        <v>4.1579819357597136E-2</v>
      </c>
      <c r="AM6" s="597">
        <v>18907</v>
      </c>
      <c r="AN6" s="598">
        <v>765</v>
      </c>
      <c r="AO6" s="601">
        <f>+AN6/AM6</f>
        <v>4.0461204844766487E-2</v>
      </c>
      <c r="AP6" s="597">
        <v>18975</v>
      </c>
      <c r="AQ6" s="598">
        <v>941</v>
      </c>
      <c r="AR6" s="601">
        <f>+AQ6/AP6</f>
        <v>4.9591567852437415E-2</v>
      </c>
      <c r="AS6" s="602">
        <v>19379</v>
      </c>
      <c r="AT6" s="598">
        <v>1284</v>
      </c>
      <c r="AU6" s="603">
        <f>+AT6/AS6</f>
        <v>6.6257288817792456E-2</v>
      </c>
      <c r="AV6" s="597">
        <v>20117</v>
      </c>
      <c r="AW6" s="598">
        <v>1450</v>
      </c>
      <c r="AX6" s="601">
        <f>+AW6/AV6</f>
        <v>7.2078341701048862E-2</v>
      </c>
      <c r="AY6" s="604">
        <v>19056</v>
      </c>
      <c r="AZ6" s="605">
        <v>1370</v>
      </c>
      <c r="BA6" s="606">
        <f t="shared" ref="BA6:BA69" si="12">+AZ6/AY6</f>
        <v>7.1893366918555829E-2</v>
      </c>
      <c r="BC6" s="607">
        <v>19005.727272727272</v>
      </c>
      <c r="BD6" s="608">
        <v>1269.6363636363637</v>
      </c>
      <c r="BE6" s="606">
        <f t="shared" ref="BE6:BE69" si="13">BD6/BC6</f>
        <v>6.6802829769016997E-2</v>
      </c>
    </row>
    <row r="7" spans="1:57" ht="15" customHeight="1">
      <c r="A7" s="587" t="s">
        <v>12</v>
      </c>
      <c r="B7" s="609" t="s">
        <v>13</v>
      </c>
      <c r="C7" s="196" t="s">
        <v>272</v>
      </c>
      <c r="D7" s="589">
        <f t="shared" si="2"/>
        <v>1.7134675780528359E-2</v>
      </c>
      <c r="E7" s="590">
        <f>+W7</f>
        <v>2.1573084791998182E-2</v>
      </c>
      <c r="F7" s="591">
        <f t="shared" ref="F7:F70" si="14">+Z7</f>
        <v>3.1228952449373626E-2</v>
      </c>
      <c r="G7" s="591">
        <f t="shared" ref="G7:G70" si="15">+AC7</f>
        <v>3.391626921038686E-2</v>
      </c>
      <c r="H7" s="591">
        <f t="shared" si="3"/>
        <v>3.0472824447222102E-2</v>
      </c>
      <c r="I7" s="591">
        <f t="shared" si="4"/>
        <v>2.79204778014451E-2</v>
      </c>
      <c r="J7" s="591">
        <f t="shared" si="5"/>
        <v>2.3840321585640086E-2</v>
      </c>
      <c r="K7" s="591">
        <f t="shared" si="6"/>
        <v>2.2054556006964595E-2</v>
      </c>
      <c r="L7" s="591">
        <f t="shared" si="7"/>
        <v>2.96482125548777E-2</v>
      </c>
      <c r="M7" s="591">
        <f t="shared" si="8"/>
        <v>5.0672611850060459E-2</v>
      </c>
      <c r="N7" s="591">
        <f t="shared" si="9"/>
        <v>5.4141276078744041E-2</v>
      </c>
      <c r="O7" s="592">
        <f t="shared" si="10"/>
        <v>4.8648357759161931E-2</v>
      </c>
      <c r="P7" s="593">
        <f t="shared" si="11"/>
        <v>4.5663255099346232E-2</v>
      </c>
      <c r="Q7" s="225"/>
      <c r="R7" s="594">
        <v>43304</v>
      </c>
      <c r="S7" s="595">
        <v>742</v>
      </c>
      <c r="T7" s="596">
        <f t="shared" si="0"/>
        <v>1.7134675780528359E-2</v>
      </c>
      <c r="U7" s="597">
        <v>43990</v>
      </c>
      <c r="V7" s="598">
        <v>949</v>
      </c>
      <c r="W7" s="599">
        <f t="shared" si="1"/>
        <v>2.1573084791998182E-2</v>
      </c>
      <c r="X7" s="597">
        <v>44542</v>
      </c>
      <c r="Y7" s="598">
        <v>1391</v>
      </c>
      <c r="Z7" s="600">
        <f t="shared" ref="Z7:Z70" si="16">+Y7/X7</f>
        <v>3.1228952449373626E-2</v>
      </c>
      <c r="AA7" s="597">
        <v>45288</v>
      </c>
      <c r="AB7" s="598">
        <v>1536</v>
      </c>
      <c r="AC7" s="600">
        <f t="shared" ref="AC7:AC70" si="17">+AB7/AA7</f>
        <v>3.391626921038686E-2</v>
      </c>
      <c r="AD7" s="597">
        <v>46402</v>
      </c>
      <c r="AE7" s="598">
        <v>1414</v>
      </c>
      <c r="AF7" s="601">
        <f t="shared" ref="AF7:AF70" si="18">+AE7/AD7</f>
        <v>3.0472824447222102E-2</v>
      </c>
      <c r="AG7" s="597">
        <v>47886</v>
      </c>
      <c r="AH7" s="598">
        <v>1337</v>
      </c>
      <c r="AI7" s="601">
        <f t="shared" ref="AI7:AI70" si="19">+AH7/AG7</f>
        <v>2.79204778014451E-2</v>
      </c>
      <c r="AJ7" s="597">
        <v>50251</v>
      </c>
      <c r="AK7" s="598">
        <v>1198</v>
      </c>
      <c r="AL7" s="601">
        <f t="shared" ref="AL7:AL70" si="20">+AK7/AJ7</f>
        <v>2.3840321585640086E-2</v>
      </c>
      <c r="AM7" s="597">
        <v>51690</v>
      </c>
      <c r="AN7" s="598">
        <v>1140</v>
      </c>
      <c r="AO7" s="601">
        <f t="shared" ref="AO7:AO70" si="21">+AN7/AM7</f>
        <v>2.2054556006964595E-2</v>
      </c>
      <c r="AP7" s="597">
        <v>52617</v>
      </c>
      <c r="AQ7" s="598">
        <v>1560</v>
      </c>
      <c r="AR7" s="601">
        <f t="shared" ref="AR7:AR70" si="22">+AQ7/AP7</f>
        <v>2.96482125548777E-2</v>
      </c>
      <c r="AS7" s="602">
        <v>52928</v>
      </c>
      <c r="AT7" s="598">
        <v>2682</v>
      </c>
      <c r="AU7" s="603">
        <f t="shared" ref="AU7:AU70" si="23">+AT7/AS7</f>
        <v>5.0672611850060459E-2</v>
      </c>
      <c r="AV7" s="597">
        <v>52677</v>
      </c>
      <c r="AW7" s="598">
        <v>2852</v>
      </c>
      <c r="AX7" s="601">
        <f t="shared" ref="AX7:AX70" si="24">+AW7/AV7</f>
        <v>5.4141276078744041E-2</v>
      </c>
      <c r="AY7" s="604">
        <v>55747</v>
      </c>
      <c r="AZ7" s="605">
        <v>2712</v>
      </c>
      <c r="BA7" s="606">
        <f t="shared" si="12"/>
        <v>4.8648357759161931E-2</v>
      </c>
      <c r="BC7" s="607">
        <v>56803.181818181816</v>
      </c>
      <c r="BD7" s="608">
        <v>2593.818181818182</v>
      </c>
      <c r="BE7" s="606">
        <f t="shared" si="13"/>
        <v>4.5663255099346232E-2</v>
      </c>
    </row>
    <row r="8" spans="1:57" ht="15" customHeight="1">
      <c r="A8" s="587" t="s">
        <v>16</v>
      </c>
      <c r="B8" s="609" t="s">
        <v>17</v>
      </c>
      <c r="C8" s="196" t="s">
        <v>272</v>
      </c>
      <c r="D8" s="589">
        <f t="shared" si="2"/>
        <v>1.7673817395411271E-2</v>
      </c>
      <c r="E8" s="590">
        <f t="shared" ref="E8:E71" si="25">+W8</f>
        <v>4.3324326842448524E-2</v>
      </c>
      <c r="F8" s="591">
        <f t="shared" si="14"/>
        <v>5.5366116295764538E-2</v>
      </c>
      <c r="G8" s="591">
        <f t="shared" si="15"/>
        <v>4.8516797712651896E-2</v>
      </c>
      <c r="H8" s="591">
        <f t="shared" si="3"/>
        <v>4.8531655225019073E-2</v>
      </c>
      <c r="I8" s="591">
        <f t="shared" si="4"/>
        <v>4.9038461538461538E-2</v>
      </c>
      <c r="J8" s="591">
        <f t="shared" si="5"/>
        <v>5.3503184713375798E-2</v>
      </c>
      <c r="K8" s="591">
        <f t="shared" si="6"/>
        <v>4.7184326597599753E-2</v>
      </c>
      <c r="L8" s="591">
        <f t="shared" si="7"/>
        <v>5.7807100219918313E-2</v>
      </c>
      <c r="M8" s="591">
        <f t="shared" si="8"/>
        <v>9.6687370600414074E-2</v>
      </c>
      <c r="N8" s="591">
        <f t="shared" si="9"/>
        <v>9.4781467649136975E-2</v>
      </c>
      <c r="O8" s="592">
        <f t="shared" si="10"/>
        <v>8.5754783841247337E-2</v>
      </c>
      <c r="P8" s="593">
        <f t="shared" si="11"/>
        <v>7.8708096505854294E-2</v>
      </c>
      <c r="Q8" s="225"/>
      <c r="R8" s="610">
        <v>80458</v>
      </c>
      <c r="S8" s="611">
        <v>1422</v>
      </c>
      <c r="T8" s="612">
        <f t="shared" si="0"/>
        <v>1.7673817395411271E-2</v>
      </c>
      <c r="U8" s="613">
        <v>10733</v>
      </c>
      <c r="V8" s="614">
        <v>465</v>
      </c>
      <c r="W8" s="599">
        <f t="shared" si="1"/>
        <v>4.3324326842448524E-2</v>
      </c>
      <c r="X8" s="613">
        <v>11144</v>
      </c>
      <c r="Y8" s="614">
        <v>617</v>
      </c>
      <c r="Z8" s="600">
        <f t="shared" si="16"/>
        <v>5.5366116295764538E-2</v>
      </c>
      <c r="AA8" s="613">
        <v>11192</v>
      </c>
      <c r="AB8" s="614">
        <v>543</v>
      </c>
      <c r="AC8" s="600">
        <f t="shared" si="17"/>
        <v>4.8516797712651896E-2</v>
      </c>
      <c r="AD8" s="613">
        <v>10488</v>
      </c>
      <c r="AE8" s="614">
        <v>509</v>
      </c>
      <c r="AF8" s="601">
        <f t="shared" si="18"/>
        <v>4.8531655225019073E-2</v>
      </c>
      <c r="AG8" s="613">
        <v>10400</v>
      </c>
      <c r="AH8" s="614">
        <v>510</v>
      </c>
      <c r="AI8" s="601">
        <f t="shared" si="19"/>
        <v>4.9038461538461538E-2</v>
      </c>
      <c r="AJ8" s="613">
        <v>10205</v>
      </c>
      <c r="AK8" s="614">
        <v>546</v>
      </c>
      <c r="AL8" s="601">
        <f t="shared" si="20"/>
        <v>5.3503184713375798E-2</v>
      </c>
      <c r="AM8" s="613">
        <v>9749</v>
      </c>
      <c r="AN8" s="614">
        <v>460</v>
      </c>
      <c r="AO8" s="601">
        <f t="shared" si="21"/>
        <v>4.7184326597599753E-2</v>
      </c>
      <c r="AP8" s="613">
        <v>9549</v>
      </c>
      <c r="AQ8" s="614">
        <v>552</v>
      </c>
      <c r="AR8" s="601">
        <f t="shared" si="22"/>
        <v>5.7807100219918313E-2</v>
      </c>
      <c r="AS8" s="615">
        <v>9660</v>
      </c>
      <c r="AT8" s="614">
        <v>934</v>
      </c>
      <c r="AU8" s="603">
        <f t="shared" si="23"/>
        <v>9.6687370600414074E-2</v>
      </c>
      <c r="AV8" s="613">
        <v>9907</v>
      </c>
      <c r="AW8" s="614">
        <v>939</v>
      </c>
      <c r="AX8" s="601">
        <f t="shared" si="24"/>
        <v>9.4781467649136975E-2</v>
      </c>
      <c r="AY8" s="604">
        <v>9877</v>
      </c>
      <c r="AZ8" s="605">
        <v>847</v>
      </c>
      <c r="BA8" s="606">
        <f t="shared" si="12"/>
        <v>8.5754783841247337E-2</v>
      </c>
      <c r="BC8" s="607">
        <v>9868.4545454545441</v>
      </c>
      <c r="BD8" s="608">
        <v>776.72727272727275</v>
      </c>
      <c r="BE8" s="606">
        <f t="shared" si="13"/>
        <v>7.8708096505854294E-2</v>
      </c>
    </row>
    <row r="9" spans="1:57" ht="15" customHeight="1">
      <c r="A9" s="587" t="s">
        <v>18</v>
      </c>
      <c r="B9" s="609" t="s">
        <v>19</v>
      </c>
      <c r="C9" s="196" t="s">
        <v>273</v>
      </c>
      <c r="D9" s="589">
        <f t="shared" si="2"/>
        <v>3.2557259133068332E-2</v>
      </c>
      <c r="E9" s="590">
        <f t="shared" si="25"/>
        <v>2.5436662709852467E-2</v>
      </c>
      <c r="F9" s="591">
        <f t="shared" si="14"/>
        <v>3.8499834052439431E-2</v>
      </c>
      <c r="G9" s="591">
        <f t="shared" si="15"/>
        <v>3.9124668435013263E-2</v>
      </c>
      <c r="H9" s="591">
        <f t="shared" si="3"/>
        <v>3.5229476405946994E-2</v>
      </c>
      <c r="I9" s="591">
        <f t="shared" si="4"/>
        <v>3.3861106756544912E-2</v>
      </c>
      <c r="J9" s="591">
        <f t="shared" si="5"/>
        <v>2.9393753827311696E-2</v>
      </c>
      <c r="K9" s="591">
        <f t="shared" si="6"/>
        <v>2.7080181543116491E-2</v>
      </c>
      <c r="L9" s="591">
        <f t="shared" si="7"/>
        <v>4.4694391001923933E-2</v>
      </c>
      <c r="M9" s="591">
        <f t="shared" si="8"/>
        <v>7.6356132075471692E-2</v>
      </c>
      <c r="N9" s="591">
        <f t="shared" si="9"/>
        <v>7.7427039904705175E-2</v>
      </c>
      <c r="O9" s="592">
        <f>+BA9</f>
        <v>6.9135433776317756E-2</v>
      </c>
      <c r="P9" s="593">
        <f t="shared" si="11"/>
        <v>5.6133197417601081E-2</v>
      </c>
      <c r="Q9" s="225"/>
      <c r="R9" s="594">
        <v>10566</v>
      </c>
      <c r="S9" s="595">
        <v>344</v>
      </c>
      <c r="T9" s="596">
        <f t="shared" si="0"/>
        <v>3.2557259133068332E-2</v>
      </c>
      <c r="U9" s="597">
        <v>5897</v>
      </c>
      <c r="V9" s="598">
        <v>150</v>
      </c>
      <c r="W9" s="599">
        <f t="shared" si="1"/>
        <v>2.5436662709852467E-2</v>
      </c>
      <c r="X9" s="597">
        <v>6026</v>
      </c>
      <c r="Y9" s="598">
        <v>232</v>
      </c>
      <c r="Z9" s="600">
        <f t="shared" si="16"/>
        <v>3.8499834052439431E-2</v>
      </c>
      <c r="AA9" s="597">
        <v>6032</v>
      </c>
      <c r="AB9" s="598">
        <v>236</v>
      </c>
      <c r="AC9" s="600">
        <f t="shared" si="17"/>
        <v>3.9124668435013263E-2</v>
      </c>
      <c r="AD9" s="597">
        <v>6188</v>
      </c>
      <c r="AE9" s="598">
        <v>218</v>
      </c>
      <c r="AF9" s="601">
        <f t="shared" si="18"/>
        <v>3.5229476405946994E-2</v>
      </c>
      <c r="AG9" s="597">
        <v>6379</v>
      </c>
      <c r="AH9" s="598">
        <v>216</v>
      </c>
      <c r="AI9" s="601">
        <f t="shared" si="19"/>
        <v>3.3861106756544912E-2</v>
      </c>
      <c r="AJ9" s="597">
        <v>6532</v>
      </c>
      <c r="AK9" s="598">
        <v>192</v>
      </c>
      <c r="AL9" s="601">
        <f t="shared" si="20"/>
        <v>2.9393753827311696E-2</v>
      </c>
      <c r="AM9" s="597">
        <v>6610</v>
      </c>
      <c r="AN9" s="598">
        <v>179</v>
      </c>
      <c r="AO9" s="601">
        <f t="shared" si="21"/>
        <v>2.7080181543116491E-2</v>
      </c>
      <c r="AP9" s="597">
        <v>6757</v>
      </c>
      <c r="AQ9" s="598">
        <v>302</v>
      </c>
      <c r="AR9" s="601">
        <f t="shared" si="22"/>
        <v>4.4694391001923933E-2</v>
      </c>
      <c r="AS9" s="602">
        <v>6784</v>
      </c>
      <c r="AT9" s="598">
        <v>518</v>
      </c>
      <c r="AU9" s="603">
        <f t="shared" si="23"/>
        <v>7.6356132075471692E-2</v>
      </c>
      <c r="AV9" s="597">
        <v>6716</v>
      </c>
      <c r="AW9" s="598">
        <v>520</v>
      </c>
      <c r="AX9" s="601">
        <f t="shared" si="24"/>
        <v>7.7427039904705175E-2</v>
      </c>
      <c r="AY9" s="604">
        <v>6697</v>
      </c>
      <c r="AZ9" s="605">
        <v>463</v>
      </c>
      <c r="BA9" s="606">
        <f t="shared" si="12"/>
        <v>6.9135433776317756E-2</v>
      </c>
      <c r="BC9" s="607">
        <v>6688.636363636364</v>
      </c>
      <c r="BD9" s="608">
        <v>375.45454545454544</v>
      </c>
      <c r="BE9" s="606">
        <f t="shared" si="13"/>
        <v>5.6133197417601081E-2</v>
      </c>
    </row>
    <row r="10" spans="1:57" ht="15" customHeight="1">
      <c r="A10" s="587" t="s">
        <v>20</v>
      </c>
      <c r="B10" s="609" t="s">
        <v>21</v>
      </c>
      <c r="C10" s="196" t="s">
        <v>272</v>
      </c>
      <c r="D10" s="589">
        <f t="shared" si="2"/>
        <v>1.9893671754416052E-2</v>
      </c>
      <c r="E10" s="590">
        <f t="shared" si="25"/>
        <v>3.6382880201098103E-2</v>
      </c>
      <c r="F10" s="591">
        <f t="shared" si="14"/>
        <v>5.460259264108943E-2</v>
      </c>
      <c r="G10" s="591">
        <f t="shared" si="15"/>
        <v>4.9579777184181377E-2</v>
      </c>
      <c r="H10" s="591">
        <f t="shared" si="3"/>
        <v>4.4838646331085946E-2</v>
      </c>
      <c r="I10" s="591">
        <f t="shared" si="4"/>
        <v>4.0535298681148177E-2</v>
      </c>
      <c r="J10" s="591">
        <f t="shared" si="5"/>
        <v>3.1687216508017632E-2</v>
      </c>
      <c r="K10" s="591">
        <f t="shared" si="6"/>
        <v>3.4279866973650548E-2</v>
      </c>
      <c r="L10" s="591">
        <f t="shared" si="7"/>
        <v>4.1089047083801671E-2</v>
      </c>
      <c r="M10" s="591">
        <f t="shared" si="8"/>
        <v>7.646214343673928E-2</v>
      </c>
      <c r="N10" s="591">
        <f t="shared" si="9"/>
        <v>8.4868753154972235E-2</v>
      </c>
      <c r="O10" s="592">
        <f t="shared" si="10"/>
        <v>7.1754352155200096E-2</v>
      </c>
      <c r="P10" s="593">
        <f t="shared" si="11"/>
        <v>6.6500638644091517E-2</v>
      </c>
      <c r="Q10" s="225"/>
      <c r="R10" s="594">
        <v>5831</v>
      </c>
      <c r="S10" s="595">
        <v>116</v>
      </c>
      <c r="T10" s="596">
        <f t="shared" si="0"/>
        <v>1.9893671754416052E-2</v>
      </c>
      <c r="U10" s="597">
        <v>15117</v>
      </c>
      <c r="V10" s="598">
        <v>550</v>
      </c>
      <c r="W10" s="599">
        <f t="shared" si="1"/>
        <v>3.6382880201098103E-2</v>
      </c>
      <c r="X10" s="597">
        <v>15274</v>
      </c>
      <c r="Y10" s="598">
        <v>834</v>
      </c>
      <c r="Z10" s="600">
        <f t="shared" si="16"/>
        <v>5.460259264108943E-2</v>
      </c>
      <c r="AA10" s="597">
        <v>15349</v>
      </c>
      <c r="AB10" s="598">
        <v>761</v>
      </c>
      <c r="AC10" s="600">
        <f t="shared" si="17"/>
        <v>4.9579777184181377E-2</v>
      </c>
      <c r="AD10" s="597">
        <v>15277</v>
      </c>
      <c r="AE10" s="598">
        <v>685</v>
      </c>
      <c r="AF10" s="601">
        <f t="shared" si="18"/>
        <v>4.4838646331085946E-2</v>
      </c>
      <c r="AG10" s="597">
        <v>15468</v>
      </c>
      <c r="AH10" s="598">
        <v>627</v>
      </c>
      <c r="AI10" s="601">
        <f t="shared" si="19"/>
        <v>4.0535298681148177E-2</v>
      </c>
      <c r="AJ10" s="597">
        <v>15653</v>
      </c>
      <c r="AK10" s="598">
        <v>496</v>
      </c>
      <c r="AL10" s="601">
        <f t="shared" si="20"/>
        <v>3.1687216508017632E-2</v>
      </c>
      <c r="AM10" s="597">
        <v>15636</v>
      </c>
      <c r="AN10" s="598">
        <v>536</v>
      </c>
      <c r="AO10" s="601">
        <f t="shared" si="21"/>
        <v>3.4279866973650548E-2</v>
      </c>
      <c r="AP10" s="597">
        <v>16014</v>
      </c>
      <c r="AQ10" s="598">
        <v>658</v>
      </c>
      <c r="AR10" s="601">
        <f t="shared" si="22"/>
        <v>4.1089047083801671E-2</v>
      </c>
      <c r="AS10" s="602">
        <v>16021</v>
      </c>
      <c r="AT10" s="598">
        <v>1225</v>
      </c>
      <c r="AU10" s="603">
        <f t="shared" si="23"/>
        <v>7.646214343673928E-2</v>
      </c>
      <c r="AV10" s="597">
        <v>15848</v>
      </c>
      <c r="AW10" s="598">
        <v>1345</v>
      </c>
      <c r="AX10" s="601">
        <f t="shared" si="24"/>
        <v>8.4868753154972235E-2</v>
      </c>
      <c r="AY10" s="604">
        <v>15567</v>
      </c>
      <c r="AZ10" s="605">
        <v>1117</v>
      </c>
      <c r="BA10" s="606">
        <f t="shared" si="12"/>
        <v>7.1754352155200096E-2</v>
      </c>
      <c r="BC10" s="607">
        <v>15587</v>
      </c>
      <c r="BD10" s="608">
        <v>1036.5454545454545</v>
      </c>
      <c r="BE10" s="606">
        <f t="shared" si="13"/>
        <v>6.6500638644091517E-2</v>
      </c>
    </row>
    <row r="11" spans="1:57" ht="15" customHeight="1">
      <c r="A11" s="587" t="s">
        <v>22</v>
      </c>
      <c r="B11" s="609" t="s">
        <v>23</v>
      </c>
      <c r="C11" s="196" t="s">
        <v>272</v>
      </c>
      <c r="D11" s="589">
        <f t="shared" si="2"/>
        <v>2.114882506527415E-2</v>
      </c>
      <c r="E11" s="590">
        <f t="shared" si="25"/>
        <v>4.311502312397434E-2</v>
      </c>
      <c r="F11" s="591">
        <f t="shared" si="14"/>
        <v>5.6684968096156703E-2</v>
      </c>
      <c r="G11" s="591">
        <f t="shared" si="15"/>
        <v>5.5621127176158157E-2</v>
      </c>
      <c r="H11" s="591">
        <f t="shared" si="3"/>
        <v>4.4738778513612951E-2</v>
      </c>
      <c r="I11" s="591">
        <f t="shared" si="4"/>
        <v>4.6450863695746844E-2</v>
      </c>
      <c r="J11" s="591">
        <f t="shared" si="5"/>
        <v>3.5917901938426457E-2</v>
      </c>
      <c r="K11" s="591">
        <f t="shared" si="6"/>
        <v>3.8325053229240597E-2</v>
      </c>
      <c r="L11" s="591">
        <f t="shared" si="7"/>
        <v>4.4432254525507406E-2</v>
      </c>
      <c r="M11" s="591">
        <f t="shared" si="8"/>
        <v>7.812714540711245E-2</v>
      </c>
      <c r="N11" s="591">
        <f t="shared" si="9"/>
        <v>8.9457748417285987E-2</v>
      </c>
      <c r="O11" s="592">
        <f t="shared" si="10"/>
        <v>7.3837367419091651E-2</v>
      </c>
      <c r="P11" s="593">
        <f t="shared" si="11"/>
        <v>7.0380364469744577E-2</v>
      </c>
      <c r="Q11" s="225"/>
      <c r="R11" s="594">
        <v>15320</v>
      </c>
      <c r="S11" s="595">
        <v>324</v>
      </c>
      <c r="T11" s="596">
        <f t="shared" si="0"/>
        <v>2.114882506527415E-2</v>
      </c>
      <c r="U11" s="597">
        <v>6703</v>
      </c>
      <c r="V11" s="598">
        <v>289</v>
      </c>
      <c r="W11" s="599">
        <f t="shared" si="1"/>
        <v>4.311502312397434E-2</v>
      </c>
      <c r="X11" s="597">
        <v>6739</v>
      </c>
      <c r="Y11" s="598">
        <v>382</v>
      </c>
      <c r="Z11" s="600">
        <f t="shared" si="16"/>
        <v>5.6684968096156703E-2</v>
      </c>
      <c r="AA11" s="597">
        <v>6778</v>
      </c>
      <c r="AB11" s="598">
        <v>377</v>
      </c>
      <c r="AC11" s="600">
        <f t="shared" si="17"/>
        <v>5.5621127176158157E-2</v>
      </c>
      <c r="AD11" s="597">
        <v>6795</v>
      </c>
      <c r="AE11" s="598">
        <v>304</v>
      </c>
      <c r="AF11" s="601">
        <f t="shared" si="18"/>
        <v>4.4738778513612951E-2</v>
      </c>
      <c r="AG11" s="597">
        <v>6889</v>
      </c>
      <c r="AH11" s="598">
        <v>320</v>
      </c>
      <c r="AI11" s="601">
        <f t="shared" si="19"/>
        <v>4.6450863695746844E-2</v>
      </c>
      <c r="AJ11" s="597">
        <v>7016</v>
      </c>
      <c r="AK11" s="598">
        <v>252</v>
      </c>
      <c r="AL11" s="601">
        <f t="shared" si="20"/>
        <v>3.5917901938426457E-2</v>
      </c>
      <c r="AM11" s="597">
        <v>7045</v>
      </c>
      <c r="AN11" s="598">
        <v>270</v>
      </c>
      <c r="AO11" s="601">
        <f t="shared" si="21"/>
        <v>3.8325053229240597E-2</v>
      </c>
      <c r="AP11" s="597">
        <v>7292</v>
      </c>
      <c r="AQ11" s="598">
        <v>324</v>
      </c>
      <c r="AR11" s="601">
        <f t="shared" si="22"/>
        <v>4.4432254525507406E-2</v>
      </c>
      <c r="AS11" s="602">
        <v>7283</v>
      </c>
      <c r="AT11" s="598">
        <v>569</v>
      </c>
      <c r="AU11" s="603">
        <f t="shared" si="23"/>
        <v>7.812714540711245E-2</v>
      </c>
      <c r="AV11" s="597">
        <v>7266</v>
      </c>
      <c r="AW11" s="598">
        <v>650</v>
      </c>
      <c r="AX11" s="601">
        <f t="shared" si="24"/>
        <v>8.9457748417285987E-2</v>
      </c>
      <c r="AY11" s="604">
        <v>7354</v>
      </c>
      <c r="AZ11" s="605">
        <v>543</v>
      </c>
      <c r="BA11" s="606">
        <f t="shared" si="12"/>
        <v>7.3837367419091651E-2</v>
      </c>
      <c r="BC11" s="607">
        <v>7378.090909090909</v>
      </c>
      <c r="BD11" s="608">
        <v>519.27272727272725</v>
      </c>
      <c r="BE11" s="606">
        <f t="shared" si="13"/>
        <v>7.0380364469744577E-2</v>
      </c>
    </row>
    <row r="12" spans="1:57" ht="15" customHeight="1">
      <c r="A12" s="587" t="s">
        <v>24</v>
      </c>
      <c r="B12" s="609" t="s">
        <v>25</v>
      </c>
      <c r="C12" s="196" t="s">
        <v>274</v>
      </c>
      <c r="D12" s="589">
        <f t="shared" si="2"/>
        <v>2.4676676081462762E-2</v>
      </c>
      <c r="E12" s="590">
        <f t="shared" si="25"/>
        <v>2.4040972421112927E-2</v>
      </c>
      <c r="F12" s="591">
        <f t="shared" si="14"/>
        <v>2.9707281405837942E-2</v>
      </c>
      <c r="G12" s="591">
        <f t="shared" si="15"/>
        <v>2.6742175270659006E-2</v>
      </c>
      <c r="H12" s="591">
        <f t="shared" si="3"/>
        <v>2.4003933485406609E-2</v>
      </c>
      <c r="I12" s="591">
        <f t="shared" si="4"/>
        <v>2.2886546628027391E-2</v>
      </c>
      <c r="J12" s="591">
        <f t="shared" si="5"/>
        <v>1.9291878251658932E-2</v>
      </c>
      <c r="K12" s="591">
        <f t="shared" si="6"/>
        <v>1.8955913141405972E-2</v>
      </c>
      <c r="L12" s="591">
        <f t="shared" si="7"/>
        <v>2.4454333855455198E-2</v>
      </c>
      <c r="M12" s="591">
        <f t="shared" si="8"/>
        <v>4.192852452865585E-2</v>
      </c>
      <c r="N12" s="591">
        <f t="shared" si="9"/>
        <v>4.2274384685505928E-2</v>
      </c>
      <c r="O12" s="592">
        <f t="shared" si="10"/>
        <v>3.7943956761196544E-2</v>
      </c>
      <c r="P12" s="593">
        <f t="shared" si="11"/>
        <v>3.4886337912187058E-2</v>
      </c>
      <c r="Q12" s="225"/>
      <c r="R12" s="594">
        <v>6727</v>
      </c>
      <c r="S12" s="595">
        <v>166</v>
      </c>
      <c r="T12" s="596">
        <f t="shared" si="0"/>
        <v>2.4676676081462762E-2</v>
      </c>
      <c r="U12" s="597">
        <v>118714</v>
      </c>
      <c r="V12" s="598">
        <v>2854</v>
      </c>
      <c r="W12" s="599">
        <f t="shared" si="1"/>
        <v>2.4040972421112927E-2</v>
      </c>
      <c r="X12" s="597">
        <v>121721</v>
      </c>
      <c r="Y12" s="598">
        <v>3616</v>
      </c>
      <c r="Z12" s="600">
        <f t="shared" si="16"/>
        <v>2.9707281405837942E-2</v>
      </c>
      <c r="AA12" s="597">
        <v>122017</v>
      </c>
      <c r="AB12" s="598">
        <v>3263</v>
      </c>
      <c r="AC12" s="600">
        <f t="shared" si="17"/>
        <v>2.6742175270659006E-2</v>
      </c>
      <c r="AD12" s="597">
        <v>124063</v>
      </c>
      <c r="AE12" s="598">
        <v>2978</v>
      </c>
      <c r="AF12" s="601">
        <f t="shared" si="18"/>
        <v>2.4003933485406609E-2</v>
      </c>
      <c r="AG12" s="597">
        <v>124571</v>
      </c>
      <c r="AH12" s="598">
        <v>2851</v>
      </c>
      <c r="AI12" s="601">
        <f t="shared" si="19"/>
        <v>2.2886546628027391E-2</v>
      </c>
      <c r="AJ12" s="597">
        <v>128396</v>
      </c>
      <c r="AK12" s="598">
        <v>2477</v>
      </c>
      <c r="AL12" s="601">
        <f t="shared" si="20"/>
        <v>1.9291878251658932E-2</v>
      </c>
      <c r="AM12" s="597">
        <v>132307</v>
      </c>
      <c r="AN12" s="598">
        <v>2508</v>
      </c>
      <c r="AO12" s="601">
        <f t="shared" si="21"/>
        <v>1.8955913141405972E-2</v>
      </c>
      <c r="AP12" s="597">
        <v>136622</v>
      </c>
      <c r="AQ12" s="598">
        <v>3341</v>
      </c>
      <c r="AR12" s="601">
        <f t="shared" si="22"/>
        <v>2.4454333855455198E-2</v>
      </c>
      <c r="AS12" s="602">
        <v>138593</v>
      </c>
      <c r="AT12" s="598">
        <v>5811</v>
      </c>
      <c r="AU12" s="603">
        <f t="shared" si="23"/>
        <v>4.192852452865585E-2</v>
      </c>
      <c r="AV12" s="597">
        <v>140416</v>
      </c>
      <c r="AW12" s="598">
        <v>5936</v>
      </c>
      <c r="AX12" s="601">
        <f t="shared" si="24"/>
        <v>4.2274384685505928E-2</v>
      </c>
      <c r="AY12" s="604">
        <v>136359</v>
      </c>
      <c r="AZ12" s="605">
        <v>5174</v>
      </c>
      <c r="BA12" s="606">
        <f t="shared" si="12"/>
        <v>3.7943956761196544E-2</v>
      </c>
      <c r="BC12" s="607">
        <v>138548.63636363635</v>
      </c>
      <c r="BD12" s="608">
        <v>4833.454545454545</v>
      </c>
      <c r="BE12" s="606">
        <f t="shared" si="13"/>
        <v>3.4886337912187058E-2</v>
      </c>
    </row>
    <row r="13" spans="1:57">
      <c r="A13" s="587" t="s">
        <v>26</v>
      </c>
      <c r="B13" s="616" t="s">
        <v>908</v>
      </c>
      <c r="C13" s="196" t="s">
        <v>272</v>
      </c>
      <c r="D13" s="589">
        <f t="shared" si="2"/>
        <v>1.5587853445514171E-2</v>
      </c>
      <c r="E13" s="590">
        <f t="shared" si="25"/>
        <v>2.9483809830320586E-2</v>
      </c>
      <c r="F13" s="591">
        <f t="shared" si="14"/>
        <v>3.7718668464461452E-2</v>
      </c>
      <c r="G13" s="591">
        <f t="shared" si="15"/>
        <v>3.691635758605151E-2</v>
      </c>
      <c r="H13" s="591">
        <f t="shared" si="3"/>
        <v>3.2337650894351928E-2</v>
      </c>
      <c r="I13" s="591">
        <f t="shared" si="4"/>
        <v>3.1800044910438224E-2</v>
      </c>
      <c r="J13" s="591">
        <f t="shared" si="5"/>
        <v>2.7573340636018212E-2</v>
      </c>
      <c r="K13" s="591">
        <f t="shared" si="6"/>
        <v>2.818160353492765E-2</v>
      </c>
      <c r="L13" s="591">
        <f t="shared" si="7"/>
        <v>3.9600997506234414E-2</v>
      </c>
      <c r="M13" s="591">
        <f t="shared" si="8"/>
        <v>7.0861706181553089E-2</v>
      </c>
      <c r="N13" s="591">
        <f t="shared" si="9"/>
        <v>7.2219397378909908E-2</v>
      </c>
      <c r="O13" s="592">
        <f t="shared" si="10"/>
        <v>6.4627974234257923E-2</v>
      </c>
      <c r="P13" s="593">
        <f t="shared" si="11"/>
        <v>5.8339519273997081E-2</v>
      </c>
      <c r="Q13" s="225"/>
      <c r="R13" s="610">
        <v>118618</v>
      </c>
      <c r="S13" s="611">
        <v>1849</v>
      </c>
      <c r="T13" s="612">
        <f t="shared" si="0"/>
        <v>1.5587853445514171E-2</v>
      </c>
      <c r="U13" s="613">
        <v>55929</v>
      </c>
      <c r="V13" s="614">
        <v>1649</v>
      </c>
      <c r="W13" s="599">
        <f t="shared" si="1"/>
        <v>2.9483809830320586E-2</v>
      </c>
      <c r="X13" s="613">
        <v>57107</v>
      </c>
      <c r="Y13" s="614">
        <v>2154</v>
      </c>
      <c r="Z13" s="600">
        <f t="shared" si="16"/>
        <v>3.7718668464461452E-2</v>
      </c>
      <c r="AA13" s="613">
        <v>57698</v>
      </c>
      <c r="AB13" s="614">
        <v>2130</v>
      </c>
      <c r="AC13" s="600">
        <f t="shared" si="17"/>
        <v>3.691635758605151E-2</v>
      </c>
      <c r="AD13" s="613">
        <v>56745</v>
      </c>
      <c r="AE13" s="614">
        <v>1835</v>
      </c>
      <c r="AF13" s="601">
        <f t="shared" si="18"/>
        <v>3.2337650894351928E-2</v>
      </c>
      <c r="AG13" s="613">
        <v>57893</v>
      </c>
      <c r="AH13" s="614">
        <v>1841</v>
      </c>
      <c r="AI13" s="601">
        <f t="shared" si="19"/>
        <v>3.1800044910438224E-2</v>
      </c>
      <c r="AJ13" s="613">
        <v>58426</v>
      </c>
      <c r="AK13" s="614">
        <v>1611</v>
      </c>
      <c r="AL13" s="601">
        <f t="shared" si="20"/>
        <v>2.7573340636018212E-2</v>
      </c>
      <c r="AM13" s="613">
        <v>59294</v>
      </c>
      <c r="AN13" s="614">
        <v>1671</v>
      </c>
      <c r="AO13" s="601">
        <f t="shared" si="21"/>
        <v>2.818160353492765E-2</v>
      </c>
      <c r="AP13" s="613">
        <v>60150</v>
      </c>
      <c r="AQ13" s="614">
        <v>2382</v>
      </c>
      <c r="AR13" s="601">
        <f t="shared" si="22"/>
        <v>3.9600997506234414E-2</v>
      </c>
      <c r="AS13" s="615">
        <v>60357</v>
      </c>
      <c r="AT13" s="614">
        <v>4277</v>
      </c>
      <c r="AU13" s="603">
        <f t="shared" si="23"/>
        <v>7.0861706181553089E-2</v>
      </c>
      <c r="AV13" s="613">
        <v>60967</v>
      </c>
      <c r="AW13" s="614">
        <v>4403</v>
      </c>
      <c r="AX13" s="601">
        <f t="shared" si="24"/>
        <v>7.2219397378909908E-2</v>
      </c>
      <c r="AY13" s="604">
        <v>60856</v>
      </c>
      <c r="AZ13" s="605">
        <v>3933</v>
      </c>
      <c r="BA13" s="606">
        <f t="shared" si="12"/>
        <v>6.4627974234257923E-2</v>
      </c>
      <c r="BC13" s="607">
        <v>60866.272727272735</v>
      </c>
      <c r="BD13" s="608">
        <v>3550.9090909090905</v>
      </c>
      <c r="BE13" s="606">
        <f t="shared" si="13"/>
        <v>5.8339519273997081E-2</v>
      </c>
    </row>
    <row r="14" spans="1:57" ht="15" customHeight="1">
      <c r="A14" s="587" t="s">
        <v>27</v>
      </c>
      <c r="B14" s="609" t="s">
        <v>28</v>
      </c>
      <c r="C14" s="196" t="s">
        <v>272</v>
      </c>
      <c r="D14" s="589">
        <f t="shared" si="2"/>
        <v>2.0796628948180976E-2</v>
      </c>
      <c r="E14" s="590">
        <f t="shared" si="25"/>
        <v>3.6982248520710061E-2</v>
      </c>
      <c r="F14" s="591">
        <f t="shared" si="14"/>
        <v>4.4018459353922609E-2</v>
      </c>
      <c r="G14" s="591">
        <f t="shared" si="15"/>
        <v>4.5735900962861072E-2</v>
      </c>
      <c r="H14" s="591">
        <f t="shared" si="3"/>
        <v>3.5864978902953586E-2</v>
      </c>
      <c r="I14" s="591">
        <f t="shared" si="4"/>
        <v>3.5182679296346414E-2</v>
      </c>
      <c r="J14" s="591">
        <f t="shared" si="5"/>
        <v>3.1893004115226338E-2</v>
      </c>
      <c r="K14" s="591">
        <f t="shared" si="6"/>
        <v>3.1186440677966103E-2</v>
      </c>
      <c r="L14" s="591">
        <f t="shared" si="7"/>
        <v>4.07725321888412E-2</v>
      </c>
      <c r="M14" s="591">
        <f t="shared" si="8"/>
        <v>6.4054257724189906E-2</v>
      </c>
      <c r="N14" s="591">
        <f t="shared" si="9"/>
        <v>6.2796641109894122E-2</v>
      </c>
      <c r="O14" s="592">
        <f t="shared" si="10"/>
        <v>5.4363376251788269E-2</v>
      </c>
      <c r="P14" s="593">
        <f t="shared" si="11"/>
        <v>5.0899165061014773E-2</v>
      </c>
      <c r="Q14" s="225"/>
      <c r="R14" s="594">
        <v>55057</v>
      </c>
      <c r="S14" s="595">
        <v>1145</v>
      </c>
      <c r="T14" s="596">
        <f t="shared" si="0"/>
        <v>2.0796628948180976E-2</v>
      </c>
      <c r="U14" s="597">
        <v>2704</v>
      </c>
      <c r="V14" s="598">
        <v>100</v>
      </c>
      <c r="W14" s="599">
        <f t="shared" si="1"/>
        <v>3.6982248520710061E-2</v>
      </c>
      <c r="X14" s="597">
        <v>2817</v>
      </c>
      <c r="Y14" s="598">
        <v>124</v>
      </c>
      <c r="Z14" s="600">
        <f t="shared" si="16"/>
        <v>4.4018459353922609E-2</v>
      </c>
      <c r="AA14" s="597">
        <v>2908</v>
      </c>
      <c r="AB14" s="598">
        <v>133</v>
      </c>
      <c r="AC14" s="600">
        <f t="shared" si="17"/>
        <v>4.5735900962861072E-2</v>
      </c>
      <c r="AD14" s="597">
        <v>2844</v>
      </c>
      <c r="AE14" s="598">
        <v>102</v>
      </c>
      <c r="AF14" s="601">
        <f t="shared" si="18"/>
        <v>3.5864978902953586E-2</v>
      </c>
      <c r="AG14" s="597">
        <v>2956</v>
      </c>
      <c r="AH14" s="598">
        <v>104</v>
      </c>
      <c r="AI14" s="601">
        <f t="shared" si="19"/>
        <v>3.5182679296346414E-2</v>
      </c>
      <c r="AJ14" s="597">
        <v>2916</v>
      </c>
      <c r="AK14" s="598">
        <v>93</v>
      </c>
      <c r="AL14" s="601">
        <f t="shared" si="20"/>
        <v>3.1893004115226338E-2</v>
      </c>
      <c r="AM14" s="597">
        <v>2950</v>
      </c>
      <c r="AN14" s="598">
        <v>92</v>
      </c>
      <c r="AO14" s="601">
        <f t="shared" si="21"/>
        <v>3.1186440677966103E-2</v>
      </c>
      <c r="AP14" s="597">
        <v>2796</v>
      </c>
      <c r="AQ14" s="598">
        <v>114</v>
      </c>
      <c r="AR14" s="601">
        <f t="shared" si="22"/>
        <v>4.07725321888412E-2</v>
      </c>
      <c r="AS14" s="602">
        <v>2654</v>
      </c>
      <c r="AT14" s="598">
        <v>170</v>
      </c>
      <c r="AU14" s="603">
        <f t="shared" si="23"/>
        <v>6.4054257724189906E-2</v>
      </c>
      <c r="AV14" s="597">
        <v>2739</v>
      </c>
      <c r="AW14" s="598">
        <v>172</v>
      </c>
      <c r="AX14" s="601">
        <f t="shared" si="24"/>
        <v>6.2796641109894122E-2</v>
      </c>
      <c r="AY14" s="604">
        <v>2796</v>
      </c>
      <c r="AZ14" s="605">
        <v>152</v>
      </c>
      <c r="BA14" s="606">
        <f t="shared" si="12"/>
        <v>5.4363376251788269E-2</v>
      </c>
      <c r="BC14" s="607">
        <v>2830.909090909091</v>
      </c>
      <c r="BD14" s="608">
        <v>144.09090909090909</v>
      </c>
      <c r="BE14" s="606">
        <f t="shared" si="13"/>
        <v>5.0899165061014773E-2</v>
      </c>
    </row>
    <row r="15" spans="1:57" ht="15" customHeight="1">
      <c r="A15" s="587" t="s">
        <v>29</v>
      </c>
      <c r="B15" s="609" t="s">
        <v>299</v>
      </c>
      <c r="C15" s="196" t="s">
        <v>272</v>
      </c>
      <c r="D15" s="589">
        <f t="shared" si="2"/>
        <v>2.6460859977949284E-2</v>
      </c>
      <c r="E15" s="590">
        <f t="shared" si="25"/>
        <v>3.3024944372877389E-2</v>
      </c>
      <c r="F15" s="591">
        <f t="shared" si="14"/>
        <v>4.6328395839899152E-2</v>
      </c>
      <c r="G15" s="591">
        <f t="shared" si="15"/>
        <v>4.1594943138527525E-2</v>
      </c>
      <c r="H15" s="591">
        <f t="shared" si="3"/>
        <v>3.7889340836908675E-2</v>
      </c>
      <c r="I15" s="591">
        <f t="shared" si="4"/>
        <v>3.4373218212918465E-2</v>
      </c>
      <c r="J15" s="591">
        <f t="shared" si="5"/>
        <v>2.9164580973206525E-2</v>
      </c>
      <c r="K15" s="591">
        <f t="shared" si="6"/>
        <v>2.9353692246939581E-2</v>
      </c>
      <c r="L15" s="591">
        <f t="shared" si="7"/>
        <v>3.6492755876940619E-2</v>
      </c>
      <c r="M15" s="591">
        <f t="shared" si="8"/>
        <v>6.7187499999999997E-2</v>
      </c>
      <c r="N15" s="591">
        <f t="shared" si="9"/>
        <v>6.9499289211814877E-2</v>
      </c>
      <c r="O15" s="592">
        <f t="shared" si="10"/>
        <v>6.3209581460601183E-2</v>
      </c>
      <c r="P15" s="593">
        <f t="shared" si="11"/>
        <v>5.8138136438561618E-2</v>
      </c>
      <c r="Q15" s="225"/>
      <c r="R15" s="610">
        <v>2721</v>
      </c>
      <c r="S15" s="611">
        <v>72</v>
      </c>
      <c r="T15" s="612">
        <f t="shared" si="0"/>
        <v>2.6460859977949284E-2</v>
      </c>
      <c r="U15" s="613">
        <v>34156</v>
      </c>
      <c r="V15" s="614">
        <v>1128</v>
      </c>
      <c r="W15" s="599">
        <f t="shared" si="1"/>
        <v>3.3024944372877389E-2</v>
      </c>
      <c r="X15" s="613">
        <v>34903</v>
      </c>
      <c r="Y15" s="614">
        <v>1617</v>
      </c>
      <c r="Z15" s="600">
        <f t="shared" si="16"/>
        <v>4.6328395839899152E-2</v>
      </c>
      <c r="AA15" s="613">
        <v>35437</v>
      </c>
      <c r="AB15" s="614">
        <v>1474</v>
      </c>
      <c r="AC15" s="600">
        <f t="shared" si="17"/>
        <v>4.1594943138527525E-2</v>
      </c>
      <c r="AD15" s="613">
        <v>35894</v>
      </c>
      <c r="AE15" s="614">
        <v>1360</v>
      </c>
      <c r="AF15" s="601">
        <f t="shared" si="18"/>
        <v>3.7889340836908675E-2</v>
      </c>
      <c r="AG15" s="613">
        <v>36831</v>
      </c>
      <c r="AH15" s="614">
        <v>1266</v>
      </c>
      <c r="AI15" s="601">
        <f t="shared" si="19"/>
        <v>3.4373218212918465E-2</v>
      </c>
      <c r="AJ15" s="613">
        <v>37957</v>
      </c>
      <c r="AK15" s="614">
        <v>1107</v>
      </c>
      <c r="AL15" s="601">
        <f t="shared" si="20"/>
        <v>2.9164580973206525E-2</v>
      </c>
      <c r="AM15" s="613">
        <v>37985</v>
      </c>
      <c r="AN15" s="614">
        <v>1115</v>
      </c>
      <c r="AO15" s="601">
        <f t="shared" si="21"/>
        <v>2.9353692246939581E-2</v>
      </c>
      <c r="AP15" s="613">
        <v>38583</v>
      </c>
      <c r="AQ15" s="614">
        <v>1408</v>
      </c>
      <c r="AR15" s="601">
        <f t="shared" si="22"/>
        <v>3.6492755876940619E-2</v>
      </c>
      <c r="AS15" s="615">
        <v>38400</v>
      </c>
      <c r="AT15" s="614">
        <v>2580</v>
      </c>
      <c r="AU15" s="603">
        <f t="shared" si="23"/>
        <v>6.7187499999999997E-2</v>
      </c>
      <c r="AV15" s="613">
        <v>37986</v>
      </c>
      <c r="AW15" s="614">
        <v>2640</v>
      </c>
      <c r="AX15" s="601">
        <f t="shared" si="24"/>
        <v>6.9499289211814877E-2</v>
      </c>
      <c r="AY15" s="604">
        <v>38491</v>
      </c>
      <c r="AZ15" s="605">
        <v>2433</v>
      </c>
      <c r="BA15" s="606">
        <f t="shared" si="12"/>
        <v>6.3209581460601183E-2</v>
      </c>
      <c r="BC15" s="607">
        <v>38550.818181818184</v>
      </c>
      <c r="BD15" s="608">
        <v>2241.2727272727275</v>
      </c>
      <c r="BE15" s="606">
        <f t="shared" si="13"/>
        <v>5.8138136438561618E-2</v>
      </c>
    </row>
    <row r="16" spans="1:57" ht="15" customHeight="1">
      <c r="A16" s="587" t="s">
        <v>31</v>
      </c>
      <c r="B16" s="609" t="s">
        <v>32</v>
      </c>
      <c r="C16" s="196" t="s">
        <v>275</v>
      </c>
      <c r="D16" s="589">
        <f t="shared" si="2"/>
        <v>1.9583985167159163E-2</v>
      </c>
      <c r="E16" s="590">
        <f t="shared" si="25"/>
        <v>5.6653491436100128E-2</v>
      </c>
      <c r="F16" s="591">
        <f t="shared" si="14"/>
        <v>5.2787858792477729E-2</v>
      </c>
      <c r="G16" s="591">
        <f t="shared" si="15"/>
        <v>0.05</v>
      </c>
      <c r="H16" s="591">
        <f t="shared" si="3"/>
        <v>4.5015005001667226E-2</v>
      </c>
      <c r="I16" s="591">
        <f t="shared" si="4"/>
        <v>3.9171252832631918E-2</v>
      </c>
      <c r="J16" s="591">
        <f t="shared" si="5"/>
        <v>3.6945812807881777E-2</v>
      </c>
      <c r="K16" s="591">
        <f t="shared" si="6"/>
        <v>3.7254326782047521E-2</v>
      </c>
      <c r="L16" s="591">
        <f t="shared" si="7"/>
        <v>4.7237331806470086E-2</v>
      </c>
      <c r="M16" s="591">
        <f t="shared" si="8"/>
        <v>7.6340162784170648E-2</v>
      </c>
      <c r="N16" s="591">
        <f t="shared" si="9"/>
        <v>6.7262070890315384E-2</v>
      </c>
      <c r="O16" s="592">
        <f t="shared" si="10"/>
        <v>5.9821685360943344E-2</v>
      </c>
      <c r="P16" s="593">
        <f t="shared" si="11"/>
        <v>5.704430200530286E-2</v>
      </c>
      <c r="Q16" s="225"/>
      <c r="R16" s="594">
        <v>34518</v>
      </c>
      <c r="S16" s="595">
        <v>676</v>
      </c>
      <c r="T16" s="596">
        <f t="shared" si="0"/>
        <v>1.9583985167159163E-2</v>
      </c>
      <c r="U16" s="597">
        <v>3036</v>
      </c>
      <c r="V16" s="598">
        <v>172</v>
      </c>
      <c r="W16" s="599">
        <f t="shared" si="1"/>
        <v>5.6653491436100128E-2</v>
      </c>
      <c r="X16" s="597">
        <v>3031</v>
      </c>
      <c r="Y16" s="598">
        <v>160</v>
      </c>
      <c r="Z16" s="600">
        <f t="shared" si="16"/>
        <v>5.2787858792477729E-2</v>
      </c>
      <c r="AA16" s="597">
        <v>3060</v>
      </c>
      <c r="AB16" s="598">
        <v>153</v>
      </c>
      <c r="AC16" s="600">
        <f t="shared" si="17"/>
        <v>0.05</v>
      </c>
      <c r="AD16" s="597">
        <v>2999</v>
      </c>
      <c r="AE16" s="598">
        <v>135</v>
      </c>
      <c r="AF16" s="601">
        <f t="shared" si="18"/>
        <v>4.5015005001667226E-2</v>
      </c>
      <c r="AG16" s="597">
        <v>3089</v>
      </c>
      <c r="AH16" s="598">
        <v>121</v>
      </c>
      <c r="AI16" s="601">
        <f t="shared" si="19"/>
        <v>3.9171252832631918E-2</v>
      </c>
      <c r="AJ16" s="597">
        <v>3248</v>
      </c>
      <c r="AK16" s="598">
        <v>120</v>
      </c>
      <c r="AL16" s="601">
        <f t="shared" si="20"/>
        <v>3.6945812807881777E-2</v>
      </c>
      <c r="AM16" s="597">
        <v>3409</v>
      </c>
      <c r="AN16" s="598">
        <v>127</v>
      </c>
      <c r="AO16" s="601">
        <f t="shared" si="21"/>
        <v>3.7254326782047521E-2</v>
      </c>
      <c r="AP16" s="597">
        <v>3493</v>
      </c>
      <c r="AQ16" s="598">
        <v>165</v>
      </c>
      <c r="AR16" s="601">
        <f t="shared" si="22"/>
        <v>4.7237331806470086E-2</v>
      </c>
      <c r="AS16" s="602">
        <v>3563</v>
      </c>
      <c r="AT16" s="598">
        <v>272</v>
      </c>
      <c r="AU16" s="603">
        <f t="shared" si="23"/>
        <v>7.6340162784170648E-2</v>
      </c>
      <c r="AV16" s="597">
        <v>3583</v>
      </c>
      <c r="AW16" s="598">
        <v>241</v>
      </c>
      <c r="AX16" s="601">
        <f t="shared" si="24"/>
        <v>6.7262070890315384E-2</v>
      </c>
      <c r="AY16" s="604">
        <v>3477</v>
      </c>
      <c r="AZ16" s="605">
        <v>208</v>
      </c>
      <c r="BA16" s="606">
        <f t="shared" si="12"/>
        <v>5.9821685360943344E-2</v>
      </c>
      <c r="BC16" s="607">
        <v>3531.5454545454545</v>
      </c>
      <c r="BD16" s="608">
        <v>201.45454545454547</v>
      </c>
      <c r="BE16" s="606">
        <f t="shared" si="13"/>
        <v>5.704430200530286E-2</v>
      </c>
    </row>
    <row r="17" spans="1:57" ht="15" customHeight="1">
      <c r="A17" s="587" t="s">
        <v>33</v>
      </c>
      <c r="B17" s="609" t="s">
        <v>34</v>
      </c>
      <c r="C17" s="196" t="s">
        <v>272</v>
      </c>
      <c r="D17" s="589">
        <f t="shared" si="2"/>
        <v>5.1818805765271106E-2</v>
      </c>
      <c r="E17" s="590">
        <f t="shared" si="25"/>
        <v>2.6597665182332409E-2</v>
      </c>
      <c r="F17" s="591">
        <f t="shared" si="14"/>
        <v>3.6391117311940474E-2</v>
      </c>
      <c r="G17" s="591">
        <f t="shared" si="15"/>
        <v>3.5630291627469425E-2</v>
      </c>
      <c r="H17" s="591">
        <f t="shared" si="3"/>
        <v>3.2599066910765959E-2</v>
      </c>
      <c r="I17" s="591">
        <f t="shared" si="4"/>
        <v>2.9735234215885947E-2</v>
      </c>
      <c r="J17" s="591">
        <f t="shared" si="5"/>
        <v>2.5268908997780434E-2</v>
      </c>
      <c r="K17" s="591">
        <f t="shared" si="6"/>
        <v>2.5991792065663474E-2</v>
      </c>
      <c r="L17" s="591">
        <f t="shared" si="7"/>
        <v>3.245618977855412E-2</v>
      </c>
      <c r="M17" s="591">
        <f t="shared" si="8"/>
        <v>6.2820440588202159E-2</v>
      </c>
      <c r="N17" s="591">
        <f t="shared" si="9"/>
        <v>6.3077883033637761E-2</v>
      </c>
      <c r="O17" s="592">
        <f t="shared" si="10"/>
        <v>5.5490621695330325E-2</v>
      </c>
      <c r="P17" s="593">
        <f t="shared" si="11"/>
        <v>5.2855514752437639E-2</v>
      </c>
      <c r="Q17" s="225"/>
      <c r="R17" s="594">
        <v>2914</v>
      </c>
      <c r="S17" s="595">
        <v>151</v>
      </c>
      <c r="T17" s="596">
        <f t="shared" si="0"/>
        <v>5.1818805765271106E-2</v>
      </c>
      <c r="U17" s="597">
        <v>16618</v>
      </c>
      <c r="V17" s="598">
        <v>442</v>
      </c>
      <c r="W17" s="599">
        <f t="shared" si="1"/>
        <v>2.6597665182332409E-2</v>
      </c>
      <c r="X17" s="597">
        <v>17202</v>
      </c>
      <c r="Y17" s="598">
        <v>626</v>
      </c>
      <c r="Z17" s="600">
        <f t="shared" si="16"/>
        <v>3.6391117311940474E-2</v>
      </c>
      <c r="AA17" s="597">
        <v>17008</v>
      </c>
      <c r="AB17" s="598">
        <v>606</v>
      </c>
      <c r="AC17" s="600">
        <f t="shared" si="17"/>
        <v>3.5630291627469425E-2</v>
      </c>
      <c r="AD17" s="597">
        <v>16933</v>
      </c>
      <c r="AE17" s="598">
        <v>552</v>
      </c>
      <c r="AF17" s="601">
        <f t="shared" si="18"/>
        <v>3.2599066910765959E-2</v>
      </c>
      <c r="AG17" s="597">
        <v>17185</v>
      </c>
      <c r="AH17" s="598">
        <v>511</v>
      </c>
      <c r="AI17" s="601">
        <f t="shared" si="19"/>
        <v>2.9735234215885947E-2</v>
      </c>
      <c r="AJ17" s="597">
        <v>17571</v>
      </c>
      <c r="AK17" s="598">
        <v>444</v>
      </c>
      <c r="AL17" s="601">
        <f t="shared" si="20"/>
        <v>2.5268908997780434E-2</v>
      </c>
      <c r="AM17" s="597">
        <v>17544</v>
      </c>
      <c r="AN17" s="598">
        <v>456</v>
      </c>
      <c r="AO17" s="601">
        <f t="shared" si="21"/>
        <v>2.5991792065663474E-2</v>
      </c>
      <c r="AP17" s="597">
        <v>17747</v>
      </c>
      <c r="AQ17" s="598">
        <v>576</v>
      </c>
      <c r="AR17" s="601">
        <f t="shared" si="22"/>
        <v>3.245618977855412E-2</v>
      </c>
      <c r="AS17" s="602">
        <v>17749</v>
      </c>
      <c r="AT17" s="598">
        <v>1115</v>
      </c>
      <c r="AU17" s="603">
        <f t="shared" si="23"/>
        <v>6.2820440588202159E-2</v>
      </c>
      <c r="AV17" s="597">
        <v>17629</v>
      </c>
      <c r="AW17" s="598">
        <v>1112</v>
      </c>
      <c r="AX17" s="601">
        <f t="shared" si="24"/>
        <v>6.3077883033637761E-2</v>
      </c>
      <c r="AY17" s="604">
        <v>17967</v>
      </c>
      <c r="AZ17" s="605">
        <v>997</v>
      </c>
      <c r="BA17" s="606">
        <f t="shared" si="12"/>
        <v>5.5490621695330325E-2</v>
      </c>
      <c r="BC17" s="607">
        <v>17947.727272727272</v>
      </c>
      <c r="BD17" s="608">
        <v>948.63636363636363</v>
      </c>
      <c r="BE17" s="606">
        <f t="shared" si="13"/>
        <v>5.2855514752437639E-2</v>
      </c>
    </row>
    <row r="18" spans="1:57" ht="15" customHeight="1">
      <c r="A18" s="587" t="s">
        <v>37</v>
      </c>
      <c r="B18" s="609" t="s">
        <v>38</v>
      </c>
      <c r="C18" s="196" t="s">
        <v>271</v>
      </c>
      <c r="D18" s="589">
        <f t="shared" si="2"/>
        <v>1.7711005252229142E-2</v>
      </c>
      <c r="E18" s="590">
        <f t="shared" si="25"/>
        <v>5.4026354319180091E-2</v>
      </c>
      <c r="F18" s="591">
        <f t="shared" si="14"/>
        <v>6.3566117509841091E-2</v>
      </c>
      <c r="G18" s="591">
        <f t="shared" si="15"/>
        <v>6.9684420962444663E-2</v>
      </c>
      <c r="H18" s="591">
        <f t="shared" si="3"/>
        <v>6.4218841427735512E-2</v>
      </c>
      <c r="I18" s="591">
        <f t="shared" si="4"/>
        <v>5.0703399765533411E-2</v>
      </c>
      <c r="J18" s="591">
        <f t="shared" si="5"/>
        <v>4.7363068429463896E-2</v>
      </c>
      <c r="K18" s="591">
        <f t="shared" si="6"/>
        <v>4.7398843930635835E-2</v>
      </c>
      <c r="L18" s="591">
        <f t="shared" si="7"/>
        <v>6.5795083132016485E-2</v>
      </c>
      <c r="M18" s="591">
        <f t="shared" si="8"/>
        <v>0.11407056198577604</v>
      </c>
      <c r="N18" s="591">
        <f t="shared" si="9"/>
        <v>0.11707109408258834</v>
      </c>
      <c r="O18" s="592">
        <f t="shared" si="10"/>
        <v>0.10662031001014052</v>
      </c>
      <c r="P18" s="593">
        <f t="shared" si="11"/>
        <v>7.8979649952903547E-2</v>
      </c>
      <c r="Q18" s="225"/>
      <c r="R18" s="594">
        <v>16374</v>
      </c>
      <c r="S18" s="595">
        <v>290</v>
      </c>
      <c r="T18" s="596">
        <f t="shared" si="0"/>
        <v>1.7711005252229142E-2</v>
      </c>
      <c r="U18" s="597">
        <v>6830</v>
      </c>
      <c r="V18" s="598">
        <v>369</v>
      </c>
      <c r="W18" s="599">
        <f t="shared" si="1"/>
        <v>5.4026354319180091E-2</v>
      </c>
      <c r="X18" s="597">
        <v>6859</v>
      </c>
      <c r="Y18" s="598">
        <v>436</v>
      </c>
      <c r="Z18" s="600">
        <f t="shared" si="16"/>
        <v>6.3566117509841091E-2</v>
      </c>
      <c r="AA18" s="597">
        <v>7003</v>
      </c>
      <c r="AB18" s="598">
        <v>488</v>
      </c>
      <c r="AC18" s="600">
        <f t="shared" si="17"/>
        <v>6.9684420962444663E-2</v>
      </c>
      <c r="AD18" s="597">
        <v>6836</v>
      </c>
      <c r="AE18" s="598">
        <v>439</v>
      </c>
      <c r="AF18" s="601">
        <f t="shared" si="18"/>
        <v>6.4218841427735512E-2</v>
      </c>
      <c r="AG18" s="597">
        <v>6824</v>
      </c>
      <c r="AH18" s="598">
        <v>346</v>
      </c>
      <c r="AI18" s="601">
        <f t="shared" si="19"/>
        <v>5.0703399765533411E-2</v>
      </c>
      <c r="AJ18" s="597">
        <v>6883</v>
      </c>
      <c r="AK18" s="598">
        <v>326</v>
      </c>
      <c r="AL18" s="601">
        <f t="shared" si="20"/>
        <v>4.7363068429463896E-2</v>
      </c>
      <c r="AM18" s="597">
        <v>6920</v>
      </c>
      <c r="AN18" s="598">
        <v>328</v>
      </c>
      <c r="AO18" s="601">
        <f t="shared" si="21"/>
        <v>4.7398843930635835E-2</v>
      </c>
      <c r="AP18" s="597">
        <v>7037</v>
      </c>
      <c r="AQ18" s="598">
        <v>463</v>
      </c>
      <c r="AR18" s="601">
        <f t="shared" si="22"/>
        <v>6.5795083132016485E-2</v>
      </c>
      <c r="AS18" s="602">
        <v>7171</v>
      </c>
      <c r="AT18" s="598">
        <v>818</v>
      </c>
      <c r="AU18" s="603">
        <f t="shared" si="23"/>
        <v>0.11407056198577604</v>
      </c>
      <c r="AV18" s="597">
        <v>7047</v>
      </c>
      <c r="AW18" s="598">
        <v>825</v>
      </c>
      <c r="AX18" s="601">
        <f t="shared" si="24"/>
        <v>0.11707109408258834</v>
      </c>
      <c r="AY18" s="604">
        <v>6903</v>
      </c>
      <c r="AZ18" s="605">
        <v>736</v>
      </c>
      <c r="BA18" s="606">
        <f t="shared" si="12"/>
        <v>0.10662031001014052</v>
      </c>
      <c r="BC18" s="607">
        <v>8300.181818181818</v>
      </c>
      <c r="BD18" s="608">
        <v>655.5454545454545</v>
      </c>
      <c r="BE18" s="606">
        <f t="shared" si="13"/>
        <v>7.8979649952903547E-2</v>
      </c>
    </row>
    <row r="19" spans="1:57" ht="15" customHeight="1">
      <c r="A19" s="587" t="s">
        <v>39</v>
      </c>
      <c r="B19" s="609" t="s">
        <v>40</v>
      </c>
      <c r="C19" s="196" t="s">
        <v>275</v>
      </c>
      <c r="D19" s="589">
        <f t="shared" si="2"/>
        <v>3.1735404392072841E-2</v>
      </c>
      <c r="E19" s="590">
        <f t="shared" si="25"/>
        <v>6.0146975692481626E-2</v>
      </c>
      <c r="F19" s="591">
        <f t="shared" si="14"/>
        <v>7.0692520775623269E-2</v>
      </c>
      <c r="G19" s="591">
        <f t="shared" si="15"/>
        <v>6.9593386952636282E-2</v>
      </c>
      <c r="H19" s="591">
        <f t="shared" si="3"/>
        <v>5.622632575757576E-2</v>
      </c>
      <c r="I19" s="591">
        <f t="shared" si="4"/>
        <v>5.2948113207547172E-2</v>
      </c>
      <c r="J19" s="591">
        <f t="shared" si="5"/>
        <v>4.869134638057062E-2</v>
      </c>
      <c r="K19" s="591">
        <f t="shared" si="6"/>
        <v>4.8072510325837543E-2</v>
      </c>
      <c r="L19" s="591">
        <f t="shared" si="7"/>
        <v>4.9765153209572803E-2</v>
      </c>
      <c r="M19" s="591">
        <f t="shared" si="8"/>
        <v>8.9664987957083428E-2</v>
      </c>
      <c r="N19" s="591">
        <f t="shared" si="9"/>
        <v>8.236536430834214E-2</v>
      </c>
      <c r="O19" s="592">
        <f t="shared" si="10"/>
        <v>7.3265456072215809E-2</v>
      </c>
      <c r="P19" s="593">
        <f t="shared" si="11"/>
        <v>0.10346337579617836</v>
      </c>
      <c r="Q19" s="225"/>
      <c r="R19" s="594">
        <v>7468</v>
      </c>
      <c r="S19" s="595">
        <v>237</v>
      </c>
      <c r="T19" s="596">
        <f t="shared" si="0"/>
        <v>3.1735404392072841E-2</v>
      </c>
      <c r="U19" s="597">
        <v>8845</v>
      </c>
      <c r="V19" s="598">
        <v>532</v>
      </c>
      <c r="W19" s="599">
        <f t="shared" si="1"/>
        <v>6.0146975692481626E-2</v>
      </c>
      <c r="X19" s="597">
        <v>9025</v>
      </c>
      <c r="Y19" s="598">
        <v>638</v>
      </c>
      <c r="Z19" s="600">
        <f t="shared" si="16"/>
        <v>7.0692520775623269E-2</v>
      </c>
      <c r="AA19" s="597">
        <v>8952</v>
      </c>
      <c r="AB19" s="598">
        <v>623</v>
      </c>
      <c r="AC19" s="600">
        <f t="shared" si="17"/>
        <v>6.9593386952636282E-2</v>
      </c>
      <c r="AD19" s="597">
        <v>8448</v>
      </c>
      <c r="AE19" s="598">
        <v>475</v>
      </c>
      <c r="AF19" s="601">
        <f t="shared" si="18"/>
        <v>5.622632575757576E-2</v>
      </c>
      <c r="AG19" s="597">
        <v>8480</v>
      </c>
      <c r="AH19" s="598">
        <v>449</v>
      </c>
      <c r="AI19" s="601">
        <f t="shared" si="19"/>
        <v>5.2948113207547172E-2</v>
      </c>
      <c r="AJ19" s="597">
        <v>8482</v>
      </c>
      <c r="AK19" s="598">
        <v>413</v>
      </c>
      <c r="AL19" s="601">
        <f t="shared" si="20"/>
        <v>4.869134638057062E-2</v>
      </c>
      <c r="AM19" s="597">
        <v>8716</v>
      </c>
      <c r="AN19" s="598">
        <v>419</v>
      </c>
      <c r="AO19" s="601">
        <f t="shared" si="21"/>
        <v>4.8072510325837543E-2</v>
      </c>
      <c r="AP19" s="597">
        <v>8942</v>
      </c>
      <c r="AQ19" s="598">
        <v>445</v>
      </c>
      <c r="AR19" s="601">
        <f t="shared" si="22"/>
        <v>4.9765153209572803E-2</v>
      </c>
      <c r="AS19" s="602">
        <v>9134</v>
      </c>
      <c r="AT19" s="598">
        <v>819</v>
      </c>
      <c r="AU19" s="603">
        <f t="shared" si="23"/>
        <v>8.9664987957083428E-2</v>
      </c>
      <c r="AV19" s="597">
        <v>9470</v>
      </c>
      <c r="AW19" s="598">
        <v>780</v>
      </c>
      <c r="AX19" s="601">
        <f t="shared" si="24"/>
        <v>8.236536430834214E-2</v>
      </c>
      <c r="AY19" s="604">
        <v>9527</v>
      </c>
      <c r="AZ19" s="605">
        <v>698</v>
      </c>
      <c r="BA19" s="606">
        <f t="shared" si="12"/>
        <v>7.3265456072215809E-2</v>
      </c>
      <c r="BC19" s="607">
        <v>6850.909090909091</v>
      </c>
      <c r="BD19" s="608">
        <v>708.81818181818187</v>
      </c>
      <c r="BE19" s="606">
        <f t="shared" si="13"/>
        <v>0.10346337579617836</v>
      </c>
    </row>
    <row r="20" spans="1:57" ht="15" customHeight="1">
      <c r="A20" s="587" t="s">
        <v>41</v>
      </c>
      <c r="B20" s="609" t="s">
        <v>42</v>
      </c>
      <c r="C20" s="196" t="s">
        <v>273</v>
      </c>
      <c r="D20" s="589">
        <f t="shared" si="2"/>
        <v>3.1735404392072841E-2</v>
      </c>
      <c r="E20" s="590">
        <f t="shared" si="25"/>
        <v>3.4309758860657062E-2</v>
      </c>
      <c r="F20" s="591">
        <f t="shared" si="14"/>
        <v>3.8498402555910541E-2</v>
      </c>
      <c r="G20" s="591">
        <f t="shared" si="15"/>
        <v>4.3625192012288788E-2</v>
      </c>
      <c r="H20" s="591">
        <f t="shared" si="3"/>
        <v>4.2060212514757972E-2</v>
      </c>
      <c r="I20" s="591">
        <f t="shared" si="4"/>
        <v>4.2786214953271028E-2</v>
      </c>
      <c r="J20" s="591">
        <f t="shared" si="5"/>
        <v>3.5123367198838899E-2</v>
      </c>
      <c r="K20" s="591">
        <f t="shared" si="6"/>
        <v>3.4061879080329267E-2</v>
      </c>
      <c r="L20" s="591">
        <f t="shared" si="7"/>
        <v>4.8877874156684563E-2</v>
      </c>
      <c r="M20" s="591">
        <f t="shared" si="8"/>
        <v>8.1857804412966501E-2</v>
      </c>
      <c r="N20" s="591">
        <f t="shared" si="9"/>
        <v>9.3547104809858228E-2</v>
      </c>
      <c r="O20" s="592">
        <f t="shared" si="10"/>
        <v>8.5650577124868829E-2</v>
      </c>
      <c r="P20" s="593">
        <f t="shared" si="11"/>
        <v>7.7130287269541215E-2</v>
      </c>
      <c r="Q20" s="225"/>
      <c r="R20" s="594">
        <v>7468</v>
      </c>
      <c r="S20" s="595">
        <v>237</v>
      </c>
      <c r="T20" s="596">
        <f t="shared" si="0"/>
        <v>3.1735404392072841E-2</v>
      </c>
      <c r="U20" s="597">
        <v>6179</v>
      </c>
      <c r="V20" s="598">
        <v>212</v>
      </c>
      <c r="W20" s="599">
        <f t="shared" si="1"/>
        <v>3.4309758860657062E-2</v>
      </c>
      <c r="X20" s="597">
        <v>6260</v>
      </c>
      <c r="Y20" s="598">
        <v>241</v>
      </c>
      <c r="Z20" s="600">
        <f t="shared" si="16"/>
        <v>3.8498402555910541E-2</v>
      </c>
      <c r="AA20" s="597">
        <v>6510</v>
      </c>
      <c r="AB20" s="598">
        <v>284</v>
      </c>
      <c r="AC20" s="600">
        <f t="shared" si="17"/>
        <v>4.3625192012288788E-2</v>
      </c>
      <c r="AD20" s="597">
        <v>6776</v>
      </c>
      <c r="AE20" s="598">
        <v>285</v>
      </c>
      <c r="AF20" s="601">
        <f t="shared" si="18"/>
        <v>4.2060212514757972E-2</v>
      </c>
      <c r="AG20" s="597">
        <v>6848</v>
      </c>
      <c r="AH20" s="598">
        <v>293</v>
      </c>
      <c r="AI20" s="601">
        <f t="shared" si="19"/>
        <v>4.2786214953271028E-2</v>
      </c>
      <c r="AJ20" s="597">
        <v>6890</v>
      </c>
      <c r="AK20" s="598">
        <v>242</v>
      </c>
      <c r="AL20" s="601">
        <f t="shared" si="20"/>
        <v>3.5123367198838899E-2</v>
      </c>
      <c r="AM20" s="597">
        <v>7046</v>
      </c>
      <c r="AN20" s="598">
        <v>240</v>
      </c>
      <c r="AO20" s="601">
        <f t="shared" si="21"/>
        <v>3.4061879080329267E-2</v>
      </c>
      <c r="AP20" s="597">
        <v>7263</v>
      </c>
      <c r="AQ20" s="598">
        <v>355</v>
      </c>
      <c r="AR20" s="601">
        <f t="shared" si="22"/>
        <v>4.8877874156684563E-2</v>
      </c>
      <c r="AS20" s="602">
        <v>7342</v>
      </c>
      <c r="AT20" s="598">
        <v>601</v>
      </c>
      <c r="AU20" s="603">
        <f t="shared" si="23"/>
        <v>8.1857804412966501E-2</v>
      </c>
      <c r="AV20" s="597">
        <v>7547</v>
      </c>
      <c r="AW20" s="598">
        <v>706</v>
      </c>
      <c r="AX20" s="601">
        <f t="shared" si="24"/>
        <v>9.3547104809858228E-2</v>
      </c>
      <c r="AY20" s="604">
        <v>7624</v>
      </c>
      <c r="AZ20" s="605">
        <v>653</v>
      </c>
      <c r="BA20" s="606">
        <f t="shared" si="12"/>
        <v>8.5650577124868829E-2</v>
      </c>
      <c r="BC20" s="607">
        <v>9753.2727272727279</v>
      </c>
      <c r="BD20" s="608">
        <v>752.27272727272725</v>
      </c>
      <c r="BE20" s="606">
        <f t="shared" si="13"/>
        <v>7.7130287269541215E-2</v>
      </c>
    </row>
    <row r="21" spans="1:57" ht="15" customHeight="1">
      <c r="A21" s="587" t="s">
        <v>43</v>
      </c>
      <c r="B21" s="609" t="s">
        <v>44</v>
      </c>
      <c r="C21" s="196" t="s">
        <v>272</v>
      </c>
      <c r="D21" s="589">
        <f t="shared" si="2"/>
        <v>3.4811985898942424E-2</v>
      </c>
      <c r="E21" s="590">
        <f t="shared" si="25"/>
        <v>4.2419119342196263E-2</v>
      </c>
      <c r="F21" s="591">
        <f t="shared" si="14"/>
        <v>5.7055584885737989E-2</v>
      </c>
      <c r="G21" s="591">
        <f t="shared" si="15"/>
        <v>4.9788774894387447E-2</v>
      </c>
      <c r="H21" s="591">
        <f t="shared" si="3"/>
        <v>4.304698443948056E-2</v>
      </c>
      <c r="I21" s="591">
        <f t="shared" si="4"/>
        <v>3.9052639394164375E-2</v>
      </c>
      <c r="J21" s="591">
        <f t="shared" si="5"/>
        <v>3.1732700383421582E-2</v>
      </c>
      <c r="K21" s="591">
        <f t="shared" si="6"/>
        <v>3.3743896217476858E-2</v>
      </c>
      <c r="L21" s="591">
        <f t="shared" si="7"/>
        <v>3.9572729227901643E-2</v>
      </c>
      <c r="M21" s="591">
        <f t="shared" si="8"/>
        <v>7.1531324174638561E-2</v>
      </c>
      <c r="N21" s="591">
        <f t="shared" si="9"/>
        <v>7.2958231138119126E-2</v>
      </c>
      <c r="O21" s="592">
        <f t="shared" si="10"/>
        <v>6.7162056460214753E-2</v>
      </c>
      <c r="P21" s="593">
        <f t="shared" si="11"/>
        <v>5.8765995070716753E-2</v>
      </c>
      <c r="Q21" s="225"/>
      <c r="R21" s="594">
        <v>6808</v>
      </c>
      <c r="S21" s="595">
        <v>237</v>
      </c>
      <c r="T21" s="596">
        <f t="shared" si="0"/>
        <v>3.4811985898942424E-2</v>
      </c>
      <c r="U21" s="597">
        <v>26026</v>
      </c>
      <c r="V21" s="598">
        <v>1104</v>
      </c>
      <c r="W21" s="599">
        <f t="shared" si="1"/>
        <v>4.2419119342196263E-2</v>
      </c>
      <c r="X21" s="597">
        <v>26518</v>
      </c>
      <c r="Y21" s="598">
        <v>1513</v>
      </c>
      <c r="Z21" s="600">
        <f t="shared" si="16"/>
        <v>5.7055584885737989E-2</v>
      </c>
      <c r="AA21" s="597">
        <v>26512</v>
      </c>
      <c r="AB21" s="598">
        <v>1320</v>
      </c>
      <c r="AC21" s="600">
        <f t="shared" si="17"/>
        <v>4.9788774894387447E-2</v>
      </c>
      <c r="AD21" s="597">
        <v>26413</v>
      </c>
      <c r="AE21" s="598">
        <v>1137</v>
      </c>
      <c r="AF21" s="601">
        <f t="shared" si="18"/>
        <v>4.304698443948056E-2</v>
      </c>
      <c r="AG21" s="597">
        <v>26938</v>
      </c>
      <c r="AH21" s="598">
        <v>1052</v>
      </c>
      <c r="AI21" s="601">
        <f t="shared" si="19"/>
        <v>3.9052639394164375E-2</v>
      </c>
      <c r="AJ21" s="597">
        <v>27385</v>
      </c>
      <c r="AK21" s="598">
        <v>869</v>
      </c>
      <c r="AL21" s="601">
        <f t="shared" si="20"/>
        <v>3.1732700383421582E-2</v>
      </c>
      <c r="AM21" s="597">
        <v>27442</v>
      </c>
      <c r="AN21" s="598">
        <v>926</v>
      </c>
      <c r="AO21" s="601">
        <f t="shared" si="21"/>
        <v>3.3743896217476858E-2</v>
      </c>
      <c r="AP21" s="597">
        <v>27898</v>
      </c>
      <c r="AQ21" s="598">
        <v>1104</v>
      </c>
      <c r="AR21" s="601">
        <f t="shared" si="22"/>
        <v>3.9572729227901643E-2</v>
      </c>
      <c r="AS21" s="602">
        <v>27806</v>
      </c>
      <c r="AT21" s="598">
        <v>1989</v>
      </c>
      <c r="AU21" s="603">
        <f t="shared" si="23"/>
        <v>7.1531324174638561E-2</v>
      </c>
      <c r="AV21" s="597">
        <v>27317</v>
      </c>
      <c r="AW21" s="598">
        <v>1993</v>
      </c>
      <c r="AX21" s="601">
        <f t="shared" si="24"/>
        <v>7.2958231138119126E-2</v>
      </c>
      <c r="AY21" s="604">
        <v>28126</v>
      </c>
      <c r="AZ21" s="605">
        <v>1889</v>
      </c>
      <c r="BA21" s="606">
        <f t="shared" si="12"/>
        <v>6.7162056460214753E-2</v>
      </c>
      <c r="BC21" s="607">
        <v>28069.727272727272</v>
      </c>
      <c r="BD21" s="608">
        <v>1649.5454545454545</v>
      </c>
      <c r="BE21" s="606">
        <f t="shared" si="13"/>
        <v>5.8765995070716753E-2</v>
      </c>
    </row>
    <row r="22" spans="1:57" ht="15" customHeight="1">
      <c r="A22" s="587" t="s">
        <v>45</v>
      </c>
      <c r="B22" s="609" t="s">
        <v>46</v>
      </c>
      <c r="C22" s="196" t="s">
        <v>273</v>
      </c>
      <c r="D22" s="589">
        <f t="shared" si="2"/>
        <v>5.8179723502304145E-2</v>
      </c>
      <c r="E22" s="590">
        <f t="shared" si="25"/>
        <v>3.0198603427949579E-2</v>
      </c>
      <c r="F22" s="591">
        <f t="shared" si="14"/>
        <v>4.2680776014109349E-2</v>
      </c>
      <c r="G22" s="591">
        <f t="shared" si="15"/>
        <v>4.252577319587629E-2</v>
      </c>
      <c r="H22" s="591">
        <f t="shared" si="3"/>
        <v>3.9278656126482216E-2</v>
      </c>
      <c r="I22" s="591">
        <f t="shared" si="4"/>
        <v>3.7499037499037498E-2</v>
      </c>
      <c r="J22" s="591">
        <f t="shared" si="5"/>
        <v>3.3291870929977319E-2</v>
      </c>
      <c r="K22" s="591">
        <f t="shared" si="6"/>
        <v>3.6650710866614276E-2</v>
      </c>
      <c r="L22" s="591">
        <f t="shared" si="7"/>
        <v>4.7745916006450256E-2</v>
      </c>
      <c r="M22" s="591">
        <f t="shared" si="8"/>
        <v>8.2411080949397919E-2</v>
      </c>
      <c r="N22" s="591">
        <f t="shared" si="9"/>
        <v>9.0643478260869562E-2</v>
      </c>
      <c r="O22" s="592">
        <f t="shared" si="10"/>
        <v>7.9122653569265969E-2</v>
      </c>
      <c r="P22" s="593">
        <f t="shared" si="11"/>
        <v>6.9146370502433094E-2</v>
      </c>
      <c r="Q22" s="225"/>
      <c r="R22" s="594">
        <v>8680</v>
      </c>
      <c r="S22" s="595">
        <v>505</v>
      </c>
      <c r="T22" s="596">
        <f t="shared" si="0"/>
        <v>5.8179723502304145E-2</v>
      </c>
      <c r="U22" s="597">
        <v>11027</v>
      </c>
      <c r="V22" s="598">
        <v>333</v>
      </c>
      <c r="W22" s="599">
        <f t="shared" si="1"/>
        <v>3.0198603427949579E-2</v>
      </c>
      <c r="X22" s="597">
        <v>11340</v>
      </c>
      <c r="Y22" s="598">
        <v>484</v>
      </c>
      <c r="Z22" s="600">
        <f t="shared" si="16"/>
        <v>4.2680776014109349E-2</v>
      </c>
      <c r="AA22" s="597">
        <v>11640</v>
      </c>
      <c r="AB22" s="598">
        <v>495</v>
      </c>
      <c r="AC22" s="600">
        <f t="shared" si="17"/>
        <v>4.252577319587629E-2</v>
      </c>
      <c r="AD22" s="597">
        <v>12144</v>
      </c>
      <c r="AE22" s="598">
        <v>477</v>
      </c>
      <c r="AF22" s="601">
        <f t="shared" si="18"/>
        <v>3.9278656126482216E-2</v>
      </c>
      <c r="AG22" s="597">
        <v>12987</v>
      </c>
      <c r="AH22" s="598">
        <v>487</v>
      </c>
      <c r="AI22" s="601">
        <f t="shared" si="19"/>
        <v>3.7499037499037498E-2</v>
      </c>
      <c r="AJ22" s="597">
        <v>13667</v>
      </c>
      <c r="AK22" s="598">
        <v>455</v>
      </c>
      <c r="AL22" s="601">
        <f t="shared" si="20"/>
        <v>3.3291870929977319E-2</v>
      </c>
      <c r="AM22" s="597">
        <v>13997</v>
      </c>
      <c r="AN22" s="598">
        <v>513</v>
      </c>
      <c r="AO22" s="601">
        <f t="shared" si="21"/>
        <v>3.6650710866614276E-2</v>
      </c>
      <c r="AP22" s="597">
        <v>14263</v>
      </c>
      <c r="AQ22" s="598">
        <v>681</v>
      </c>
      <c r="AR22" s="601">
        <f t="shared" si="22"/>
        <v>4.7745916006450256E-2</v>
      </c>
      <c r="AS22" s="602">
        <v>14367</v>
      </c>
      <c r="AT22" s="598">
        <v>1184</v>
      </c>
      <c r="AU22" s="603">
        <f t="shared" si="23"/>
        <v>8.2411080949397919E-2</v>
      </c>
      <c r="AV22" s="597">
        <v>14375</v>
      </c>
      <c r="AW22" s="598">
        <v>1303</v>
      </c>
      <c r="AX22" s="601">
        <f t="shared" si="24"/>
        <v>9.0643478260869562E-2</v>
      </c>
      <c r="AY22" s="604">
        <v>14863</v>
      </c>
      <c r="AZ22" s="605">
        <v>1176</v>
      </c>
      <c r="BA22" s="606">
        <f t="shared" si="12"/>
        <v>7.9122653569265969E-2</v>
      </c>
      <c r="BC22" s="607">
        <v>14889.363636363636</v>
      </c>
      <c r="BD22" s="608">
        <v>1029.5454545454545</v>
      </c>
      <c r="BE22" s="606">
        <f t="shared" si="13"/>
        <v>6.9146370502433094E-2</v>
      </c>
    </row>
    <row r="23" spans="1:57" ht="15" customHeight="1">
      <c r="A23" s="587" t="s">
        <v>47</v>
      </c>
      <c r="B23" s="609" t="s">
        <v>48</v>
      </c>
      <c r="C23" s="196" t="s">
        <v>275</v>
      </c>
      <c r="D23" s="589">
        <f t="shared" si="2"/>
        <v>2.3074003795066415E-2</v>
      </c>
      <c r="E23" s="590">
        <f t="shared" si="25"/>
        <v>6.8937495767589896E-2</v>
      </c>
      <c r="F23" s="591">
        <f t="shared" si="14"/>
        <v>6.5912610247088124E-2</v>
      </c>
      <c r="G23" s="591">
        <f t="shared" si="15"/>
        <v>5.5688463583200426E-2</v>
      </c>
      <c r="H23" s="591">
        <f t="shared" si="3"/>
        <v>4.9054293101102188E-2</v>
      </c>
      <c r="I23" s="591">
        <f t="shared" si="4"/>
        <v>5.5310648849703818E-2</v>
      </c>
      <c r="J23" s="591">
        <f t="shared" si="5"/>
        <v>5.1267322467150142E-2</v>
      </c>
      <c r="K23" s="591">
        <f t="shared" si="6"/>
        <v>5.567069248910169E-2</v>
      </c>
      <c r="L23" s="591">
        <f t="shared" si="7"/>
        <v>6.6339241227133611E-2</v>
      </c>
      <c r="M23" s="591">
        <f t="shared" si="8"/>
        <v>0.10948600083577099</v>
      </c>
      <c r="N23" s="591">
        <f t="shared" si="9"/>
        <v>0.1102405498281787</v>
      </c>
      <c r="O23" s="592">
        <f t="shared" si="10"/>
        <v>9.3070132758740529E-2</v>
      </c>
      <c r="P23" s="593">
        <f t="shared" si="11"/>
        <v>8.2859762870353626E-2</v>
      </c>
      <c r="Q23" s="225"/>
      <c r="R23" s="594">
        <v>26350</v>
      </c>
      <c r="S23" s="595">
        <v>608</v>
      </c>
      <c r="T23" s="596">
        <f t="shared" si="0"/>
        <v>2.3074003795066415E-2</v>
      </c>
      <c r="U23" s="597">
        <v>14767</v>
      </c>
      <c r="V23" s="598">
        <v>1018</v>
      </c>
      <c r="W23" s="599">
        <f t="shared" si="1"/>
        <v>6.8937495767589896E-2</v>
      </c>
      <c r="X23" s="597">
        <v>14853</v>
      </c>
      <c r="Y23" s="598">
        <v>979</v>
      </c>
      <c r="Z23" s="600">
        <f t="shared" si="16"/>
        <v>6.5912610247088124E-2</v>
      </c>
      <c r="AA23" s="597">
        <v>15048</v>
      </c>
      <c r="AB23" s="598">
        <v>838</v>
      </c>
      <c r="AC23" s="600">
        <f t="shared" si="17"/>
        <v>5.5688463583200426E-2</v>
      </c>
      <c r="AD23" s="597">
        <v>14698</v>
      </c>
      <c r="AE23" s="598">
        <v>721</v>
      </c>
      <c r="AF23" s="601">
        <f t="shared" si="18"/>
        <v>4.9054293101102188E-2</v>
      </c>
      <c r="AG23" s="597">
        <v>14518</v>
      </c>
      <c r="AH23" s="598">
        <v>803</v>
      </c>
      <c r="AI23" s="601">
        <f t="shared" si="19"/>
        <v>5.5310648849703818E-2</v>
      </c>
      <c r="AJ23" s="597">
        <v>13927</v>
      </c>
      <c r="AK23" s="598">
        <v>714</v>
      </c>
      <c r="AL23" s="601">
        <f t="shared" si="20"/>
        <v>5.1267322467150142E-2</v>
      </c>
      <c r="AM23" s="597">
        <v>13993</v>
      </c>
      <c r="AN23" s="598">
        <v>779</v>
      </c>
      <c r="AO23" s="601">
        <f t="shared" si="21"/>
        <v>5.567069248910169E-2</v>
      </c>
      <c r="AP23" s="597">
        <v>14049</v>
      </c>
      <c r="AQ23" s="598">
        <v>932</v>
      </c>
      <c r="AR23" s="601">
        <f t="shared" si="22"/>
        <v>6.6339241227133611E-2</v>
      </c>
      <c r="AS23" s="602">
        <v>14358</v>
      </c>
      <c r="AT23" s="598">
        <v>1572</v>
      </c>
      <c r="AU23" s="603">
        <f t="shared" si="23"/>
        <v>0.10948600083577099</v>
      </c>
      <c r="AV23" s="597">
        <v>14550</v>
      </c>
      <c r="AW23" s="598">
        <v>1604</v>
      </c>
      <c r="AX23" s="601">
        <f t="shared" si="24"/>
        <v>0.1102405498281787</v>
      </c>
      <c r="AY23" s="604">
        <v>14387</v>
      </c>
      <c r="AZ23" s="605">
        <v>1339</v>
      </c>
      <c r="BA23" s="606">
        <f t="shared" si="12"/>
        <v>9.3070132758740529E-2</v>
      </c>
      <c r="BC23" s="607">
        <v>14077.454545454546</v>
      </c>
      <c r="BD23" s="608">
        <v>1166.4545454545455</v>
      </c>
      <c r="BE23" s="606">
        <f t="shared" si="13"/>
        <v>8.2859762870353626E-2</v>
      </c>
    </row>
    <row r="24" spans="1:57" ht="15" customHeight="1">
      <c r="A24" s="587" t="s">
        <v>49</v>
      </c>
      <c r="B24" s="609" t="s">
        <v>276</v>
      </c>
      <c r="C24" s="196" t="s">
        <v>273</v>
      </c>
      <c r="D24" s="589">
        <f t="shared" si="2"/>
        <v>2.1677490167383153E-2</v>
      </c>
      <c r="E24" s="590">
        <f t="shared" si="25"/>
        <v>4.8873201194678251E-2</v>
      </c>
      <c r="F24" s="591">
        <f t="shared" si="14"/>
        <v>5.2097248196633715E-2</v>
      </c>
      <c r="G24" s="591">
        <f t="shared" si="15"/>
        <v>5.0317796610169489E-2</v>
      </c>
      <c r="H24" s="591">
        <f t="shared" si="3"/>
        <v>4.9697607152248226E-2</v>
      </c>
      <c r="I24" s="591">
        <f t="shared" si="4"/>
        <v>4.2973899288162407E-2</v>
      </c>
      <c r="J24" s="591">
        <f t="shared" si="5"/>
        <v>3.8789759503491075E-2</v>
      </c>
      <c r="K24" s="591">
        <f t="shared" si="6"/>
        <v>3.8591916558018254E-2</v>
      </c>
      <c r="L24" s="591">
        <f t="shared" si="7"/>
        <v>4.9716640906749099E-2</v>
      </c>
      <c r="M24" s="591">
        <f t="shared" si="8"/>
        <v>8.8107970460911636E-2</v>
      </c>
      <c r="N24" s="591">
        <f t="shared" si="9"/>
        <v>9.5042383765733374E-2</v>
      </c>
      <c r="O24" s="592">
        <f t="shared" si="10"/>
        <v>8.2403651115618662E-2</v>
      </c>
      <c r="P24" s="593">
        <f t="shared" si="11"/>
        <v>7.5566461792496112E-2</v>
      </c>
      <c r="Q24" s="225"/>
      <c r="R24" s="594">
        <v>10933</v>
      </c>
      <c r="S24" s="595">
        <v>237</v>
      </c>
      <c r="T24" s="596">
        <f t="shared" si="0"/>
        <v>2.1677490167383153E-2</v>
      </c>
      <c r="U24" s="597">
        <v>3683</v>
      </c>
      <c r="V24" s="598">
        <v>180</v>
      </c>
      <c r="W24" s="599">
        <f t="shared" si="1"/>
        <v>4.8873201194678251E-2</v>
      </c>
      <c r="X24" s="597">
        <v>3743</v>
      </c>
      <c r="Y24" s="598">
        <v>195</v>
      </c>
      <c r="Z24" s="600">
        <f t="shared" si="16"/>
        <v>5.2097248196633715E-2</v>
      </c>
      <c r="AA24" s="597">
        <v>3776</v>
      </c>
      <c r="AB24" s="598">
        <v>190</v>
      </c>
      <c r="AC24" s="600">
        <f t="shared" si="17"/>
        <v>5.0317796610169489E-2</v>
      </c>
      <c r="AD24" s="597">
        <v>3803</v>
      </c>
      <c r="AE24" s="598">
        <v>189</v>
      </c>
      <c r="AF24" s="601">
        <f t="shared" si="18"/>
        <v>4.9697607152248226E-2</v>
      </c>
      <c r="AG24" s="597">
        <v>3793</v>
      </c>
      <c r="AH24" s="598">
        <v>163</v>
      </c>
      <c r="AI24" s="601">
        <f t="shared" si="19"/>
        <v>4.2973899288162407E-2</v>
      </c>
      <c r="AJ24" s="597">
        <v>3867</v>
      </c>
      <c r="AK24" s="598">
        <v>150</v>
      </c>
      <c r="AL24" s="601">
        <f t="shared" si="20"/>
        <v>3.8789759503491075E-2</v>
      </c>
      <c r="AM24" s="597">
        <v>3835</v>
      </c>
      <c r="AN24" s="598">
        <v>148</v>
      </c>
      <c r="AO24" s="601">
        <f t="shared" si="21"/>
        <v>3.8591916558018254E-2</v>
      </c>
      <c r="AP24" s="597">
        <v>3882</v>
      </c>
      <c r="AQ24" s="598">
        <v>193</v>
      </c>
      <c r="AR24" s="601">
        <f t="shared" si="22"/>
        <v>4.9716640906749099E-2</v>
      </c>
      <c r="AS24" s="602">
        <v>3927</v>
      </c>
      <c r="AT24" s="598">
        <v>346</v>
      </c>
      <c r="AU24" s="603">
        <f t="shared" si="23"/>
        <v>8.8107970460911636E-2</v>
      </c>
      <c r="AV24" s="597">
        <v>3893</v>
      </c>
      <c r="AW24" s="598">
        <v>370</v>
      </c>
      <c r="AX24" s="601">
        <f t="shared" si="24"/>
        <v>9.5042383765733374E-2</v>
      </c>
      <c r="AY24" s="604">
        <v>3944</v>
      </c>
      <c r="AZ24" s="605">
        <v>325</v>
      </c>
      <c r="BA24" s="606">
        <f t="shared" si="12"/>
        <v>8.2403651115618662E-2</v>
      </c>
      <c r="BC24" s="607">
        <v>3964</v>
      </c>
      <c r="BD24" s="608">
        <v>299.54545454545456</v>
      </c>
      <c r="BE24" s="606">
        <f t="shared" si="13"/>
        <v>7.5566461792496112E-2</v>
      </c>
    </row>
    <row r="25" spans="1:57" ht="15" customHeight="1">
      <c r="A25" s="587" t="s">
        <v>51</v>
      </c>
      <c r="B25" s="609" t="s">
        <v>52</v>
      </c>
      <c r="C25" s="196" t="s">
        <v>272</v>
      </c>
      <c r="D25" s="589">
        <f t="shared" si="2"/>
        <v>4.0266177768724112E-2</v>
      </c>
      <c r="E25" s="590">
        <f t="shared" si="25"/>
        <v>4.2880703683342493E-2</v>
      </c>
      <c r="F25" s="591">
        <f t="shared" si="14"/>
        <v>7.4353448275862072E-2</v>
      </c>
      <c r="G25" s="591">
        <f t="shared" si="15"/>
        <v>6.4985111227885792E-2</v>
      </c>
      <c r="H25" s="591">
        <f t="shared" si="3"/>
        <v>5.9128260092890315E-2</v>
      </c>
      <c r="I25" s="591">
        <f t="shared" si="4"/>
        <v>8.0957602339181284E-2</v>
      </c>
      <c r="J25" s="591">
        <f t="shared" si="5"/>
        <v>6.5180426979028899E-2</v>
      </c>
      <c r="K25" s="591">
        <f t="shared" si="6"/>
        <v>5.2423156703752589E-2</v>
      </c>
      <c r="L25" s="591">
        <f t="shared" si="7"/>
        <v>5.8921009022279508E-2</v>
      </c>
      <c r="M25" s="591">
        <f t="shared" si="8"/>
        <v>9.4979155338046045E-2</v>
      </c>
      <c r="N25" s="591">
        <f t="shared" si="9"/>
        <v>9.208371246587807E-2</v>
      </c>
      <c r="O25" s="592">
        <f t="shared" si="10"/>
        <v>9.0512540894220284E-2</v>
      </c>
      <c r="P25" s="593">
        <f t="shared" si="11"/>
        <v>8.26344719929588E-2</v>
      </c>
      <c r="Q25" s="225"/>
      <c r="R25" s="594">
        <v>14727</v>
      </c>
      <c r="S25" s="595">
        <v>593</v>
      </c>
      <c r="T25" s="596">
        <f t="shared" si="0"/>
        <v>4.0266177768724112E-2</v>
      </c>
      <c r="U25" s="597">
        <v>5457</v>
      </c>
      <c r="V25" s="598">
        <v>234</v>
      </c>
      <c r="W25" s="599">
        <f t="shared" si="1"/>
        <v>4.2880703683342493E-2</v>
      </c>
      <c r="X25" s="597">
        <v>5568</v>
      </c>
      <c r="Y25" s="598">
        <v>414</v>
      </c>
      <c r="Z25" s="600">
        <f t="shared" si="16"/>
        <v>7.4353448275862072E-2</v>
      </c>
      <c r="AA25" s="597">
        <v>5709</v>
      </c>
      <c r="AB25" s="598">
        <v>371</v>
      </c>
      <c r="AC25" s="600">
        <f t="shared" si="17"/>
        <v>6.4985111227885792E-2</v>
      </c>
      <c r="AD25" s="597">
        <v>5598</v>
      </c>
      <c r="AE25" s="598">
        <v>331</v>
      </c>
      <c r="AF25" s="601">
        <f t="shared" si="18"/>
        <v>5.9128260092890315E-2</v>
      </c>
      <c r="AG25" s="597">
        <v>5472</v>
      </c>
      <c r="AH25" s="598">
        <v>443</v>
      </c>
      <c r="AI25" s="601">
        <f t="shared" si="19"/>
        <v>8.0957602339181284E-2</v>
      </c>
      <c r="AJ25" s="597">
        <v>5293</v>
      </c>
      <c r="AK25" s="598">
        <v>345</v>
      </c>
      <c r="AL25" s="601">
        <f t="shared" si="20"/>
        <v>6.5180426979028899E-2</v>
      </c>
      <c r="AM25" s="597">
        <v>5303</v>
      </c>
      <c r="AN25" s="598">
        <v>278</v>
      </c>
      <c r="AO25" s="601">
        <f t="shared" si="21"/>
        <v>5.2423156703752589E-2</v>
      </c>
      <c r="AP25" s="597">
        <v>5431</v>
      </c>
      <c r="AQ25" s="598">
        <v>320</v>
      </c>
      <c r="AR25" s="601">
        <f t="shared" si="22"/>
        <v>5.8921009022279508E-2</v>
      </c>
      <c r="AS25" s="602">
        <v>5517</v>
      </c>
      <c r="AT25" s="598">
        <v>524</v>
      </c>
      <c r="AU25" s="603">
        <f t="shared" si="23"/>
        <v>9.4979155338046045E-2</v>
      </c>
      <c r="AV25" s="597">
        <v>5495</v>
      </c>
      <c r="AW25" s="598">
        <v>506</v>
      </c>
      <c r="AX25" s="601">
        <f t="shared" si="24"/>
        <v>9.208371246587807E-2</v>
      </c>
      <c r="AY25" s="604">
        <v>5502</v>
      </c>
      <c r="AZ25" s="605">
        <v>498</v>
      </c>
      <c r="BA25" s="606">
        <f t="shared" si="12"/>
        <v>9.0512540894220284E-2</v>
      </c>
      <c r="BC25" s="607">
        <v>5474.272727272727</v>
      </c>
      <c r="BD25" s="608">
        <v>452.36363636363637</v>
      </c>
      <c r="BE25" s="606">
        <f t="shared" si="13"/>
        <v>8.26344719929588E-2</v>
      </c>
    </row>
    <row r="26" spans="1:57">
      <c r="A26" s="587" t="s">
        <v>57</v>
      </c>
      <c r="B26" s="609" t="s">
        <v>58</v>
      </c>
      <c r="C26" s="196" t="s">
        <v>273</v>
      </c>
      <c r="D26" s="589">
        <f t="shared" si="2"/>
        <v>2.4492067909824659E-2</v>
      </c>
      <c r="E26" s="590">
        <f t="shared" si="25"/>
        <v>2.6142125346296587E-2</v>
      </c>
      <c r="F26" s="591">
        <f t="shared" si="14"/>
        <v>3.4532823056692925E-2</v>
      </c>
      <c r="G26" s="591">
        <f t="shared" si="15"/>
        <v>3.5656008270948295E-2</v>
      </c>
      <c r="H26" s="591">
        <f t="shared" si="3"/>
        <v>3.3082360916089674E-2</v>
      </c>
      <c r="I26" s="591">
        <f t="shared" si="4"/>
        <v>3.1665790670343884E-2</v>
      </c>
      <c r="J26" s="591">
        <f t="shared" si="5"/>
        <v>2.7440542629003178E-2</v>
      </c>
      <c r="K26" s="591">
        <f t="shared" si="6"/>
        <v>2.620342716980275E-2</v>
      </c>
      <c r="L26" s="591">
        <f t="shared" si="7"/>
        <v>3.6835054423667316E-2</v>
      </c>
      <c r="M26" s="591">
        <f t="shared" si="8"/>
        <v>6.6742447037321836E-2</v>
      </c>
      <c r="N26" s="591">
        <f t="shared" si="9"/>
        <v>6.965491393825482E-2</v>
      </c>
      <c r="O26" s="592">
        <f t="shared" si="10"/>
        <v>6.2003981562468141E-2</v>
      </c>
      <c r="P26" s="593">
        <f t="shared" si="11"/>
        <v>5.6284196175117381E-2</v>
      </c>
      <c r="Q26" s="225"/>
      <c r="R26" s="610">
        <v>3593</v>
      </c>
      <c r="S26" s="611">
        <v>88</v>
      </c>
      <c r="T26" s="612">
        <f t="shared" si="0"/>
        <v>2.4492067909824659E-2</v>
      </c>
      <c r="U26" s="613">
        <v>153048</v>
      </c>
      <c r="V26" s="614">
        <v>4001</v>
      </c>
      <c r="W26" s="599">
        <f t="shared" si="1"/>
        <v>2.6142125346296587E-2</v>
      </c>
      <c r="X26" s="613">
        <v>157039</v>
      </c>
      <c r="Y26" s="614">
        <v>5423</v>
      </c>
      <c r="Z26" s="600">
        <f t="shared" si="16"/>
        <v>3.4532823056692925E-2</v>
      </c>
      <c r="AA26" s="613">
        <v>160562</v>
      </c>
      <c r="AB26" s="614">
        <v>5725</v>
      </c>
      <c r="AC26" s="600">
        <f t="shared" si="17"/>
        <v>3.5656008270948295E-2</v>
      </c>
      <c r="AD26" s="613">
        <v>165224</v>
      </c>
      <c r="AE26" s="614">
        <v>5466</v>
      </c>
      <c r="AF26" s="601">
        <f t="shared" si="18"/>
        <v>3.3082360916089674E-2</v>
      </c>
      <c r="AG26" s="613">
        <v>169331</v>
      </c>
      <c r="AH26" s="614">
        <v>5362</v>
      </c>
      <c r="AI26" s="601">
        <f t="shared" si="19"/>
        <v>3.1665790670343884E-2</v>
      </c>
      <c r="AJ26" s="613">
        <v>174705</v>
      </c>
      <c r="AK26" s="614">
        <v>4794</v>
      </c>
      <c r="AL26" s="601">
        <f t="shared" si="20"/>
        <v>2.7440542629003178E-2</v>
      </c>
      <c r="AM26" s="613">
        <v>176122</v>
      </c>
      <c r="AN26" s="614">
        <v>4615</v>
      </c>
      <c r="AO26" s="601">
        <f t="shared" si="21"/>
        <v>2.620342716980275E-2</v>
      </c>
      <c r="AP26" s="613">
        <v>179150</v>
      </c>
      <c r="AQ26" s="614">
        <v>6599</v>
      </c>
      <c r="AR26" s="601">
        <f t="shared" si="22"/>
        <v>3.6835054423667316E-2</v>
      </c>
      <c r="AS26" s="615">
        <v>179466</v>
      </c>
      <c r="AT26" s="614">
        <v>11978</v>
      </c>
      <c r="AU26" s="603">
        <f t="shared" si="23"/>
        <v>6.6742447037321836E-2</v>
      </c>
      <c r="AV26" s="613">
        <v>178767</v>
      </c>
      <c r="AW26" s="614">
        <v>12452</v>
      </c>
      <c r="AX26" s="601">
        <f t="shared" si="24"/>
        <v>6.965491393825482E-2</v>
      </c>
      <c r="AY26" s="604">
        <v>186359</v>
      </c>
      <c r="AZ26" s="605">
        <v>11555</v>
      </c>
      <c r="BA26" s="606">
        <f t="shared" si="12"/>
        <v>6.2003981562468141E-2</v>
      </c>
      <c r="BC26" s="607">
        <v>187570.81818181818</v>
      </c>
      <c r="BD26" s="608">
        <v>10557.272727272728</v>
      </c>
      <c r="BE26" s="606">
        <f t="shared" si="13"/>
        <v>5.6284196175117381E-2</v>
      </c>
    </row>
    <row r="27" spans="1:57" ht="15" customHeight="1">
      <c r="A27" s="587" t="s">
        <v>59</v>
      </c>
      <c r="B27" s="609" t="s">
        <v>60</v>
      </c>
      <c r="C27" s="196" t="s">
        <v>274</v>
      </c>
      <c r="D27" s="589">
        <f t="shared" si="2"/>
        <v>3.1358249772105745E-2</v>
      </c>
      <c r="E27" s="590">
        <f t="shared" si="25"/>
        <v>2.2301136363636363E-2</v>
      </c>
      <c r="F27" s="591">
        <f t="shared" si="14"/>
        <v>3.0128114881036182E-2</v>
      </c>
      <c r="G27" s="591">
        <f t="shared" si="15"/>
        <v>3.0972222222222224E-2</v>
      </c>
      <c r="H27" s="591">
        <f t="shared" si="3"/>
        <v>2.7955271565495207E-2</v>
      </c>
      <c r="I27" s="591">
        <f t="shared" si="4"/>
        <v>2.546059365404299E-2</v>
      </c>
      <c r="J27" s="591">
        <f t="shared" si="5"/>
        <v>2.4014778325123151E-2</v>
      </c>
      <c r="K27" s="591">
        <f t="shared" si="6"/>
        <v>2.6384243775548124E-2</v>
      </c>
      <c r="L27" s="591">
        <f t="shared" si="7"/>
        <v>3.4065934065934063E-2</v>
      </c>
      <c r="M27" s="591">
        <f t="shared" si="8"/>
        <v>6.144320076208621E-2</v>
      </c>
      <c r="N27" s="591">
        <f t="shared" si="9"/>
        <v>5.7146323707837905E-2</v>
      </c>
      <c r="O27" s="592">
        <f t="shared" si="10"/>
        <v>4.962686567164179E-2</v>
      </c>
      <c r="P27" s="593">
        <f t="shared" si="11"/>
        <v>4.7621164962205427E-2</v>
      </c>
      <c r="Q27" s="225"/>
      <c r="R27" s="594">
        <v>5485</v>
      </c>
      <c r="S27" s="595">
        <v>172</v>
      </c>
      <c r="T27" s="596">
        <f t="shared" si="0"/>
        <v>3.1358249772105745E-2</v>
      </c>
      <c r="U27" s="597">
        <v>7040</v>
      </c>
      <c r="V27" s="598">
        <v>157</v>
      </c>
      <c r="W27" s="599">
        <f t="shared" si="1"/>
        <v>2.2301136363636363E-2</v>
      </c>
      <c r="X27" s="597">
        <v>7103</v>
      </c>
      <c r="Y27" s="598">
        <v>214</v>
      </c>
      <c r="Z27" s="600">
        <f t="shared" si="16"/>
        <v>3.0128114881036182E-2</v>
      </c>
      <c r="AA27" s="597">
        <v>7200</v>
      </c>
      <c r="AB27" s="598">
        <v>223</v>
      </c>
      <c r="AC27" s="600">
        <f t="shared" si="17"/>
        <v>3.0972222222222224E-2</v>
      </c>
      <c r="AD27" s="597">
        <v>7512</v>
      </c>
      <c r="AE27" s="598">
        <v>210</v>
      </c>
      <c r="AF27" s="601">
        <f t="shared" si="18"/>
        <v>2.7955271565495207E-2</v>
      </c>
      <c r="AG27" s="597">
        <v>7816</v>
      </c>
      <c r="AH27" s="598">
        <v>199</v>
      </c>
      <c r="AI27" s="601">
        <f t="shared" si="19"/>
        <v>2.546059365404299E-2</v>
      </c>
      <c r="AJ27" s="597">
        <v>8120</v>
      </c>
      <c r="AK27" s="598">
        <v>195</v>
      </c>
      <c r="AL27" s="601">
        <f t="shared" si="20"/>
        <v>2.4014778325123151E-2</v>
      </c>
      <c r="AM27" s="597">
        <v>8073</v>
      </c>
      <c r="AN27" s="598">
        <v>213</v>
      </c>
      <c r="AO27" s="601">
        <f t="shared" si="21"/>
        <v>2.6384243775548124E-2</v>
      </c>
      <c r="AP27" s="597">
        <v>8190</v>
      </c>
      <c r="AQ27" s="598">
        <v>279</v>
      </c>
      <c r="AR27" s="601">
        <f t="shared" si="22"/>
        <v>3.4065934065934063E-2</v>
      </c>
      <c r="AS27" s="602">
        <v>8398</v>
      </c>
      <c r="AT27" s="598">
        <v>516</v>
      </c>
      <c r="AU27" s="603">
        <f t="shared" si="23"/>
        <v>6.144320076208621E-2</v>
      </c>
      <c r="AV27" s="597">
        <v>8242</v>
      </c>
      <c r="AW27" s="598">
        <v>471</v>
      </c>
      <c r="AX27" s="601">
        <f t="shared" si="24"/>
        <v>5.7146323707837905E-2</v>
      </c>
      <c r="AY27" s="604">
        <v>8040</v>
      </c>
      <c r="AZ27" s="605">
        <v>399</v>
      </c>
      <c r="BA27" s="606">
        <f t="shared" si="12"/>
        <v>4.962686567164179E-2</v>
      </c>
      <c r="BC27" s="607">
        <v>8178.181818181818</v>
      </c>
      <c r="BD27" s="608">
        <v>389.45454545454544</v>
      </c>
      <c r="BE27" s="606">
        <f t="shared" si="13"/>
        <v>4.7621164962205427E-2</v>
      </c>
    </row>
    <row r="28" spans="1:57" ht="15" customHeight="1">
      <c r="A28" s="587" t="s">
        <v>61</v>
      </c>
      <c r="B28" s="609" t="s">
        <v>62</v>
      </c>
      <c r="C28" s="196" t="s">
        <v>272</v>
      </c>
      <c r="D28" s="589">
        <f t="shared" si="2"/>
        <v>2.9387331256490134E-2</v>
      </c>
      <c r="E28" s="590">
        <f t="shared" si="25"/>
        <v>2.9246794871794872E-2</v>
      </c>
      <c r="F28" s="591">
        <f t="shared" si="14"/>
        <v>4.0078585461689589E-2</v>
      </c>
      <c r="G28" s="591">
        <f t="shared" si="15"/>
        <v>4.0873015873015874E-2</v>
      </c>
      <c r="H28" s="591">
        <f t="shared" si="3"/>
        <v>3.8630027877339705E-2</v>
      </c>
      <c r="I28" s="591">
        <f t="shared" si="4"/>
        <v>3.8431061806656099E-2</v>
      </c>
      <c r="J28" s="591">
        <f t="shared" si="5"/>
        <v>3.377329192546584E-2</v>
      </c>
      <c r="K28" s="591">
        <f t="shared" si="6"/>
        <v>3.6850271528316526E-2</v>
      </c>
      <c r="L28" s="591">
        <f t="shared" si="7"/>
        <v>3.9607843137254899E-2</v>
      </c>
      <c r="M28" s="591">
        <f t="shared" si="8"/>
        <v>7.1987480438184662E-2</v>
      </c>
      <c r="N28" s="591">
        <f t="shared" si="9"/>
        <v>7.8042862919530928E-2</v>
      </c>
      <c r="O28" s="592">
        <f t="shared" si="10"/>
        <v>7.544264819091609E-2</v>
      </c>
      <c r="P28" s="593">
        <f t="shared" si="11"/>
        <v>6.6979190261869825E-2</v>
      </c>
      <c r="Q28" s="225"/>
      <c r="R28" s="594">
        <v>19260</v>
      </c>
      <c r="S28" s="595">
        <v>566</v>
      </c>
      <c r="T28" s="596">
        <f t="shared" si="0"/>
        <v>2.9387331256490134E-2</v>
      </c>
      <c r="U28" s="597">
        <v>2496</v>
      </c>
      <c r="V28" s="598">
        <v>73</v>
      </c>
      <c r="W28" s="599">
        <f t="shared" si="1"/>
        <v>2.9246794871794872E-2</v>
      </c>
      <c r="X28" s="597">
        <v>2545</v>
      </c>
      <c r="Y28" s="598">
        <v>102</v>
      </c>
      <c r="Z28" s="600">
        <f t="shared" si="16"/>
        <v>4.0078585461689589E-2</v>
      </c>
      <c r="AA28" s="597">
        <v>2520</v>
      </c>
      <c r="AB28" s="598">
        <v>103</v>
      </c>
      <c r="AC28" s="600">
        <f t="shared" si="17"/>
        <v>4.0873015873015874E-2</v>
      </c>
      <c r="AD28" s="597">
        <v>2511</v>
      </c>
      <c r="AE28" s="598">
        <v>97</v>
      </c>
      <c r="AF28" s="601">
        <f t="shared" si="18"/>
        <v>3.8630027877339705E-2</v>
      </c>
      <c r="AG28" s="597">
        <v>2524</v>
      </c>
      <c r="AH28" s="598">
        <v>97</v>
      </c>
      <c r="AI28" s="601">
        <f t="shared" si="19"/>
        <v>3.8431061806656099E-2</v>
      </c>
      <c r="AJ28" s="597">
        <v>2576</v>
      </c>
      <c r="AK28" s="598">
        <v>87</v>
      </c>
      <c r="AL28" s="601">
        <f t="shared" si="20"/>
        <v>3.377329192546584E-2</v>
      </c>
      <c r="AM28" s="597">
        <v>2578</v>
      </c>
      <c r="AN28" s="598">
        <v>95</v>
      </c>
      <c r="AO28" s="601">
        <f t="shared" si="21"/>
        <v>3.6850271528316526E-2</v>
      </c>
      <c r="AP28" s="597">
        <v>2550</v>
      </c>
      <c r="AQ28" s="598">
        <v>101</v>
      </c>
      <c r="AR28" s="601">
        <f t="shared" si="22"/>
        <v>3.9607843137254899E-2</v>
      </c>
      <c r="AS28" s="602">
        <v>2556</v>
      </c>
      <c r="AT28" s="598">
        <v>184</v>
      </c>
      <c r="AU28" s="603">
        <f t="shared" si="23"/>
        <v>7.1987480438184662E-2</v>
      </c>
      <c r="AV28" s="597">
        <v>2473</v>
      </c>
      <c r="AW28" s="598">
        <v>193</v>
      </c>
      <c r="AX28" s="601">
        <f t="shared" si="24"/>
        <v>7.8042862919530928E-2</v>
      </c>
      <c r="AY28" s="604">
        <v>2598</v>
      </c>
      <c r="AZ28" s="605">
        <v>196</v>
      </c>
      <c r="BA28" s="606">
        <f t="shared" si="12"/>
        <v>7.544264819091609E-2</v>
      </c>
      <c r="BC28" s="607">
        <v>9230.818181818182</v>
      </c>
      <c r="BD28" s="608">
        <v>618.27272727272725</v>
      </c>
      <c r="BE28" s="606">
        <f t="shared" si="13"/>
        <v>6.6979190261869825E-2</v>
      </c>
    </row>
    <row r="29" spans="1:57" ht="15" customHeight="1">
      <c r="A29" s="587" t="s">
        <v>63</v>
      </c>
      <c r="B29" s="609" t="s">
        <v>64</v>
      </c>
      <c r="C29" s="196" t="s">
        <v>274</v>
      </c>
      <c r="D29" s="589">
        <f t="shared" si="2"/>
        <v>2.2726805923552487E-2</v>
      </c>
      <c r="E29" s="590">
        <f t="shared" si="25"/>
        <v>2.5980789260502256E-2</v>
      </c>
      <c r="F29" s="591">
        <f t="shared" si="14"/>
        <v>3.7692002493906931E-2</v>
      </c>
      <c r="G29" s="591">
        <f t="shared" si="15"/>
        <v>4.0235579040070454E-2</v>
      </c>
      <c r="H29" s="591">
        <f t="shared" si="3"/>
        <v>3.4819323353621756E-2</v>
      </c>
      <c r="I29" s="591">
        <f t="shared" si="4"/>
        <v>3.2431025507548152E-2</v>
      </c>
      <c r="J29" s="591">
        <f t="shared" si="5"/>
        <v>3.1790764362701472E-2</v>
      </c>
      <c r="K29" s="591">
        <f t="shared" si="6"/>
        <v>3.5454724022785308E-2</v>
      </c>
      <c r="L29" s="591">
        <f t="shared" si="7"/>
        <v>4.7832728661447395E-2</v>
      </c>
      <c r="M29" s="591">
        <f t="shared" si="8"/>
        <v>8.0799428979300494E-2</v>
      </c>
      <c r="N29" s="591">
        <f t="shared" si="9"/>
        <v>7.8693392724573125E-2</v>
      </c>
      <c r="O29" s="592">
        <f t="shared" si="10"/>
        <v>6.890000926698174E-2</v>
      </c>
      <c r="P29" s="593">
        <f t="shared" si="11"/>
        <v>9.3117408906882596E-2</v>
      </c>
      <c r="Q29" s="225"/>
      <c r="R29" s="594">
        <v>97374</v>
      </c>
      <c r="S29" s="595">
        <v>2213</v>
      </c>
      <c r="T29" s="596">
        <f t="shared" si="0"/>
        <v>2.2726805923552487E-2</v>
      </c>
      <c r="U29" s="597">
        <v>17282</v>
      </c>
      <c r="V29" s="598">
        <v>449</v>
      </c>
      <c r="W29" s="599">
        <f t="shared" si="1"/>
        <v>2.5980789260502256E-2</v>
      </c>
      <c r="X29" s="597">
        <v>17643</v>
      </c>
      <c r="Y29" s="598">
        <v>665</v>
      </c>
      <c r="Z29" s="600">
        <f t="shared" si="16"/>
        <v>3.7692002493906931E-2</v>
      </c>
      <c r="AA29" s="597">
        <v>18168</v>
      </c>
      <c r="AB29" s="598">
        <v>731</v>
      </c>
      <c r="AC29" s="600">
        <f t="shared" si="17"/>
        <v>4.0235579040070454E-2</v>
      </c>
      <c r="AD29" s="597">
        <v>18237</v>
      </c>
      <c r="AE29" s="598">
        <v>635</v>
      </c>
      <c r="AF29" s="601">
        <f t="shared" si="18"/>
        <v>3.4819323353621756E-2</v>
      </c>
      <c r="AG29" s="597">
        <v>19210</v>
      </c>
      <c r="AH29" s="598">
        <v>623</v>
      </c>
      <c r="AI29" s="601">
        <f t="shared" si="19"/>
        <v>3.2431025507548152E-2</v>
      </c>
      <c r="AJ29" s="597">
        <v>20226</v>
      </c>
      <c r="AK29" s="598">
        <v>643</v>
      </c>
      <c r="AL29" s="601">
        <f t="shared" si="20"/>
        <v>3.1790764362701472E-2</v>
      </c>
      <c r="AM29" s="597">
        <v>20364</v>
      </c>
      <c r="AN29" s="598">
        <v>722</v>
      </c>
      <c r="AO29" s="601">
        <f t="shared" si="21"/>
        <v>3.5454724022785308E-2</v>
      </c>
      <c r="AP29" s="597">
        <v>20948</v>
      </c>
      <c r="AQ29" s="598">
        <v>1002</v>
      </c>
      <c r="AR29" s="601">
        <f t="shared" si="22"/>
        <v>4.7832728661447395E-2</v>
      </c>
      <c r="AS29" s="602">
        <v>21015</v>
      </c>
      <c r="AT29" s="598">
        <v>1698</v>
      </c>
      <c r="AU29" s="603">
        <f t="shared" si="23"/>
        <v>8.0799428979300494E-2</v>
      </c>
      <c r="AV29" s="597">
        <v>21552</v>
      </c>
      <c r="AW29" s="598">
        <v>1696</v>
      </c>
      <c r="AX29" s="601">
        <f t="shared" si="24"/>
        <v>7.8693392724573125E-2</v>
      </c>
      <c r="AY29" s="604">
        <v>21582</v>
      </c>
      <c r="AZ29" s="605">
        <v>1487</v>
      </c>
      <c r="BA29" s="606">
        <f t="shared" si="12"/>
        <v>6.890000926698174E-2</v>
      </c>
      <c r="BC29" s="607">
        <v>2717</v>
      </c>
      <c r="BD29" s="608">
        <v>253</v>
      </c>
      <c r="BE29" s="606">
        <f t="shared" si="13"/>
        <v>9.3117408906882596E-2</v>
      </c>
    </row>
    <row r="30" spans="1:57" ht="15" customHeight="1">
      <c r="A30" s="587" t="s">
        <v>65</v>
      </c>
      <c r="B30" s="609" t="s">
        <v>66</v>
      </c>
      <c r="C30" s="196" t="s">
        <v>273</v>
      </c>
      <c r="D30" s="589">
        <f t="shared" si="2"/>
        <v>1.8083773262944594E-2</v>
      </c>
      <c r="E30" s="590">
        <f t="shared" si="25"/>
        <v>2.7877055039313797E-2</v>
      </c>
      <c r="F30" s="591">
        <f t="shared" si="14"/>
        <v>3.6636918741193049E-2</v>
      </c>
      <c r="G30" s="591">
        <f t="shared" si="15"/>
        <v>4.0387722132471729E-2</v>
      </c>
      <c r="H30" s="591">
        <f t="shared" si="3"/>
        <v>3.9041095890410958E-2</v>
      </c>
      <c r="I30" s="591">
        <f t="shared" si="4"/>
        <v>3.8478647686832741E-2</v>
      </c>
      <c r="J30" s="591">
        <f t="shared" si="5"/>
        <v>3.3779337574029393E-2</v>
      </c>
      <c r="K30" s="591">
        <f t="shared" si="6"/>
        <v>3.1567567567567567E-2</v>
      </c>
      <c r="L30" s="591">
        <f t="shared" si="7"/>
        <v>4.7497337593184238E-2</v>
      </c>
      <c r="M30" s="591">
        <f t="shared" si="8"/>
        <v>7.1840923669018605E-2</v>
      </c>
      <c r="N30" s="591">
        <f t="shared" si="9"/>
        <v>7.7763496143958874E-2</v>
      </c>
      <c r="O30" s="592">
        <f t="shared" si="10"/>
        <v>7.1311475409836067E-2</v>
      </c>
      <c r="P30" s="593">
        <f t="shared" si="11"/>
        <v>6.6777139230687871E-2</v>
      </c>
      <c r="Q30" s="225"/>
      <c r="R30" s="594">
        <v>150024</v>
      </c>
      <c r="S30" s="595">
        <v>2713</v>
      </c>
      <c r="T30" s="596">
        <f t="shared" si="0"/>
        <v>1.8083773262944594E-2</v>
      </c>
      <c r="U30" s="597">
        <v>4197</v>
      </c>
      <c r="V30" s="598">
        <v>117</v>
      </c>
      <c r="W30" s="599">
        <f t="shared" si="1"/>
        <v>2.7877055039313797E-2</v>
      </c>
      <c r="X30" s="597">
        <v>4258</v>
      </c>
      <c r="Y30" s="598">
        <v>156</v>
      </c>
      <c r="Z30" s="600">
        <f t="shared" si="16"/>
        <v>3.6636918741193049E-2</v>
      </c>
      <c r="AA30" s="597">
        <v>4333</v>
      </c>
      <c r="AB30" s="598">
        <v>175</v>
      </c>
      <c r="AC30" s="600">
        <f t="shared" si="17"/>
        <v>4.0387722132471729E-2</v>
      </c>
      <c r="AD30" s="597">
        <v>4380</v>
      </c>
      <c r="AE30" s="598">
        <v>171</v>
      </c>
      <c r="AF30" s="601">
        <f t="shared" si="18"/>
        <v>3.9041095890410958E-2</v>
      </c>
      <c r="AG30" s="597">
        <v>4496</v>
      </c>
      <c r="AH30" s="598">
        <v>173</v>
      </c>
      <c r="AI30" s="601">
        <f t="shared" si="19"/>
        <v>3.8478647686832741E-2</v>
      </c>
      <c r="AJ30" s="597">
        <v>4559</v>
      </c>
      <c r="AK30" s="598">
        <v>154</v>
      </c>
      <c r="AL30" s="601">
        <f t="shared" si="20"/>
        <v>3.3779337574029393E-2</v>
      </c>
      <c r="AM30" s="597">
        <v>4625</v>
      </c>
      <c r="AN30" s="598">
        <v>146</v>
      </c>
      <c r="AO30" s="601">
        <f t="shared" si="21"/>
        <v>3.1567567567567567E-2</v>
      </c>
      <c r="AP30" s="597">
        <v>4695</v>
      </c>
      <c r="AQ30" s="598">
        <v>223</v>
      </c>
      <c r="AR30" s="601">
        <f t="shared" si="22"/>
        <v>4.7497337593184238E-2</v>
      </c>
      <c r="AS30" s="602">
        <v>4677</v>
      </c>
      <c r="AT30" s="598">
        <v>336</v>
      </c>
      <c r="AU30" s="603">
        <f t="shared" si="23"/>
        <v>7.1840923669018605E-2</v>
      </c>
      <c r="AV30" s="597">
        <v>4668</v>
      </c>
      <c r="AW30" s="598">
        <v>363</v>
      </c>
      <c r="AX30" s="601">
        <f t="shared" si="24"/>
        <v>7.7763496143958874E-2</v>
      </c>
      <c r="AY30" s="604">
        <v>4880</v>
      </c>
      <c r="AZ30" s="605">
        <v>348</v>
      </c>
      <c r="BA30" s="606">
        <f t="shared" si="12"/>
        <v>7.1311475409836067E-2</v>
      </c>
      <c r="BC30" s="607">
        <v>2578.4545454545455</v>
      </c>
      <c r="BD30" s="608">
        <v>172.18181818181819</v>
      </c>
      <c r="BE30" s="606">
        <f t="shared" si="13"/>
        <v>6.6777139230687871E-2</v>
      </c>
    </row>
    <row r="31" spans="1:57" ht="15" customHeight="1">
      <c r="A31" s="587" t="s">
        <v>69</v>
      </c>
      <c r="B31" s="609" t="s">
        <v>70</v>
      </c>
      <c r="C31" s="196" t="s">
        <v>275</v>
      </c>
      <c r="D31" s="589">
        <f t="shared" si="2"/>
        <v>1.5729682493445966E-2</v>
      </c>
      <c r="E31" s="590">
        <f t="shared" si="25"/>
        <v>6.987378818364734E-2</v>
      </c>
      <c r="F31" s="591">
        <f t="shared" si="14"/>
        <v>7.804792107117689E-2</v>
      </c>
      <c r="G31" s="591">
        <f t="shared" si="15"/>
        <v>8.4341455103083995E-2</v>
      </c>
      <c r="H31" s="591">
        <f t="shared" si="3"/>
        <v>6.1293179805137286E-2</v>
      </c>
      <c r="I31" s="591">
        <f t="shared" si="4"/>
        <v>6.3236313236313235E-2</v>
      </c>
      <c r="J31" s="591">
        <f t="shared" si="5"/>
        <v>4.9991229608840553E-2</v>
      </c>
      <c r="K31" s="591">
        <f t="shared" si="6"/>
        <v>5.1502145922746781E-2</v>
      </c>
      <c r="L31" s="591">
        <f t="shared" si="7"/>
        <v>5.6846267918932276E-2</v>
      </c>
      <c r="M31" s="591">
        <f t="shared" si="8"/>
        <v>9.0112640801001245E-2</v>
      </c>
      <c r="N31" s="591">
        <f t="shared" si="9"/>
        <v>8.428143712574851E-2</v>
      </c>
      <c r="O31" s="592">
        <f t="shared" si="10"/>
        <v>8.058005680968755E-2</v>
      </c>
      <c r="P31" s="593">
        <f t="shared" si="11"/>
        <v>8.6219217238346524E-2</v>
      </c>
      <c r="Q31" s="225"/>
      <c r="R31" s="594">
        <v>6866</v>
      </c>
      <c r="S31" s="595">
        <v>108</v>
      </c>
      <c r="T31" s="596">
        <f t="shared" si="0"/>
        <v>1.5729682493445966E-2</v>
      </c>
      <c r="U31" s="597">
        <v>5467</v>
      </c>
      <c r="V31" s="598">
        <v>382</v>
      </c>
      <c r="W31" s="599">
        <f t="shared" si="1"/>
        <v>6.987378818364734E-2</v>
      </c>
      <c r="X31" s="597">
        <v>5676</v>
      </c>
      <c r="Y31" s="598">
        <v>443</v>
      </c>
      <c r="Z31" s="600">
        <f t="shared" si="16"/>
        <v>7.804792107117689E-2</v>
      </c>
      <c r="AA31" s="597">
        <v>5869</v>
      </c>
      <c r="AB31" s="598">
        <v>495</v>
      </c>
      <c r="AC31" s="600">
        <f t="shared" si="17"/>
        <v>8.4341455103083995E-2</v>
      </c>
      <c r="AD31" s="597">
        <v>5645</v>
      </c>
      <c r="AE31" s="598">
        <v>346</v>
      </c>
      <c r="AF31" s="601">
        <f t="shared" si="18"/>
        <v>6.1293179805137286E-2</v>
      </c>
      <c r="AG31" s="597">
        <v>5772</v>
      </c>
      <c r="AH31" s="598">
        <v>365</v>
      </c>
      <c r="AI31" s="601">
        <f t="shared" si="19"/>
        <v>6.3236313236313235E-2</v>
      </c>
      <c r="AJ31" s="597">
        <v>5701</v>
      </c>
      <c r="AK31" s="598">
        <v>285</v>
      </c>
      <c r="AL31" s="601">
        <f t="shared" si="20"/>
        <v>4.9991229608840553E-2</v>
      </c>
      <c r="AM31" s="597">
        <v>5825</v>
      </c>
      <c r="AN31" s="598">
        <v>300</v>
      </c>
      <c r="AO31" s="601">
        <f t="shared" si="21"/>
        <v>5.1502145922746781E-2</v>
      </c>
      <c r="AP31" s="597">
        <v>6069</v>
      </c>
      <c r="AQ31" s="598">
        <v>345</v>
      </c>
      <c r="AR31" s="601">
        <f t="shared" si="22"/>
        <v>5.6846267918932276E-2</v>
      </c>
      <c r="AS31" s="602">
        <v>6392</v>
      </c>
      <c r="AT31" s="598">
        <v>576</v>
      </c>
      <c r="AU31" s="603">
        <f t="shared" si="23"/>
        <v>9.0112640801001245E-2</v>
      </c>
      <c r="AV31" s="597">
        <v>6680</v>
      </c>
      <c r="AW31" s="598">
        <v>563</v>
      </c>
      <c r="AX31" s="601">
        <f t="shared" si="24"/>
        <v>8.428143712574851E-2</v>
      </c>
      <c r="AY31" s="604">
        <v>6689</v>
      </c>
      <c r="AZ31" s="605">
        <v>539</v>
      </c>
      <c r="BA31" s="606">
        <f t="shared" si="12"/>
        <v>8.058005680968755E-2</v>
      </c>
      <c r="BC31" s="607">
        <v>6615.272727272727</v>
      </c>
      <c r="BD31" s="608">
        <v>570.36363636363637</v>
      </c>
      <c r="BE31" s="606">
        <f t="shared" si="13"/>
        <v>8.6219217238346524E-2</v>
      </c>
    </row>
    <row r="32" spans="1:57" ht="15" customHeight="1">
      <c r="A32" s="587" t="s">
        <v>71</v>
      </c>
      <c r="B32" s="609" t="s">
        <v>72</v>
      </c>
      <c r="C32" s="196" t="s">
        <v>271</v>
      </c>
      <c r="D32" s="589">
        <f t="shared" si="2"/>
        <v>2.2416812609457094E-2</v>
      </c>
      <c r="E32" s="590">
        <f t="shared" si="25"/>
        <v>3.0168440459230703E-2</v>
      </c>
      <c r="F32" s="591">
        <f t="shared" si="14"/>
        <v>3.9805505192022417E-2</v>
      </c>
      <c r="G32" s="591">
        <f t="shared" si="15"/>
        <v>4.0508598907816447E-2</v>
      </c>
      <c r="H32" s="591">
        <f t="shared" si="3"/>
        <v>3.8051750380517502E-2</v>
      </c>
      <c r="I32" s="591">
        <f t="shared" si="4"/>
        <v>4.0578798364265492E-2</v>
      </c>
      <c r="J32" s="591">
        <f t="shared" si="5"/>
        <v>3.1075201988812928E-2</v>
      </c>
      <c r="K32" s="591">
        <f t="shared" si="6"/>
        <v>3.3952049497293114E-2</v>
      </c>
      <c r="L32" s="591">
        <f t="shared" si="7"/>
        <v>4.5068285280728378E-2</v>
      </c>
      <c r="M32" s="591">
        <f t="shared" si="8"/>
        <v>7.8866018246248962E-2</v>
      </c>
      <c r="N32" s="591">
        <f t="shared" si="9"/>
        <v>7.7139596804868774E-2</v>
      </c>
      <c r="O32" s="592">
        <f t="shared" si="10"/>
        <v>6.7222143765004946E-2</v>
      </c>
      <c r="P32" s="593">
        <f t="shared" si="11"/>
        <v>6.3523885897582774E-2</v>
      </c>
      <c r="Q32" s="225"/>
      <c r="R32" s="594">
        <v>8565</v>
      </c>
      <c r="S32" s="595">
        <v>192</v>
      </c>
      <c r="T32" s="596">
        <f t="shared" si="0"/>
        <v>2.2416812609457094E-2</v>
      </c>
      <c r="U32" s="597">
        <v>11933</v>
      </c>
      <c r="V32" s="598">
        <v>360</v>
      </c>
      <c r="W32" s="599">
        <f t="shared" si="1"/>
        <v>3.0168440459230703E-2</v>
      </c>
      <c r="X32" s="597">
        <v>12134</v>
      </c>
      <c r="Y32" s="598">
        <v>483</v>
      </c>
      <c r="Z32" s="600">
        <f t="shared" si="16"/>
        <v>3.9805505192022417E-2</v>
      </c>
      <c r="AA32" s="597">
        <v>12269</v>
      </c>
      <c r="AB32" s="598">
        <v>497</v>
      </c>
      <c r="AC32" s="600">
        <f t="shared" si="17"/>
        <v>4.0508598907816447E-2</v>
      </c>
      <c r="AD32" s="597">
        <v>12483</v>
      </c>
      <c r="AE32" s="598">
        <v>475</v>
      </c>
      <c r="AF32" s="601">
        <f t="shared" si="18"/>
        <v>3.8051750380517502E-2</v>
      </c>
      <c r="AG32" s="597">
        <v>12716</v>
      </c>
      <c r="AH32" s="598">
        <v>516</v>
      </c>
      <c r="AI32" s="601">
        <f t="shared" si="19"/>
        <v>4.0578798364265492E-2</v>
      </c>
      <c r="AJ32" s="597">
        <v>12872</v>
      </c>
      <c r="AK32" s="598">
        <v>400</v>
      </c>
      <c r="AL32" s="601">
        <f t="shared" si="20"/>
        <v>3.1075201988812928E-2</v>
      </c>
      <c r="AM32" s="597">
        <v>12930</v>
      </c>
      <c r="AN32" s="598">
        <v>439</v>
      </c>
      <c r="AO32" s="601">
        <f t="shared" si="21"/>
        <v>3.3952049497293114E-2</v>
      </c>
      <c r="AP32" s="597">
        <v>13180</v>
      </c>
      <c r="AQ32" s="598">
        <v>594</v>
      </c>
      <c r="AR32" s="601">
        <f t="shared" si="22"/>
        <v>4.5068285280728378E-2</v>
      </c>
      <c r="AS32" s="602">
        <v>13263</v>
      </c>
      <c r="AT32" s="598">
        <v>1046</v>
      </c>
      <c r="AU32" s="603">
        <f t="shared" si="23"/>
        <v>7.8866018246248962E-2</v>
      </c>
      <c r="AV32" s="597">
        <v>13145</v>
      </c>
      <c r="AW32" s="598">
        <v>1014</v>
      </c>
      <c r="AX32" s="601">
        <f t="shared" si="24"/>
        <v>7.7139596804868774E-2</v>
      </c>
      <c r="AY32" s="604">
        <v>14162</v>
      </c>
      <c r="AZ32" s="605">
        <v>952</v>
      </c>
      <c r="BA32" s="606">
        <f t="shared" si="12"/>
        <v>6.7222143765004946E-2</v>
      </c>
      <c r="BC32" s="607">
        <v>14283.818181818182</v>
      </c>
      <c r="BD32" s="608">
        <v>907.36363636363637</v>
      </c>
      <c r="BE32" s="606">
        <f t="shared" si="13"/>
        <v>6.3523885897582774E-2</v>
      </c>
    </row>
    <row r="33" spans="1:57" ht="15" customHeight="1">
      <c r="A33" s="587" t="s">
        <v>73</v>
      </c>
      <c r="B33" s="609" t="s">
        <v>74</v>
      </c>
      <c r="C33" s="196" t="s">
        <v>273</v>
      </c>
      <c r="D33" s="589">
        <f t="shared" si="2"/>
        <v>3.9208882720333099E-2</v>
      </c>
      <c r="E33" s="590">
        <f t="shared" si="25"/>
        <v>3.2276546982429336E-2</v>
      </c>
      <c r="F33" s="591">
        <f t="shared" si="14"/>
        <v>4.4029850746268653E-2</v>
      </c>
      <c r="G33" s="591">
        <f t="shared" si="15"/>
        <v>5.3873304848597439E-2</v>
      </c>
      <c r="H33" s="591">
        <f t="shared" si="3"/>
        <v>4.200442151805453E-2</v>
      </c>
      <c r="I33" s="591">
        <f t="shared" si="4"/>
        <v>4.5964331678617396E-2</v>
      </c>
      <c r="J33" s="591">
        <f t="shared" si="5"/>
        <v>3.8538812785388128E-2</v>
      </c>
      <c r="K33" s="591">
        <f t="shared" si="6"/>
        <v>3.6172906493036713E-2</v>
      </c>
      <c r="L33" s="591">
        <f t="shared" si="7"/>
        <v>5.1718030464045342E-2</v>
      </c>
      <c r="M33" s="591">
        <f t="shared" si="8"/>
        <v>8.1632653061224483E-2</v>
      </c>
      <c r="N33" s="591">
        <f t="shared" si="9"/>
        <v>8.802698145025295E-2</v>
      </c>
      <c r="O33" s="592">
        <f t="shared" si="10"/>
        <v>8.1827658095899924E-2</v>
      </c>
      <c r="P33" s="593">
        <f t="shared" si="11"/>
        <v>7.5493302381027069E-2</v>
      </c>
      <c r="Q33" s="225"/>
      <c r="R33" s="594">
        <v>2882</v>
      </c>
      <c r="S33" s="595">
        <v>113</v>
      </c>
      <c r="T33" s="596">
        <f t="shared" si="0"/>
        <v>3.9208882720333099E-2</v>
      </c>
      <c r="U33" s="597">
        <v>5236</v>
      </c>
      <c r="V33" s="598">
        <v>169</v>
      </c>
      <c r="W33" s="599">
        <f t="shared" si="1"/>
        <v>3.2276546982429336E-2</v>
      </c>
      <c r="X33" s="597">
        <v>5360</v>
      </c>
      <c r="Y33" s="598">
        <v>236</v>
      </c>
      <c r="Z33" s="600">
        <f t="shared" si="16"/>
        <v>4.4029850746268653E-2</v>
      </c>
      <c r="AA33" s="597">
        <v>5383</v>
      </c>
      <c r="AB33" s="598">
        <v>290</v>
      </c>
      <c r="AC33" s="600">
        <f t="shared" si="17"/>
        <v>5.3873304848597439E-2</v>
      </c>
      <c r="AD33" s="597">
        <v>5428</v>
      </c>
      <c r="AE33" s="598">
        <v>228</v>
      </c>
      <c r="AF33" s="601">
        <f t="shared" si="18"/>
        <v>4.200442151805453E-2</v>
      </c>
      <c r="AG33" s="597">
        <v>5439</v>
      </c>
      <c r="AH33" s="598">
        <v>250</v>
      </c>
      <c r="AI33" s="601">
        <f t="shared" si="19"/>
        <v>4.5964331678617396E-2</v>
      </c>
      <c r="AJ33" s="597">
        <v>5475</v>
      </c>
      <c r="AK33" s="598">
        <v>211</v>
      </c>
      <c r="AL33" s="601">
        <f t="shared" si="20"/>
        <v>3.8538812785388128E-2</v>
      </c>
      <c r="AM33" s="597">
        <v>5529</v>
      </c>
      <c r="AN33" s="598">
        <v>200</v>
      </c>
      <c r="AO33" s="601">
        <f t="shared" si="21"/>
        <v>3.6172906493036713E-2</v>
      </c>
      <c r="AP33" s="597">
        <v>5646</v>
      </c>
      <c r="AQ33" s="598">
        <v>292</v>
      </c>
      <c r="AR33" s="601">
        <f t="shared" si="22"/>
        <v>5.1718030464045342E-2</v>
      </c>
      <c r="AS33" s="602">
        <v>5782</v>
      </c>
      <c r="AT33" s="598">
        <v>472</v>
      </c>
      <c r="AU33" s="603">
        <f t="shared" si="23"/>
        <v>8.1632653061224483E-2</v>
      </c>
      <c r="AV33" s="597">
        <v>5930</v>
      </c>
      <c r="AW33" s="598">
        <v>522</v>
      </c>
      <c r="AX33" s="601">
        <f t="shared" si="24"/>
        <v>8.802698145025295E-2</v>
      </c>
      <c r="AY33" s="604">
        <v>5756</v>
      </c>
      <c r="AZ33" s="605">
        <v>471</v>
      </c>
      <c r="BA33" s="606">
        <f t="shared" si="12"/>
        <v>8.1827658095899924E-2</v>
      </c>
      <c r="BC33" s="607">
        <v>5795.818181818182</v>
      </c>
      <c r="BD33" s="608">
        <v>437.54545454545456</v>
      </c>
      <c r="BE33" s="606">
        <f t="shared" si="13"/>
        <v>7.5493302381027069E-2</v>
      </c>
    </row>
    <row r="34" spans="1:57">
      <c r="A34" s="587" t="s">
        <v>75</v>
      </c>
      <c r="B34" s="609" t="s">
        <v>850</v>
      </c>
      <c r="C34" s="196" t="s">
        <v>274</v>
      </c>
      <c r="D34" s="589">
        <f t="shared" si="2"/>
        <v>2.4115755627009645E-2</v>
      </c>
      <c r="E34" s="590">
        <f t="shared" si="25"/>
        <v>2.5071257911724022E-2</v>
      </c>
      <c r="F34" s="591">
        <f t="shared" si="14"/>
        <v>3.3457909420529626E-2</v>
      </c>
      <c r="G34" s="591">
        <f t="shared" si="15"/>
        <v>3.0671264015172645E-2</v>
      </c>
      <c r="H34" s="591">
        <f t="shared" si="3"/>
        <v>2.6978136364962577E-2</v>
      </c>
      <c r="I34" s="591">
        <f t="shared" si="4"/>
        <v>2.5340650894356085E-2</v>
      </c>
      <c r="J34" s="591">
        <f t="shared" si="5"/>
        <v>2.1827868062959385E-2</v>
      </c>
      <c r="K34" s="591">
        <f t="shared" si="6"/>
        <v>2.1617136673748663E-2</v>
      </c>
      <c r="L34" s="591">
        <f t="shared" si="7"/>
        <v>2.8507289323165694E-2</v>
      </c>
      <c r="M34" s="591">
        <f t="shared" si="8"/>
        <v>4.7375248332822903E-2</v>
      </c>
      <c r="N34" s="591">
        <f t="shared" si="9"/>
        <v>4.9474177817681902E-2</v>
      </c>
      <c r="O34" s="592">
        <f t="shared" si="10"/>
        <v>4.3690069737033273E-2</v>
      </c>
      <c r="P34" s="593">
        <f t="shared" si="11"/>
        <v>4.0666898298158484E-2</v>
      </c>
      <c r="Q34" s="225"/>
      <c r="R34" s="610">
        <v>2488</v>
      </c>
      <c r="S34" s="611">
        <v>60</v>
      </c>
      <c r="T34" s="612">
        <f t="shared" si="0"/>
        <v>2.4115755627009645E-2</v>
      </c>
      <c r="U34" s="613">
        <v>572568</v>
      </c>
      <c r="V34" s="614">
        <v>14355</v>
      </c>
      <c r="W34" s="599">
        <f t="shared" si="1"/>
        <v>2.5071257911724022E-2</v>
      </c>
      <c r="X34" s="613">
        <v>574214</v>
      </c>
      <c r="Y34" s="614">
        <v>19212</v>
      </c>
      <c r="Z34" s="600">
        <f t="shared" si="16"/>
        <v>3.3457909420529626E-2</v>
      </c>
      <c r="AA34" s="613">
        <v>573664</v>
      </c>
      <c r="AB34" s="614">
        <v>17595</v>
      </c>
      <c r="AC34" s="600">
        <f t="shared" si="17"/>
        <v>3.0671264015172645E-2</v>
      </c>
      <c r="AD34" s="613">
        <v>582657</v>
      </c>
      <c r="AE34" s="614">
        <v>15719</v>
      </c>
      <c r="AF34" s="601">
        <f t="shared" si="18"/>
        <v>2.6978136364962577E-2</v>
      </c>
      <c r="AG34" s="613">
        <v>593276</v>
      </c>
      <c r="AH34" s="614">
        <v>15034</v>
      </c>
      <c r="AI34" s="601">
        <f t="shared" si="19"/>
        <v>2.5340650894356085E-2</v>
      </c>
      <c r="AJ34" s="613">
        <v>602166</v>
      </c>
      <c r="AK34" s="614">
        <v>13144</v>
      </c>
      <c r="AL34" s="601">
        <f t="shared" si="20"/>
        <v>2.1827868062959385E-2</v>
      </c>
      <c r="AM34" s="613">
        <v>606232</v>
      </c>
      <c r="AN34" s="614">
        <v>13105</v>
      </c>
      <c r="AO34" s="601">
        <f t="shared" si="21"/>
        <v>2.1617136673748663E-2</v>
      </c>
      <c r="AP34" s="613">
        <v>613843</v>
      </c>
      <c r="AQ34" s="614">
        <v>17499</v>
      </c>
      <c r="AR34" s="601">
        <f t="shared" si="22"/>
        <v>2.8507289323165694E-2</v>
      </c>
      <c r="AS34" s="615">
        <v>623659</v>
      </c>
      <c r="AT34" s="614">
        <v>29546</v>
      </c>
      <c r="AU34" s="603">
        <f t="shared" si="23"/>
        <v>4.7375248332822903E-2</v>
      </c>
      <c r="AV34" s="613">
        <v>624831</v>
      </c>
      <c r="AW34" s="614">
        <v>30913</v>
      </c>
      <c r="AX34" s="601">
        <f t="shared" si="24"/>
        <v>4.9474177817681902E-2</v>
      </c>
      <c r="AY34" s="604">
        <v>660768</v>
      </c>
      <c r="AZ34" s="605">
        <v>28869</v>
      </c>
      <c r="BA34" s="606">
        <f t="shared" si="12"/>
        <v>4.3690069737033273E-2</v>
      </c>
      <c r="BC34" s="607">
        <v>671390.36363636353</v>
      </c>
      <c r="BD34" s="608">
        <v>27303.363636363636</v>
      </c>
      <c r="BE34" s="606">
        <f t="shared" si="13"/>
        <v>4.0666898298158484E-2</v>
      </c>
    </row>
    <row r="35" spans="1:57" ht="15" customHeight="1">
      <c r="A35" s="587" t="s">
        <v>77</v>
      </c>
      <c r="B35" s="609" t="s">
        <v>78</v>
      </c>
      <c r="C35" s="196" t="s">
        <v>274</v>
      </c>
      <c r="D35" s="589">
        <f t="shared" si="2"/>
        <v>4.3566219713008704E-2</v>
      </c>
      <c r="E35" s="590">
        <f t="shared" si="25"/>
        <v>2.1385882732999517E-2</v>
      </c>
      <c r="F35" s="591">
        <f t="shared" si="14"/>
        <v>3.0731234564041643E-2</v>
      </c>
      <c r="G35" s="591">
        <f t="shared" si="15"/>
        <v>3.1034693006523992E-2</v>
      </c>
      <c r="H35" s="591">
        <f t="shared" si="3"/>
        <v>2.7431713166052522E-2</v>
      </c>
      <c r="I35" s="591">
        <f t="shared" si="4"/>
        <v>2.622529146979059E-2</v>
      </c>
      <c r="J35" s="591">
        <f t="shared" si="5"/>
        <v>2.3934221595072046E-2</v>
      </c>
      <c r="K35" s="591">
        <f t="shared" si="6"/>
        <v>2.4682727468272748E-2</v>
      </c>
      <c r="L35" s="591">
        <f t="shared" si="7"/>
        <v>3.3276021690252615E-2</v>
      </c>
      <c r="M35" s="591">
        <f t="shared" si="8"/>
        <v>5.3499012165956122E-2</v>
      </c>
      <c r="N35" s="591">
        <f t="shared" si="9"/>
        <v>5.6308654848800835E-2</v>
      </c>
      <c r="O35" s="592">
        <f t="shared" si="10"/>
        <v>4.8779180402562246E-2</v>
      </c>
      <c r="P35" s="593">
        <f t="shared" si="11"/>
        <v>4.53606565635968E-2</v>
      </c>
      <c r="Q35" s="225"/>
      <c r="R35" s="594">
        <v>21255</v>
      </c>
      <c r="S35" s="595">
        <v>926</v>
      </c>
      <c r="T35" s="596">
        <f t="shared" si="0"/>
        <v>4.3566219713008704E-2</v>
      </c>
      <c r="U35" s="597">
        <v>30955</v>
      </c>
      <c r="V35" s="598">
        <v>662</v>
      </c>
      <c r="W35" s="599">
        <f t="shared" si="1"/>
        <v>2.1385882732999517E-2</v>
      </c>
      <c r="X35" s="597">
        <v>31987</v>
      </c>
      <c r="Y35" s="598">
        <v>983</v>
      </c>
      <c r="Z35" s="600">
        <f t="shared" si="16"/>
        <v>3.0731234564041643E-2</v>
      </c>
      <c r="AA35" s="597">
        <v>32802</v>
      </c>
      <c r="AB35" s="598">
        <v>1018</v>
      </c>
      <c r="AC35" s="600">
        <f t="shared" si="17"/>
        <v>3.1034693006523992E-2</v>
      </c>
      <c r="AD35" s="597">
        <v>34194</v>
      </c>
      <c r="AE35" s="598">
        <v>938</v>
      </c>
      <c r="AF35" s="601">
        <f t="shared" si="18"/>
        <v>2.7431713166052522E-2</v>
      </c>
      <c r="AG35" s="597">
        <v>35767</v>
      </c>
      <c r="AH35" s="598">
        <v>938</v>
      </c>
      <c r="AI35" s="601">
        <f t="shared" si="19"/>
        <v>2.622529146979059E-2</v>
      </c>
      <c r="AJ35" s="597">
        <v>36851</v>
      </c>
      <c r="AK35" s="598">
        <v>882</v>
      </c>
      <c r="AL35" s="601">
        <f t="shared" si="20"/>
        <v>2.3934221595072046E-2</v>
      </c>
      <c r="AM35" s="597">
        <v>37192</v>
      </c>
      <c r="AN35" s="598">
        <v>918</v>
      </c>
      <c r="AO35" s="601">
        <f t="shared" si="21"/>
        <v>2.4682727468272748E-2</v>
      </c>
      <c r="AP35" s="597">
        <v>37805</v>
      </c>
      <c r="AQ35" s="598">
        <v>1258</v>
      </c>
      <c r="AR35" s="601">
        <f t="shared" si="22"/>
        <v>3.3276021690252615E-2</v>
      </c>
      <c r="AS35" s="602">
        <v>38468</v>
      </c>
      <c r="AT35" s="598">
        <v>2058</v>
      </c>
      <c r="AU35" s="603">
        <f t="shared" si="23"/>
        <v>5.3499012165956122E-2</v>
      </c>
      <c r="AV35" s="597">
        <v>38360</v>
      </c>
      <c r="AW35" s="598">
        <v>2160</v>
      </c>
      <c r="AX35" s="601">
        <f t="shared" si="24"/>
        <v>5.6308654848800835E-2</v>
      </c>
      <c r="AY35" s="604">
        <v>37311</v>
      </c>
      <c r="AZ35" s="605">
        <v>1820</v>
      </c>
      <c r="BA35" s="606">
        <f t="shared" si="12"/>
        <v>4.8779180402562246E-2</v>
      </c>
      <c r="BC35" s="607">
        <v>37894.272727272728</v>
      </c>
      <c r="BD35" s="608">
        <v>1718.909090909091</v>
      </c>
      <c r="BE35" s="606">
        <f t="shared" si="13"/>
        <v>4.53606565635968E-2</v>
      </c>
    </row>
    <row r="36" spans="1:57" ht="15" customHeight="1">
      <c r="A36" s="587" t="s">
        <v>79</v>
      </c>
      <c r="B36" s="609" t="s">
        <v>80</v>
      </c>
      <c r="C36" s="196" t="s">
        <v>275</v>
      </c>
      <c r="D36" s="589">
        <f t="shared" si="2"/>
        <v>5.7598499061913694E-2</v>
      </c>
      <c r="E36" s="590">
        <f t="shared" si="25"/>
        <v>4.2771349055221911E-2</v>
      </c>
      <c r="F36" s="591">
        <f t="shared" si="14"/>
        <v>4.3695748124172429E-2</v>
      </c>
      <c r="G36" s="591">
        <f t="shared" si="15"/>
        <v>4.0195545898967955E-2</v>
      </c>
      <c r="H36" s="591">
        <f t="shared" si="3"/>
        <v>4.0022870211549454E-2</v>
      </c>
      <c r="I36" s="591">
        <f t="shared" si="4"/>
        <v>3.6302708740575257E-2</v>
      </c>
      <c r="J36" s="591">
        <f t="shared" si="5"/>
        <v>3.2038559682449674E-2</v>
      </c>
      <c r="K36" s="591">
        <f t="shared" si="6"/>
        <v>3.4376746785913917E-2</v>
      </c>
      <c r="L36" s="591">
        <f t="shared" si="7"/>
        <v>4.3873131200223556E-2</v>
      </c>
      <c r="M36" s="591">
        <f t="shared" si="8"/>
        <v>7.6912605499591613E-2</v>
      </c>
      <c r="N36" s="591">
        <f t="shared" si="9"/>
        <v>7.5298804780876499E-2</v>
      </c>
      <c r="O36" s="592">
        <f t="shared" si="10"/>
        <v>6.7919075144508664E-2</v>
      </c>
      <c r="P36" s="593">
        <f t="shared" si="11"/>
        <v>5.8903261237891587E-2</v>
      </c>
      <c r="Q36" s="225"/>
      <c r="R36" s="594">
        <v>5330</v>
      </c>
      <c r="S36" s="595">
        <v>307</v>
      </c>
      <c r="T36" s="596">
        <f t="shared" si="0"/>
        <v>5.7598499061913694E-2</v>
      </c>
      <c r="U36" s="597">
        <v>6827</v>
      </c>
      <c r="V36" s="598">
        <v>292</v>
      </c>
      <c r="W36" s="599">
        <f t="shared" si="1"/>
        <v>4.2771349055221911E-2</v>
      </c>
      <c r="X36" s="597">
        <v>6797</v>
      </c>
      <c r="Y36" s="598">
        <v>297</v>
      </c>
      <c r="Z36" s="600">
        <f t="shared" si="16"/>
        <v>4.3695748124172429E-2</v>
      </c>
      <c r="AA36" s="597">
        <v>7364</v>
      </c>
      <c r="AB36" s="598">
        <v>296</v>
      </c>
      <c r="AC36" s="600">
        <f t="shared" si="17"/>
        <v>4.0195545898967955E-2</v>
      </c>
      <c r="AD36" s="597">
        <v>6996</v>
      </c>
      <c r="AE36" s="598">
        <v>280</v>
      </c>
      <c r="AF36" s="601">
        <f t="shared" si="18"/>
        <v>4.0022870211549454E-2</v>
      </c>
      <c r="AG36" s="597">
        <v>7162</v>
      </c>
      <c r="AH36" s="598">
        <v>260</v>
      </c>
      <c r="AI36" s="601">
        <f t="shared" si="19"/>
        <v>3.6302708740575257E-2</v>
      </c>
      <c r="AJ36" s="597">
        <v>7054</v>
      </c>
      <c r="AK36" s="598">
        <v>226</v>
      </c>
      <c r="AL36" s="601">
        <f t="shared" si="20"/>
        <v>3.2038559682449674E-2</v>
      </c>
      <c r="AM36" s="597">
        <v>7156</v>
      </c>
      <c r="AN36" s="598">
        <v>246</v>
      </c>
      <c r="AO36" s="601">
        <f t="shared" si="21"/>
        <v>3.4376746785913917E-2</v>
      </c>
      <c r="AP36" s="597">
        <v>7157</v>
      </c>
      <c r="AQ36" s="598">
        <v>314</v>
      </c>
      <c r="AR36" s="601">
        <f t="shared" si="22"/>
        <v>4.3873131200223556E-2</v>
      </c>
      <c r="AS36" s="602">
        <v>7346</v>
      </c>
      <c r="AT36" s="598">
        <v>565</v>
      </c>
      <c r="AU36" s="603">
        <f t="shared" si="23"/>
        <v>7.6912605499591613E-2</v>
      </c>
      <c r="AV36" s="597">
        <v>7530</v>
      </c>
      <c r="AW36" s="598">
        <v>567</v>
      </c>
      <c r="AX36" s="601">
        <f t="shared" si="24"/>
        <v>7.5298804780876499E-2</v>
      </c>
      <c r="AY36" s="604">
        <v>7612</v>
      </c>
      <c r="AZ36" s="605">
        <v>517</v>
      </c>
      <c r="BA36" s="606">
        <f t="shared" si="12"/>
        <v>6.7919075144508664E-2</v>
      </c>
      <c r="BC36" s="607">
        <v>7780.090909090909</v>
      </c>
      <c r="BD36" s="608">
        <v>458.27272727272725</v>
      </c>
      <c r="BE36" s="606">
        <f t="shared" si="13"/>
        <v>5.8903261237891587E-2</v>
      </c>
    </row>
    <row r="37" spans="1:57" ht="15" customHeight="1">
      <c r="A37" s="587" t="s">
        <v>81</v>
      </c>
      <c r="B37" s="609" t="s">
        <v>82</v>
      </c>
      <c r="C37" s="196" t="s">
        <v>273</v>
      </c>
      <c r="D37" s="589">
        <f t="shared" si="2"/>
        <v>2.0810697868783954E-2</v>
      </c>
      <c r="E37" s="590">
        <f t="shared" si="25"/>
        <v>2.481834481457016E-2</v>
      </c>
      <c r="F37" s="591">
        <f t="shared" si="14"/>
        <v>3.1975199291408324E-2</v>
      </c>
      <c r="G37" s="591">
        <f t="shared" si="15"/>
        <v>3.4188034188034191E-2</v>
      </c>
      <c r="H37" s="591">
        <f t="shared" si="3"/>
        <v>3.0305505636333933E-2</v>
      </c>
      <c r="I37" s="591">
        <f t="shared" si="4"/>
        <v>3.0033284309931109E-2</v>
      </c>
      <c r="J37" s="591">
        <f t="shared" si="5"/>
        <v>2.319549429376019E-2</v>
      </c>
      <c r="K37" s="591">
        <f t="shared" si="6"/>
        <v>2.3244099021301094E-2</v>
      </c>
      <c r="L37" s="591">
        <f t="shared" si="7"/>
        <v>3.2855225040627427E-2</v>
      </c>
      <c r="M37" s="591">
        <f t="shared" si="8"/>
        <v>5.6454437206696087E-2</v>
      </c>
      <c r="N37" s="591">
        <f t="shared" si="9"/>
        <v>5.764747439067467E-2</v>
      </c>
      <c r="O37" s="592">
        <f t="shared" si="10"/>
        <v>5.1992462837602067E-2</v>
      </c>
      <c r="P37" s="593">
        <f t="shared" si="11"/>
        <v>4.5023696682464455E-2</v>
      </c>
      <c r="Q37" s="225"/>
      <c r="R37" s="594">
        <v>11965</v>
      </c>
      <c r="S37" s="595">
        <v>249</v>
      </c>
      <c r="T37" s="596">
        <f t="shared" si="0"/>
        <v>2.0810697868783954E-2</v>
      </c>
      <c r="U37" s="597">
        <v>10597</v>
      </c>
      <c r="V37" s="598">
        <v>263</v>
      </c>
      <c r="W37" s="599">
        <f t="shared" si="1"/>
        <v>2.481834481457016E-2</v>
      </c>
      <c r="X37" s="597">
        <v>11290</v>
      </c>
      <c r="Y37" s="598">
        <v>361</v>
      </c>
      <c r="Z37" s="600">
        <f t="shared" si="16"/>
        <v>3.1975199291408324E-2</v>
      </c>
      <c r="AA37" s="597">
        <v>11817</v>
      </c>
      <c r="AB37" s="598">
        <v>404</v>
      </c>
      <c r="AC37" s="600">
        <f t="shared" si="17"/>
        <v>3.4188034188034191E-2</v>
      </c>
      <c r="AD37" s="597">
        <v>12242</v>
      </c>
      <c r="AE37" s="598">
        <v>371</v>
      </c>
      <c r="AF37" s="601">
        <f t="shared" si="18"/>
        <v>3.0305505636333933E-2</v>
      </c>
      <c r="AG37" s="597">
        <v>12919</v>
      </c>
      <c r="AH37" s="598">
        <v>388</v>
      </c>
      <c r="AI37" s="601">
        <f t="shared" si="19"/>
        <v>3.0033284309931109E-2</v>
      </c>
      <c r="AJ37" s="597">
        <v>13494</v>
      </c>
      <c r="AK37" s="598">
        <v>313</v>
      </c>
      <c r="AL37" s="601">
        <f t="shared" si="20"/>
        <v>2.319549429376019E-2</v>
      </c>
      <c r="AM37" s="597">
        <v>13896</v>
      </c>
      <c r="AN37" s="598">
        <v>323</v>
      </c>
      <c r="AO37" s="601">
        <f t="shared" si="21"/>
        <v>2.3244099021301094E-2</v>
      </c>
      <c r="AP37" s="597">
        <v>14153</v>
      </c>
      <c r="AQ37" s="598">
        <v>465</v>
      </c>
      <c r="AR37" s="601">
        <f t="shared" si="22"/>
        <v>3.2855225040627427E-2</v>
      </c>
      <c r="AS37" s="602">
        <v>14277</v>
      </c>
      <c r="AT37" s="598">
        <v>806</v>
      </c>
      <c r="AU37" s="603">
        <f t="shared" si="23"/>
        <v>5.6454437206696087E-2</v>
      </c>
      <c r="AV37" s="597">
        <v>14155</v>
      </c>
      <c r="AW37" s="598">
        <v>816</v>
      </c>
      <c r="AX37" s="601">
        <f t="shared" si="24"/>
        <v>5.764747439067467E-2</v>
      </c>
      <c r="AY37" s="604">
        <v>14329</v>
      </c>
      <c r="AZ37" s="605">
        <v>745</v>
      </c>
      <c r="BA37" s="606">
        <f t="shared" si="12"/>
        <v>5.1992462837602067E-2</v>
      </c>
      <c r="BC37" s="607">
        <v>14539.818181818182</v>
      </c>
      <c r="BD37" s="608">
        <v>654.63636363636363</v>
      </c>
      <c r="BE37" s="606">
        <f t="shared" si="13"/>
        <v>4.5023696682464455E-2</v>
      </c>
    </row>
    <row r="38" spans="1:57" ht="15" customHeight="1">
      <c r="A38" s="587" t="s">
        <v>85</v>
      </c>
      <c r="B38" s="609" t="s">
        <v>330</v>
      </c>
      <c r="C38" s="196" t="s">
        <v>272</v>
      </c>
      <c r="D38" s="589">
        <f t="shared" si="2"/>
        <v>2.6562499999999999E-2</v>
      </c>
      <c r="E38" s="590">
        <f t="shared" si="25"/>
        <v>4.0230347938144333E-2</v>
      </c>
      <c r="F38" s="591">
        <f t="shared" si="14"/>
        <v>5.1865438651264438E-2</v>
      </c>
      <c r="G38" s="591">
        <f t="shared" si="15"/>
        <v>4.438880941026864E-2</v>
      </c>
      <c r="H38" s="591">
        <f t="shared" si="3"/>
        <v>3.8464604591836732E-2</v>
      </c>
      <c r="I38" s="591">
        <f t="shared" si="4"/>
        <v>3.58036272670419E-2</v>
      </c>
      <c r="J38" s="591">
        <f t="shared" si="5"/>
        <v>3.1159420289855074E-2</v>
      </c>
      <c r="K38" s="591">
        <f t="shared" si="6"/>
        <v>3.2817733619359454E-2</v>
      </c>
      <c r="L38" s="591">
        <f t="shared" si="7"/>
        <v>4.7531114968423382E-2</v>
      </c>
      <c r="M38" s="591">
        <f t="shared" si="8"/>
        <v>8.0932936026192837E-2</v>
      </c>
      <c r="N38" s="591">
        <f t="shared" si="9"/>
        <v>7.9677874267052626E-2</v>
      </c>
      <c r="O38" s="592">
        <f t="shared" si="10"/>
        <v>6.6167592368993E-2</v>
      </c>
      <c r="P38" s="593">
        <f t="shared" si="11"/>
        <v>5.8957152186875902E-2</v>
      </c>
      <c r="Q38" s="225"/>
      <c r="R38" s="594">
        <v>5120</v>
      </c>
      <c r="S38" s="595">
        <v>136</v>
      </c>
      <c r="T38" s="596">
        <f t="shared" si="0"/>
        <v>2.6562499999999999E-2</v>
      </c>
      <c r="U38" s="597">
        <v>24832</v>
      </c>
      <c r="V38" s="598">
        <v>999</v>
      </c>
      <c r="W38" s="599">
        <f t="shared" si="1"/>
        <v>4.0230347938144333E-2</v>
      </c>
      <c r="X38" s="597">
        <v>25624</v>
      </c>
      <c r="Y38" s="598">
        <v>1329</v>
      </c>
      <c r="Z38" s="600">
        <f t="shared" si="16"/>
        <v>5.1865438651264438E-2</v>
      </c>
      <c r="AA38" s="597">
        <v>25164</v>
      </c>
      <c r="AB38" s="598">
        <v>1117</v>
      </c>
      <c r="AC38" s="600">
        <f t="shared" si="17"/>
        <v>4.438880941026864E-2</v>
      </c>
      <c r="AD38" s="597">
        <v>25088</v>
      </c>
      <c r="AE38" s="598">
        <v>965</v>
      </c>
      <c r="AF38" s="601">
        <f t="shared" si="18"/>
        <v>3.8464604591836732E-2</v>
      </c>
      <c r="AG38" s="597">
        <v>25584</v>
      </c>
      <c r="AH38" s="598">
        <v>916</v>
      </c>
      <c r="AI38" s="601">
        <f t="shared" si="19"/>
        <v>3.58036272670419E-2</v>
      </c>
      <c r="AJ38" s="597">
        <v>26220</v>
      </c>
      <c r="AK38" s="598">
        <v>817</v>
      </c>
      <c r="AL38" s="601">
        <f t="shared" si="20"/>
        <v>3.1159420289855074E-2</v>
      </c>
      <c r="AM38" s="597">
        <v>26571</v>
      </c>
      <c r="AN38" s="598">
        <v>872</v>
      </c>
      <c r="AO38" s="601">
        <f t="shared" si="21"/>
        <v>3.2817733619359454E-2</v>
      </c>
      <c r="AP38" s="597">
        <v>27077</v>
      </c>
      <c r="AQ38" s="598">
        <v>1287</v>
      </c>
      <c r="AR38" s="601">
        <f t="shared" si="22"/>
        <v>4.7531114968423382E-2</v>
      </c>
      <c r="AS38" s="602">
        <v>27183</v>
      </c>
      <c r="AT38" s="598">
        <v>2200</v>
      </c>
      <c r="AU38" s="603">
        <f t="shared" si="23"/>
        <v>8.0932936026192837E-2</v>
      </c>
      <c r="AV38" s="597">
        <v>26946</v>
      </c>
      <c r="AW38" s="598">
        <v>2147</v>
      </c>
      <c r="AX38" s="601">
        <f t="shared" si="24"/>
        <v>7.9677874267052626E-2</v>
      </c>
      <c r="AY38" s="604">
        <v>28987</v>
      </c>
      <c r="AZ38" s="605">
        <v>1918</v>
      </c>
      <c r="BA38" s="606">
        <f t="shared" si="12"/>
        <v>6.6167592368993E-2</v>
      </c>
      <c r="BC38" s="607">
        <v>28814.454545454544</v>
      </c>
      <c r="BD38" s="608">
        <v>1698.8181818181818</v>
      </c>
      <c r="BE38" s="606">
        <f t="shared" si="13"/>
        <v>5.8957152186875902E-2</v>
      </c>
    </row>
    <row r="39" spans="1:57" ht="15" customHeight="1">
      <c r="A39" s="587" t="s">
        <v>87</v>
      </c>
      <c r="B39" s="609" t="s">
        <v>88</v>
      </c>
      <c r="C39" s="196" t="s">
        <v>274</v>
      </c>
      <c r="D39" s="589">
        <f t="shared" si="2"/>
        <v>1.6152713998724321E-2</v>
      </c>
      <c r="E39" s="590">
        <f t="shared" si="25"/>
        <v>2.7932126426480252E-2</v>
      </c>
      <c r="F39" s="591">
        <f t="shared" si="14"/>
        <v>3.4510548887545692E-2</v>
      </c>
      <c r="G39" s="591">
        <f t="shared" si="15"/>
        <v>3.6193764041865306E-2</v>
      </c>
      <c r="H39" s="591">
        <f t="shared" si="3"/>
        <v>2.9792332268370608E-2</v>
      </c>
      <c r="I39" s="591">
        <f t="shared" si="4"/>
        <v>2.7725332988490885E-2</v>
      </c>
      <c r="J39" s="591">
        <f t="shared" si="5"/>
        <v>2.5945760888171569E-2</v>
      </c>
      <c r="K39" s="591">
        <f t="shared" si="6"/>
        <v>2.9170993214363332E-2</v>
      </c>
      <c r="L39" s="591">
        <f t="shared" si="7"/>
        <v>4.1709913345724013E-2</v>
      </c>
      <c r="M39" s="591">
        <f t="shared" si="8"/>
        <v>7.4511410463406993E-2</v>
      </c>
      <c r="N39" s="591">
        <f t="shared" si="9"/>
        <v>7.0310815020728987E-2</v>
      </c>
      <c r="O39" s="592">
        <f t="shared" si="10"/>
        <v>5.9410678881520476E-2</v>
      </c>
      <c r="P39" s="593">
        <f t="shared" si="11"/>
        <v>5.2741159173245573E-2</v>
      </c>
      <c r="Q39" s="225"/>
      <c r="R39" s="594">
        <v>565973</v>
      </c>
      <c r="S39" s="595">
        <v>9142</v>
      </c>
      <c r="T39" s="596">
        <f t="shared" si="0"/>
        <v>1.6152713998724321E-2</v>
      </c>
      <c r="U39" s="597">
        <v>33474</v>
      </c>
      <c r="V39" s="598">
        <v>935</v>
      </c>
      <c r="W39" s="599">
        <f t="shared" si="1"/>
        <v>2.7932126426480252E-2</v>
      </c>
      <c r="X39" s="597">
        <v>34743</v>
      </c>
      <c r="Y39" s="598">
        <v>1199</v>
      </c>
      <c r="Z39" s="600">
        <f t="shared" si="16"/>
        <v>3.4510548887545692E-2</v>
      </c>
      <c r="AA39" s="597">
        <v>36498</v>
      </c>
      <c r="AB39" s="598">
        <v>1321</v>
      </c>
      <c r="AC39" s="600">
        <f t="shared" si="17"/>
        <v>3.6193764041865306E-2</v>
      </c>
      <c r="AD39" s="597">
        <v>37560</v>
      </c>
      <c r="AE39" s="598">
        <v>1119</v>
      </c>
      <c r="AF39" s="601">
        <f t="shared" si="18"/>
        <v>2.9792332268370608E-2</v>
      </c>
      <c r="AG39" s="597">
        <v>38665</v>
      </c>
      <c r="AH39" s="598">
        <v>1072</v>
      </c>
      <c r="AI39" s="601">
        <f t="shared" si="19"/>
        <v>2.7725332988490885E-2</v>
      </c>
      <c r="AJ39" s="597">
        <v>40893</v>
      </c>
      <c r="AK39" s="598">
        <v>1061</v>
      </c>
      <c r="AL39" s="601">
        <f t="shared" si="20"/>
        <v>2.5945760888171569E-2</v>
      </c>
      <c r="AM39" s="597">
        <v>41411</v>
      </c>
      <c r="AN39" s="598">
        <v>1208</v>
      </c>
      <c r="AO39" s="601">
        <f t="shared" si="21"/>
        <v>2.9170993214363332E-2</v>
      </c>
      <c r="AP39" s="597">
        <v>41429</v>
      </c>
      <c r="AQ39" s="598">
        <v>1728</v>
      </c>
      <c r="AR39" s="601">
        <f t="shared" si="22"/>
        <v>4.1709913345724013E-2</v>
      </c>
      <c r="AS39" s="602">
        <v>41497</v>
      </c>
      <c r="AT39" s="598">
        <v>3092</v>
      </c>
      <c r="AU39" s="603">
        <f t="shared" si="23"/>
        <v>7.4511410463406993E-2</v>
      </c>
      <c r="AV39" s="597">
        <v>41729</v>
      </c>
      <c r="AW39" s="598">
        <v>2934</v>
      </c>
      <c r="AX39" s="601">
        <f t="shared" si="24"/>
        <v>7.0310815020728987E-2</v>
      </c>
      <c r="AY39" s="604">
        <v>43881</v>
      </c>
      <c r="AZ39" s="605">
        <v>2607</v>
      </c>
      <c r="BA39" s="606">
        <f t="shared" si="12"/>
        <v>5.9410678881520476E-2</v>
      </c>
      <c r="BC39" s="607">
        <v>43838.454545454544</v>
      </c>
      <c r="BD39" s="608">
        <v>2312.090909090909</v>
      </c>
      <c r="BE39" s="606">
        <f t="shared" si="13"/>
        <v>5.2741159173245573E-2</v>
      </c>
    </row>
    <row r="40" spans="1:57" ht="15" customHeight="1">
      <c r="A40" s="587" t="s">
        <v>93</v>
      </c>
      <c r="B40" s="609" t="s">
        <v>94</v>
      </c>
      <c r="C40" s="196" t="s">
        <v>275</v>
      </c>
      <c r="D40" s="589">
        <f t="shared" si="2"/>
        <v>1.5381030062922395E-2</v>
      </c>
      <c r="E40" s="590">
        <f t="shared" si="25"/>
        <v>5.6577445135100851E-2</v>
      </c>
      <c r="F40" s="591">
        <f t="shared" si="14"/>
        <v>5.9977648081460326E-2</v>
      </c>
      <c r="G40" s="591">
        <f t="shared" si="15"/>
        <v>5.3773812394502046E-2</v>
      </c>
      <c r="H40" s="591">
        <f t="shared" si="3"/>
        <v>4.9849124924562463E-2</v>
      </c>
      <c r="I40" s="591">
        <f t="shared" si="4"/>
        <v>5.041518386714116E-2</v>
      </c>
      <c r="J40" s="591">
        <f t="shared" si="5"/>
        <v>3.6616752456715022E-2</v>
      </c>
      <c r="K40" s="591">
        <f t="shared" si="6"/>
        <v>4.4273691913648008E-2</v>
      </c>
      <c r="L40" s="591">
        <f t="shared" si="7"/>
        <v>5.354368351858492E-2</v>
      </c>
      <c r="M40" s="591">
        <f t="shared" si="8"/>
        <v>9.0130266400657202E-2</v>
      </c>
      <c r="N40" s="591">
        <f t="shared" si="9"/>
        <v>9.1908688896856702E-2</v>
      </c>
      <c r="O40" s="592">
        <f t="shared" si="10"/>
        <v>7.4195820615167885E-2</v>
      </c>
      <c r="P40" s="593">
        <f t="shared" si="11"/>
        <v>6.4894648232233051E-2</v>
      </c>
      <c r="Q40" s="225"/>
      <c r="R40" s="594">
        <v>30037</v>
      </c>
      <c r="S40" s="595">
        <v>462</v>
      </c>
      <c r="T40" s="596">
        <f t="shared" si="0"/>
        <v>1.5381030062922395E-2</v>
      </c>
      <c r="U40" s="597">
        <v>7883</v>
      </c>
      <c r="V40" s="598">
        <v>446</v>
      </c>
      <c r="W40" s="599">
        <f t="shared" si="1"/>
        <v>5.6577445135100851E-2</v>
      </c>
      <c r="X40" s="597">
        <v>8053</v>
      </c>
      <c r="Y40" s="598">
        <v>483</v>
      </c>
      <c r="Z40" s="600">
        <f t="shared" si="16"/>
        <v>5.9977648081460326E-2</v>
      </c>
      <c r="AA40" s="597">
        <v>8294</v>
      </c>
      <c r="AB40" s="598">
        <v>446</v>
      </c>
      <c r="AC40" s="600">
        <f t="shared" si="17"/>
        <v>5.3773812394502046E-2</v>
      </c>
      <c r="AD40" s="597">
        <v>8285</v>
      </c>
      <c r="AE40" s="598">
        <v>413</v>
      </c>
      <c r="AF40" s="601">
        <f t="shared" si="18"/>
        <v>4.9849124924562463E-2</v>
      </c>
      <c r="AG40" s="597">
        <v>8430</v>
      </c>
      <c r="AH40" s="598">
        <v>425</v>
      </c>
      <c r="AI40" s="601">
        <f t="shared" si="19"/>
        <v>5.041518386714116E-2</v>
      </c>
      <c r="AJ40" s="597">
        <v>8548</v>
      </c>
      <c r="AK40" s="598">
        <v>313</v>
      </c>
      <c r="AL40" s="601">
        <f t="shared" si="20"/>
        <v>3.6616752456715022E-2</v>
      </c>
      <c r="AM40" s="597">
        <v>8199</v>
      </c>
      <c r="AN40" s="598">
        <v>363</v>
      </c>
      <c r="AO40" s="601">
        <f t="shared" si="21"/>
        <v>4.4273691913648008E-2</v>
      </c>
      <c r="AP40" s="597">
        <v>8367</v>
      </c>
      <c r="AQ40" s="598">
        <v>448</v>
      </c>
      <c r="AR40" s="601">
        <f t="shared" si="22"/>
        <v>5.354368351858492E-2</v>
      </c>
      <c r="AS40" s="602">
        <v>8521</v>
      </c>
      <c r="AT40" s="598">
        <v>768</v>
      </c>
      <c r="AU40" s="603">
        <f t="shared" si="23"/>
        <v>9.0130266400657202E-2</v>
      </c>
      <c r="AV40" s="597">
        <v>8367</v>
      </c>
      <c r="AW40" s="598">
        <v>769</v>
      </c>
      <c r="AX40" s="601">
        <f t="shared" si="24"/>
        <v>9.1908688896856702E-2</v>
      </c>
      <c r="AY40" s="604">
        <v>8518</v>
      </c>
      <c r="AZ40" s="605">
        <v>632</v>
      </c>
      <c r="BA40" s="606">
        <f t="shared" si="12"/>
        <v>7.4195820615167885E-2</v>
      </c>
      <c r="BC40" s="607">
        <v>8909.545454545454</v>
      </c>
      <c r="BD40" s="608">
        <v>578.18181818181813</v>
      </c>
      <c r="BE40" s="606">
        <f t="shared" si="13"/>
        <v>6.4894648232233051E-2</v>
      </c>
    </row>
    <row r="41" spans="1:57" ht="15" customHeight="1">
      <c r="A41" s="587" t="s">
        <v>95</v>
      </c>
      <c r="B41" s="609" t="s">
        <v>96</v>
      </c>
      <c r="C41" s="196" t="s">
        <v>271</v>
      </c>
      <c r="D41" s="589">
        <f t="shared" si="2"/>
        <v>3.6919526968560712E-2</v>
      </c>
      <c r="E41" s="590">
        <f t="shared" si="25"/>
        <v>2.4434840425531915E-2</v>
      </c>
      <c r="F41" s="591">
        <f t="shared" si="14"/>
        <v>3.1527673696606362E-2</v>
      </c>
      <c r="G41" s="591">
        <f t="shared" si="15"/>
        <v>3.1682027649769587E-2</v>
      </c>
      <c r="H41" s="591">
        <f t="shared" si="3"/>
        <v>3.0356130495284236E-2</v>
      </c>
      <c r="I41" s="591">
        <f t="shared" si="4"/>
        <v>3.0409122736821045E-2</v>
      </c>
      <c r="J41" s="591">
        <f t="shared" si="5"/>
        <v>2.5837273923853165E-2</v>
      </c>
      <c r="K41" s="591">
        <f t="shared" si="6"/>
        <v>2.4450350326165739E-2</v>
      </c>
      <c r="L41" s="591">
        <f t="shared" si="7"/>
        <v>3.4626894029354489E-2</v>
      </c>
      <c r="M41" s="591">
        <f t="shared" si="8"/>
        <v>5.9386247395340028E-2</v>
      </c>
      <c r="N41" s="591">
        <f t="shared" si="9"/>
        <v>6.3868179875587641E-2</v>
      </c>
      <c r="O41" s="592">
        <f t="shared" si="10"/>
        <v>5.8672967119511713E-2</v>
      </c>
      <c r="P41" s="593">
        <f t="shared" si="11"/>
        <v>5.3068200581019145E-2</v>
      </c>
      <c r="Q41" s="225"/>
      <c r="R41" s="594">
        <v>6934</v>
      </c>
      <c r="S41" s="595">
        <v>256</v>
      </c>
      <c r="T41" s="596">
        <f t="shared" si="0"/>
        <v>3.6919526968560712E-2</v>
      </c>
      <c r="U41" s="597">
        <v>18048</v>
      </c>
      <c r="V41" s="598">
        <v>441</v>
      </c>
      <c r="W41" s="599">
        <f t="shared" si="1"/>
        <v>2.4434840425531915E-2</v>
      </c>
      <c r="X41" s="597">
        <v>18682</v>
      </c>
      <c r="Y41" s="598">
        <v>589</v>
      </c>
      <c r="Z41" s="600">
        <f t="shared" si="16"/>
        <v>3.1527673696606362E-2</v>
      </c>
      <c r="AA41" s="597">
        <v>19096</v>
      </c>
      <c r="AB41" s="598">
        <v>605</v>
      </c>
      <c r="AC41" s="600">
        <f t="shared" si="17"/>
        <v>3.1682027649769587E-2</v>
      </c>
      <c r="AD41" s="597">
        <v>19403</v>
      </c>
      <c r="AE41" s="598">
        <v>589</v>
      </c>
      <c r="AF41" s="601">
        <f t="shared" si="18"/>
        <v>3.0356130495284236E-2</v>
      </c>
      <c r="AG41" s="597">
        <v>19994</v>
      </c>
      <c r="AH41" s="598">
        <v>608</v>
      </c>
      <c r="AI41" s="601">
        <f t="shared" si="19"/>
        <v>3.0409122736821045E-2</v>
      </c>
      <c r="AJ41" s="597">
        <v>20513</v>
      </c>
      <c r="AK41" s="598">
        <v>530</v>
      </c>
      <c r="AL41" s="601">
        <f t="shared" si="20"/>
        <v>2.5837273923853165E-2</v>
      </c>
      <c r="AM41" s="597">
        <v>20695</v>
      </c>
      <c r="AN41" s="598">
        <v>506</v>
      </c>
      <c r="AO41" s="601">
        <f t="shared" si="21"/>
        <v>2.4450350326165739E-2</v>
      </c>
      <c r="AP41" s="597">
        <v>21053</v>
      </c>
      <c r="AQ41" s="598">
        <v>729</v>
      </c>
      <c r="AR41" s="601">
        <f t="shared" si="22"/>
        <v>3.4626894029354489E-2</v>
      </c>
      <c r="AS41" s="602">
        <v>21116</v>
      </c>
      <c r="AT41" s="598">
        <v>1254</v>
      </c>
      <c r="AU41" s="603">
        <f t="shared" si="23"/>
        <v>5.9386247395340028E-2</v>
      </c>
      <c r="AV41" s="597">
        <v>21059</v>
      </c>
      <c r="AW41" s="598">
        <v>1345</v>
      </c>
      <c r="AX41" s="601">
        <f t="shared" si="24"/>
        <v>6.3868179875587641E-2</v>
      </c>
      <c r="AY41" s="604">
        <v>20316</v>
      </c>
      <c r="AZ41" s="605">
        <v>1192</v>
      </c>
      <c r="BA41" s="606">
        <f t="shared" si="12"/>
        <v>5.8672967119511713E-2</v>
      </c>
      <c r="BC41" s="607">
        <v>20371.727272727272</v>
      </c>
      <c r="BD41" s="608">
        <v>1081.090909090909</v>
      </c>
      <c r="BE41" s="606">
        <f t="shared" si="13"/>
        <v>5.3068200581019145E-2</v>
      </c>
    </row>
    <row r="42" spans="1:57" ht="15" customHeight="1">
      <c r="A42" s="587" t="s">
        <v>97</v>
      </c>
      <c r="B42" s="609" t="s">
        <v>98</v>
      </c>
      <c r="C42" s="196" t="s">
        <v>273</v>
      </c>
      <c r="D42" s="589">
        <f t="shared" si="2"/>
        <v>1.9673421207948062E-2</v>
      </c>
      <c r="E42" s="590">
        <f t="shared" si="25"/>
        <v>2.4967003959524857E-2</v>
      </c>
      <c r="F42" s="591">
        <f t="shared" si="14"/>
        <v>3.3479048939119307E-2</v>
      </c>
      <c r="G42" s="591">
        <f t="shared" si="15"/>
        <v>3.33782523064165E-2</v>
      </c>
      <c r="H42" s="591">
        <f t="shared" si="3"/>
        <v>3.2762397928699463E-2</v>
      </c>
      <c r="I42" s="591">
        <f t="shared" si="4"/>
        <v>2.939205361416946E-2</v>
      </c>
      <c r="J42" s="591">
        <f t="shared" si="5"/>
        <v>2.4106324472960586E-2</v>
      </c>
      <c r="K42" s="591">
        <f t="shared" si="6"/>
        <v>2.347375937165298E-2</v>
      </c>
      <c r="L42" s="591">
        <f t="shared" si="7"/>
        <v>3.2937270662240087E-2</v>
      </c>
      <c r="M42" s="591">
        <f t="shared" si="8"/>
        <v>6.4193014545771268E-2</v>
      </c>
      <c r="N42" s="591">
        <f t="shared" si="9"/>
        <v>6.3664866747953325E-2</v>
      </c>
      <c r="O42" s="592">
        <f t="shared" si="10"/>
        <v>5.322294500295683E-2</v>
      </c>
      <c r="P42" s="593">
        <f t="shared" si="11"/>
        <v>4.7460627518007573E-2</v>
      </c>
      <c r="Q42" s="225"/>
      <c r="R42" s="594">
        <v>10166</v>
      </c>
      <c r="S42" s="595">
        <v>200</v>
      </c>
      <c r="T42" s="596">
        <f t="shared" si="0"/>
        <v>1.9673421207948062E-2</v>
      </c>
      <c r="U42" s="597">
        <v>9092</v>
      </c>
      <c r="V42" s="598">
        <v>227</v>
      </c>
      <c r="W42" s="599">
        <f t="shared" si="1"/>
        <v>2.4967003959524857E-2</v>
      </c>
      <c r="X42" s="597">
        <v>9379</v>
      </c>
      <c r="Y42" s="598">
        <v>314</v>
      </c>
      <c r="Z42" s="600">
        <f t="shared" si="16"/>
        <v>3.3479048939119307E-2</v>
      </c>
      <c r="AA42" s="597">
        <v>9647</v>
      </c>
      <c r="AB42" s="598">
        <v>322</v>
      </c>
      <c r="AC42" s="600">
        <f t="shared" si="17"/>
        <v>3.33782523064165E-2</v>
      </c>
      <c r="AD42" s="597">
        <v>10042</v>
      </c>
      <c r="AE42" s="598">
        <v>329</v>
      </c>
      <c r="AF42" s="601">
        <f t="shared" si="18"/>
        <v>3.2762397928699463E-2</v>
      </c>
      <c r="AG42" s="597">
        <v>10445</v>
      </c>
      <c r="AH42" s="598">
        <v>307</v>
      </c>
      <c r="AI42" s="601">
        <f t="shared" si="19"/>
        <v>2.939205361416946E-2</v>
      </c>
      <c r="AJ42" s="597">
        <v>10910</v>
      </c>
      <c r="AK42" s="598">
        <v>263</v>
      </c>
      <c r="AL42" s="601">
        <f t="shared" si="20"/>
        <v>2.4106324472960586E-2</v>
      </c>
      <c r="AM42" s="597">
        <v>11204</v>
      </c>
      <c r="AN42" s="598">
        <v>263</v>
      </c>
      <c r="AO42" s="601">
        <f t="shared" si="21"/>
        <v>2.347375937165298E-2</v>
      </c>
      <c r="AP42" s="597">
        <v>11446</v>
      </c>
      <c r="AQ42" s="598">
        <v>377</v>
      </c>
      <c r="AR42" s="601">
        <f t="shared" si="22"/>
        <v>3.2937270662240087E-2</v>
      </c>
      <c r="AS42" s="602">
        <v>11481</v>
      </c>
      <c r="AT42" s="598">
        <v>737</v>
      </c>
      <c r="AU42" s="603">
        <f t="shared" si="23"/>
        <v>6.4193014545771268E-2</v>
      </c>
      <c r="AV42" s="597">
        <v>11482</v>
      </c>
      <c r="AW42" s="598">
        <v>731</v>
      </c>
      <c r="AX42" s="601">
        <f t="shared" si="24"/>
        <v>6.3664866747953325E-2</v>
      </c>
      <c r="AY42" s="604">
        <v>11837</v>
      </c>
      <c r="AZ42" s="605">
        <v>630</v>
      </c>
      <c r="BA42" s="606">
        <f t="shared" si="12"/>
        <v>5.322294500295683E-2</v>
      </c>
      <c r="BC42" s="607">
        <v>11914.181818181818</v>
      </c>
      <c r="BD42" s="608">
        <v>565.4545454545455</v>
      </c>
      <c r="BE42" s="606">
        <f t="shared" si="13"/>
        <v>4.7460627518007573E-2</v>
      </c>
    </row>
    <row r="43" spans="1:57" ht="15" customHeight="1">
      <c r="A43" s="587" t="s">
        <v>99</v>
      </c>
      <c r="B43" s="609" t="s">
        <v>100</v>
      </c>
      <c r="C43" s="196" t="s">
        <v>275</v>
      </c>
      <c r="D43" s="589">
        <f t="shared" si="2"/>
        <v>3.1567080045095827E-2</v>
      </c>
      <c r="E43" s="590">
        <f t="shared" si="25"/>
        <v>7.5638755375664057E-2</v>
      </c>
      <c r="F43" s="591">
        <f t="shared" si="14"/>
        <v>7.9582193484207905E-2</v>
      </c>
      <c r="G43" s="591">
        <f t="shared" si="15"/>
        <v>6.2772993884936984E-2</v>
      </c>
      <c r="H43" s="591">
        <f t="shared" si="3"/>
        <v>4.7662575084878561E-2</v>
      </c>
      <c r="I43" s="591">
        <f t="shared" si="4"/>
        <v>4.6172376873661672E-2</v>
      </c>
      <c r="J43" s="591">
        <f t="shared" si="5"/>
        <v>5.3808525506638713E-2</v>
      </c>
      <c r="K43" s="591">
        <f t="shared" si="6"/>
        <v>5.0355698144790066E-2</v>
      </c>
      <c r="L43" s="591">
        <f t="shared" si="7"/>
        <v>6.434952540480178E-2</v>
      </c>
      <c r="M43" s="591">
        <f t="shared" si="8"/>
        <v>0.10762086861513248</v>
      </c>
      <c r="N43" s="591">
        <f t="shared" si="9"/>
        <v>0.11379589632829373</v>
      </c>
      <c r="O43" s="592">
        <f t="shared" si="10"/>
        <v>0.10349750178443969</v>
      </c>
      <c r="P43" s="593">
        <f t="shared" si="11"/>
        <v>8.9283572941787792E-2</v>
      </c>
      <c r="Q43" s="225"/>
      <c r="R43" s="594">
        <v>3548</v>
      </c>
      <c r="S43" s="595">
        <v>112</v>
      </c>
      <c r="T43" s="596">
        <f t="shared" si="0"/>
        <v>3.1567080045095827E-2</v>
      </c>
      <c r="U43" s="597">
        <v>7906</v>
      </c>
      <c r="V43" s="598">
        <v>598</v>
      </c>
      <c r="W43" s="599">
        <f t="shared" si="1"/>
        <v>7.5638755375664057E-2</v>
      </c>
      <c r="X43" s="597">
        <v>8042</v>
      </c>
      <c r="Y43" s="598">
        <v>640</v>
      </c>
      <c r="Z43" s="600">
        <f t="shared" si="16"/>
        <v>7.9582193484207905E-2</v>
      </c>
      <c r="AA43" s="597">
        <v>8013</v>
      </c>
      <c r="AB43" s="598">
        <v>503</v>
      </c>
      <c r="AC43" s="600">
        <f t="shared" si="17"/>
        <v>6.2772993884936984E-2</v>
      </c>
      <c r="AD43" s="597">
        <v>7658</v>
      </c>
      <c r="AE43" s="598">
        <v>365</v>
      </c>
      <c r="AF43" s="601">
        <f t="shared" si="18"/>
        <v>4.7662575084878561E-2</v>
      </c>
      <c r="AG43" s="597">
        <v>7472</v>
      </c>
      <c r="AH43" s="598">
        <v>345</v>
      </c>
      <c r="AI43" s="601">
        <f t="shared" si="19"/>
        <v>4.6172376873661672E-2</v>
      </c>
      <c r="AJ43" s="597">
        <v>7155</v>
      </c>
      <c r="AK43" s="598">
        <v>385</v>
      </c>
      <c r="AL43" s="601">
        <f t="shared" si="20"/>
        <v>5.3808525506638713E-2</v>
      </c>
      <c r="AM43" s="597">
        <v>7169</v>
      </c>
      <c r="AN43" s="598">
        <v>361</v>
      </c>
      <c r="AO43" s="601">
        <f t="shared" si="21"/>
        <v>5.0355698144790066E-2</v>
      </c>
      <c r="AP43" s="597">
        <v>7164</v>
      </c>
      <c r="AQ43" s="598">
        <v>461</v>
      </c>
      <c r="AR43" s="601">
        <f t="shared" si="22"/>
        <v>6.434952540480178E-2</v>
      </c>
      <c r="AS43" s="602">
        <v>7322</v>
      </c>
      <c r="AT43" s="598">
        <v>788</v>
      </c>
      <c r="AU43" s="603">
        <f t="shared" si="23"/>
        <v>0.10762086861513248</v>
      </c>
      <c r="AV43" s="597">
        <v>7408</v>
      </c>
      <c r="AW43" s="598">
        <v>843</v>
      </c>
      <c r="AX43" s="601">
        <f t="shared" si="24"/>
        <v>0.11379589632829373</v>
      </c>
      <c r="AY43" s="604">
        <v>7005</v>
      </c>
      <c r="AZ43" s="605">
        <v>725</v>
      </c>
      <c r="BA43" s="606">
        <f t="shared" si="12"/>
        <v>0.10349750178443969</v>
      </c>
      <c r="BC43" s="607">
        <v>6823</v>
      </c>
      <c r="BD43" s="608">
        <v>609.18181818181813</v>
      </c>
      <c r="BE43" s="606">
        <f t="shared" si="13"/>
        <v>8.9283572941787792E-2</v>
      </c>
    </row>
    <row r="44" spans="1:57" ht="15" customHeight="1">
      <c r="A44" s="587" t="s">
        <v>101</v>
      </c>
      <c r="B44" s="609" t="s">
        <v>102</v>
      </c>
      <c r="C44" s="196" t="s">
        <v>274</v>
      </c>
      <c r="D44" s="589">
        <f t="shared" si="2"/>
        <v>2.9677632393610435E-2</v>
      </c>
      <c r="E44" s="590">
        <f t="shared" si="25"/>
        <v>2.2833178005591797E-2</v>
      </c>
      <c r="F44" s="591">
        <f t="shared" si="14"/>
        <v>3.5230958505759982E-2</v>
      </c>
      <c r="G44" s="591">
        <f t="shared" si="15"/>
        <v>4.0628385698808236E-2</v>
      </c>
      <c r="H44" s="591">
        <f t="shared" si="3"/>
        <v>3.0635038825656845E-2</v>
      </c>
      <c r="I44" s="591">
        <f t="shared" si="4"/>
        <v>2.8709115144058238E-2</v>
      </c>
      <c r="J44" s="591">
        <f t="shared" si="5"/>
        <v>2.2665103556076593E-2</v>
      </c>
      <c r="K44" s="591">
        <f t="shared" si="6"/>
        <v>2.1057646498332538E-2</v>
      </c>
      <c r="L44" s="591">
        <f t="shared" si="7"/>
        <v>3.2590372728975463E-2</v>
      </c>
      <c r="M44" s="591">
        <f t="shared" si="8"/>
        <v>5.809320856110442E-2</v>
      </c>
      <c r="N44" s="591">
        <f t="shared" si="9"/>
        <v>5.8612769866789156E-2</v>
      </c>
      <c r="O44" s="592">
        <f t="shared" si="10"/>
        <v>5.1244775576958022E-2</v>
      </c>
      <c r="P44" s="593">
        <f t="shared" si="11"/>
        <v>4.7586984562217584E-2</v>
      </c>
      <c r="Q44" s="225"/>
      <c r="R44" s="594">
        <v>24227</v>
      </c>
      <c r="S44" s="595">
        <v>719</v>
      </c>
      <c r="T44" s="596">
        <f t="shared" si="0"/>
        <v>2.9677632393610435E-2</v>
      </c>
      <c r="U44" s="597">
        <v>8584</v>
      </c>
      <c r="V44" s="598">
        <v>196</v>
      </c>
      <c r="W44" s="599">
        <f t="shared" si="1"/>
        <v>2.2833178005591797E-2</v>
      </c>
      <c r="X44" s="597">
        <v>8941</v>
      </c>
      <c r="Y44" s="598">
        <v>315</v>
      </c>
      <c r="Z44" s="600">
        <f t="shared" si="16"/>
        <v>3.5230958505759982E-2</v>
      </c>
      <c r="AA44" s="597">
        <v>9230</v>
      </c>
      <c r="AB44" s="598">
        <v>375</v>
      </c>
      <c r="AC44" s="600">
        <f t="shared" si="17"/>
        <v>4.0628385698808236E-2</v>
      </c>
      <c r="AD44" s="597">
        <v>9401</v>
      </c>
      <c r="AE44" s="598">
        <v>288</v>
      </c>
      <c r="AF44" s="601">
        <f t="shared" si="18"/>
        <v>3.0635038825656845E-2</v>
      </c>
      <c r="AG44" s="597">
        <v>9753</v>
      </c>
      <c r="AH44" s="598">
        <v>280</v>
      </c>
      <c r="AI44" s="601">
        <f t="shared" si="19"/>
        <v>2.8709115144058238E-2</v>
      </c>
      <c r="AJ44" s="597">
        <v>10236</v>
      </c>
      <c r="AK44" s="598">
        <v>232</v>
      </c>
      <c r="AL44" s="601">
        <f t="shared" si="20"/>
        <v>2.2665103556076593E-2</v>
      </c>
      <c r="AM44" s="597">
        <v>10495</v>
      </c>
      <c r="AN44" s="598">
        <v>221</v>
      </c>
      <c r="AO44" s="601">
        <f t="shared" si="21"/>
        <v>2.1057646498332538E-2</v>
      </c>
      <c r="AP44" s="597">
        <v>10678</v>
      </c>
      <c r="AQ44" s="598">
        <v>348</v>
      </c>
      <c r="AR44" s="601">
        <f t="shared" si="22"/>
        <v>3.2590372728975463E-2</v>
      </c>
      <c r="AS44" s="602">
        <v>10793</v>
      </c>
      <c r="AT44" s="598">
        <v>627</v>
      </c>
      <c r="AU44" s="603">
        <f t="shared" si="23"/>
        <v>5.809320856110442E-2</v>
      </c>
      <c r="AV44" s="597">
        <v>10885</v>
      </c>
      <c r="AW44" s="598">
        <v>638</v>
      </c>
      <c r="AX44" s="601">
        <f t="shared" si="24"/>
        <v>5.8612769866789156E-2</v>
      </c>
      <c r="AY44" s="604">
        <v>11006</v>
      </c>
      <c r="AZ44" s="605">
        <v>564</v>
      </c>
      <c r="BA44" s="606">
        <f t="shared" si="12"/>
        <v>5.1244775576958022E-2</v>
      </c>
      <c r="BC44" s="607">
        <v>11206.272727272728</v>
      </c>
      <c r="BD44" s="608">
        <v>533.27272727272725</v>
      </c>
      <c r="BE44" s="606">
        <f t="shared" si="13"/>
        <v>4.7586984562217584E-2</v>
      </c>
    </row>
    <row r="45" spans="1:57" ht="15" customHeight="1">
      <c r="A45" s="587" t="s">
        <v>103</v>
      </c>
      <c r="B45" s="609" t="s">
        <v>104</v>
      </c>
      <c r="C45" s="196" t="s">
        <v>271</v>
      </c>
      <c r="D45" s="589">
        <f t="shared" si="2"/>
        <v>2.0230418971365707E-2</v>
      </c>
      <c r="E45" s="590">
        <f t="shared" si="25"/>
        <v>4.4612534732942265E-2</v>
      </c>
      <c r="F45" s="591">
        <f t="shared" si="14"/>
        <v>4.794414274631497E-2</v>
      </c>
      <c r="G45" s="591">
        <f t="shared" si="15"/>
        <v>5.8686809994189425E-2</v>
      </c>
      <c r="H45" s="591">
        <f t="shared" si="3"/>
        <v>6.6204772902232492E-2</v>
      </c>
      <c r="I45" s="591">
        <f t="shared" si="4"/>
        <v>5.4180289584306401E-2</v>
      </c>
      <c r="J45" s="591">
        <f t="shared" si="5"/>
        <v>4.6561825470243602E-2</v>
      </c>
      <c r="K45" s="591">
        <f t="shared" si="6"/>
        <v>5.0375607600530267E-2</v>
      </c>
      <c r="L45" s="591">
        <f t="shared" si="7"/>
        <v>6.1721240220226022E-2</v>
      </c>
      <c r="M45" s="591">
        <f t="shared" si="8"/>
        <v>0.1030011655011655</v>
      </c>
      <c r="N45" s="591">
        <f t="shared" si="9"/>
        <v>0.10749824807288016</v>
      </c>
      <c r="O45" s="592">
        <f t="shared" si="10"/>
        <v>0.10221033366183303</v>
      </c>
      <c r="P45" s="593">
        <f t="shared" si="11"/>
        <v>9.8828058948244701E-2</v>
      </c>
      <c r="Q45" s="225"/>
      <c r="R45" s="610">
        <v>32723</v>
      </c>
      <c r="S45" s="611">
        <v>662</v>
      </c>
      <c r="T45" s="612">
        <f t="shared" si="0"/>
        <v>2.0230418971365707E-2</v>
      </c>
      <c r="U45" s="613">
        <v>6478</v>
      </c>
      <c r="V45" s="614">
        <v>289</v>
      </c>
      <c r="W45" s="599">
        <f t="shared" si="1"/>
        <v>4.4612534732942265E-2</v>
      </c>
      <c r="X45" s="613">
        <v>6445</v>
      </c>
      <c r="Y45" s="614">
        <v>309</v>
      </c>
      <c r="Z45" s="600">
        <f t="shared" si="16"/>
        <v>4.794414274631497E-2</v>
      </c>
      <c r="AA45" s="613">
        <v>6884</v>
      </c>
      <c r="AB45" s="614">
        <v>404</v>
      </c>
      <c r="AC45" s="600">
        <f t="shared" si="17"/>
        <v>5.8686809994189425E-2</v>
      </c>
      <c r="AD45" s="613">
        <v>6495</v>
      </c>
      <c r="AE45" s="614">
        <v>430</v>
      </c>
      <c r="AF45" s="601">
        <f t="shared" si="18"/>
        <v>6.6204772902232492E-2</v>
      </c>
      <c r="AG45" s="613">
        <v>6423</v>
      </c>
      <c r="AH45" s="614">
        <v>348</v>
      </c>
      <c r="AI45" s="601">
        <f t="shared" si="19"/>
        <v>5.4180289584306401E-2</v>
      </c>
      <c r="AJ45" s="613">
        <v>6486</v>
      </c>
      <c r="AK45" s="614">
        <v>302</v>
      </c>
      <c r="AL45" s="601">
        <f t="shared" si="20"/>
        <v>4.6561825470243602E-2</v>
      </c>
      <c r="AM45" s="613">
        <v>6789</v>
      </c>
      <c r="AN45" s="614">
        <v>342</v>
      </c>
      <c r="AO45" s="601">
        <f t="shared" si="21"/>
        <v>5.0375607600530267E-2</v>
      </c>
      <c r="AP45" s="613">
        <v>6902</v>
      </c>
      <c r="AQ45" s="614">
        <v>426</v>
      </c>
      <c r="AR45" s="601">
        <f t="shared" si="22"/>
        <v>6.1721240220226022E-2</v>
      </c>
      <c r="AS45" s="615">
        <v>6864</v>
      </c>
      <c r="AT45" s="614">
        <v>707</v>
      </c>
      <c r="AU45" s="603">
        <f t="shared" si="23"/>
        <v>0.1030011655011655</v>
      </c>
      <c r="AV45" s="613">
        <v>7135</v>
      </c>
      <c r="AW45" s="614">
        <v>767</v>
      </c>
      <c r="AX45" s="601">
        <f t="shared" si="24"/>
        <v>0.10749824807288016</v>
      </c>
      <c r="AY45" s="604">
        <v>7103</v>
      </c>
      <c r="AZ45" s="605">
        <v>726</v>
      </c>
      <c r="BA45" s="606">
        <f t="shared" si="12"/>
        <v>0.10221033366183303</v>
      </c>
      <c r="BC45" s="607">
        <v>6989.181818181818</v>
      </c>
      <c r="BD45" s="608">
        <v>690.72727272727275</v>
      </c>
      <c r="BE45" s="606">
        <f t="shared" si="13"/>
        <v>9.8828058948244701E-2</v>
      </c>
    </row>
    <row r="46" spans="1:57" ht="15" customHeight="1">
      <c r="A46" s="587" t="s">
        <v>105</v>
      </c>
      <c r="B46" s="609" t="s">
        <v>851</v>
      </c>
      <c r="C46" s="196" t="s">
        <v>272</v>
      </c>
      <c r="D46" s="589">
        <f t="shared" si="2"/>
        <v>2.2900019489378289E-2</v>
      </c>
      <c r="E46" s="590">
        <f t="shared" si="25"/>
        <v>7.2848477568914785E-2</v>
      </c>
      <c r="F46" s="591">
        <f t="shared" si="14"/>
        <v>0.10212690114068441</v>
      </c>
      <c r="G46" s="591">
        <f t="shared" si="15"/>
        <v>0.10154444849811504</v>
      </c>
      <c r="H46" s="591">
        <f t="shared" si="3"/>
        <v>7.5813421453990851E-2</v>
      </c>
      <c r="I46" s="591">
        <f t="shared" si="4"/>
        <v>6.0362678044801409E-2</v>
      </c>
      <c r="J46" s="591">
        <f t="shared" si="5"/>
        <v>5.7374984254943945E-2</v>
      </c>
      <c r="K46" s="591">
        <f t="shared" si="6"/>
        <v>6.2762046055602136E-2</v>
      </c>
      <c r="L46" s="591">
        <f t="shared" si="7"/>
        <v>6.8259819499173757E-2</v>
      </c>
      <c r="M46" s="591">
        <f t="shared" si="8"/>
        <v>0.11579721694354196</v>
      </c>
      <c r="N46" s="591">
        <f t="shared" si="9"/>
        <v>0.11676717512120137</v>
      </c>
      <c r="O46" s="592">
        <f t="shared" si="10"/>
        <v>0.10616667681256468</v>
      </c>
      <c r="P46" s="593">
        <f t="shared" si="11"/>
        <v>9.2833014300191419E-2</v>
      </c>
      <c r="Q46" s="225"/>
      <c r="R46" s="594">
        <v>10262</v>
      </c>
      <c r="S46" s="595">
        <v>235</v>
      </c>
      <c r="T46" s="596">
        <f t="shared" si="0"/>
        <v>2.2900019489378289E-2</v>
      </c>
      <c r="U46" s="597">
        <v>16651</v>
      </c>
      <c r="V46" s="598">
        <v>1213</v>
      </c>
      <c r="W46" s="599">
        <f t="shared" si="1"/>
        <v>7.2848477568914785E-2</v>
      </c>
      <c r="X46" s="597">
        <v>16832</v>
      </c>
      <c r="Y46" s="598">
        <v>1719</v>
      </c>
      <c r="Z46" s="600">
        <f t="shared" si="16"/>
        <v>0.10212690114068441</v>
      </c>
      <c r="AA46" s="597">
        <v>16446</v>
      </c>
      <c r="AB46" s="598">
        <v>1670</v>
      </c>
      <c r="AC46" s="600">
        <f t="shared" si="17"/>
        <v>0.10154444849811504</v>
      </c>
      <c r="AD46" s="597">
        <v>15736</v>
      </c>
      <c r="AE46" s="598">
        <v>1193</v>
      </c>
      <c r="AF46" s="601">
        <f t="shared" si="18"/>
        <v>7.5813421453990851E-2</v>
      </c>
      <c r="AG46" s="597">
        <v>15937</v>
      </c>
      <c r="AH46" s="598">
        <v>962</v>
      </c>
      <c r="AI46" s="601">
        <f t="shared" si="19"/>
        <v>6.0362678044801409E-2</v>
      </c>
      <c r="AJ46" s="597">
        <v>15878</v>
      </c>
      <c r="AK46" s="598">
        <v>911</v>
      </c>
      <c r="AL46" s="601">
        <f t="shared" si="20"/>
        <v>5.7374984254943945E-2</v>
      </c>
      <c r="AM46" s="597">
        <v>15503</v>
      </c>
      <c r="AN46" s="598">
        <v>973</v>
      </c>
      <c r="AO46" s="601">
        <f t="shared" si="21"/>
        <v>6.2762046055602136E-2</v>
      </c>
      <c r="AP46" s="597">
        <v>15734</v>
      </c>
      <c r="AQ46" s="598">
        <v>1074</v>
      </c>
      <c r="AR46" s="601">
        <f t="shared" si="22"/>
        <v>6.8259819499173757E-2</v>
      </c>
      <c r="AS46" s="602">
        <v>16313</v>
      </c>
      <c r="AT46" s="598">
        <v>1889</v>
      </c>
      <c r="AU46" s="603">
        <f t="shared" si="23"/>
        <v>0.11579721694354196</v>
      </c>
      <c r="AV46" s="597">
        <v>16914</v>
      </c>
      <c r="AW46" s="598">
        <v>1975</v>
      </c>
      <c r="AX46" s="601">
        <f t="shared" si="24"/>
        <v>0.11676717512120137</v>
      </c>
      <c r="AY46" s="604">
        <v>16427</v>
      </c>
      <c r="AZ46" s="605">
        <v>1744</v>
      </c>
      <c r="BA46" s="606">
        <f t="shared" si="12"/>
        <v>0.10616667681256468</v>
      </c>
      <c r="BC46" s="607">
        <v>16147.272727272728</v>
      </c>
      <c r="BD46" s="608">
        <v>1499</v>
      </c>
      <c r="BE46" s="606">
        <f t="shared" si="13"/>
        <v>9.2833014300191419E-2</v>
      </c>
    </row>
    <row r="47" spans="1:57" ht="15" customHeight="1">
      <c r="A47" s="587" t="s">
        <v>109</v>
      </c>
      <c r="B47" s="609" t="s">
        <v>110</v>
      </c>
      <c r="C47" s="196" t="s">
        <v>273</v>
      </c>
      <c r="D47" s="589">
        <f t="shared" si="2"/>
        <v>3.4703196347031964E-2</v>
      </c>
      <c r="E47" s="590">
        <f t="shared" si="25"/>
        <v>2.5038155343810584E-2</v>
      </c>
      <c r="F47" s="591">
        <f t="shared" si="14"/>
        <v>3.271297197449699E-2</v>
      </c>
      <c r="G47" s="591">
        <f t="shared" si="15"/>
        <v>3.2354424486945726E-2</v>
      </c>
      <c r="H47" s="591">
        <f t="shared" si="3"/>
        <v>3.0360674263113289E-2</v>
      </c>
      <c r="I47" s="591">
        <f t="shared" si="4"/>
        <v>2.9143459837536776E-2</v>
      </c>
      <c r="J47" s="591">
        <f t="shared" si="5"/>
        <v>2.4781710807579436E-2</v>
      </c>
      <c r="K47" s="591">
        <f t="shared" si="6"/>
        <v>2.4326089322642672E-2</v>
      </c>
      <c r="L47" s="591">
        <f t="shared" si="7"/>
        <v>3.421146953405018E-2</v>
      </c>
      <c r="M47" s="591">
        <f t="shared" si="8"/>
        <v>6.4556509298998574E-2</v>
      </c>
      <c r="N47" s="591">
        <f t="shared" si="9"/>
        <v>6.4622701446749808E-2</v>
      </c>
      <c r="O47" s="592">
        <f t="shared" si="10"/>
        <v>5.7757401006501063E-2</v>
      </c>
      <c r="P47" s="593">
        <f t="shared" si="11"/>
        <v>5.3759847064731081E-2</v>
      </c>
      <c r="Q47" s="225"/>
      <c r="R47" s="594">
        <v>3285</v>
      </c>
      <c r="S47" s="595">
        <v>114</v>
      </c>
      <c r="T47" s="596">
        <f t="shared" si="0"/>
        <v>3.4703196347031964E-2</v>
      </c>
      <c r="U47" s="597">
        <v>48486</v>
      </c>
      <c r="V47" s="598">
        <v>1214</v>
      </c>
      <c r="W47" s="599">
        <f t="shared" si="1"/>
        <v>2.5038155343810584E-2</v>
      </c>
      <c r="X47" s="597">
        <v>50347</v>
      </c>
      <c r="Y47" s="598">
        <v>1647</v>
      </c>
      <c r="Z47" s="600">
        <f t="shared" si="16"/>
        <v>3.271297197449699E-2</v>
      </c>
      <c r="AA47" s="597">
        <v>51554</v>
      </c>
      <c r="AB47" s="598">
        <v>1668</v>
      </c>
      <c r="AC47" s="600">
        <f t="shared" si="17"/>
        <v>3.2354424486945726E-2</v>
      </c>
      <c r="AD47" s="597">
        <v>53095</v>
      </c>
      <c r="AE47" s="598">
        <v>1612</v>
      </c>
      <c r="AF47" s="601">
        <f t="shared" si="18"/>
        <v>3.0360674263113289E-2</v>
      </c>
      <c r="AG47" s="597">
        <v>54043</v>
      </c>
      <c r="AH47" s="598">
        <v>1575</v>
      </c>
      <c r="AI47" s="601">
        <f t="shared" si="19"/>
        <v>2.9143459837536776E-2</v>
      </c>
      <c r="AJ47" s="597">
        <v>55202</v>
      </c>
      <c r="AK47" s="598">
        <v>1368</v>
      </c>
      <c r="AL47" s="601">
        <f t="shared" si="20"/>
        <v>2.4781710807579436E-2</v>
      </c>
      <c r="AM47" s="597">
        <v>55126</v>
      </c>
      <c r="AN47" s="598">
        <v>1341</v>
      </c>
      <c r="AO47" s="601">
        <f t="shared" si="21"/>
        <v>2.4326089322642672E-2</v>
      </c>
      <c r="AP47" s="597">
        <v>55800</v>
      </c>
      <c r="AQ47" s="598">
        <v>1909</v>
      </c>
      <c r="AR47" s="601">
        <f t="shared" si="22"/>
        <v>3.421146953405018E-2</v>
      </c>
      <c r="AS47" s="602">
        <v>55920</v>
      </c>
      <c r="AT47" s="598">
        <v>3610</v>
      </c>
      <c r="AU47" s="603">
        <f t="shared" si="23"/>
        <v>6.4556509298998574E-2</v>
      </c>
      <c r="AV47" s="597">
        <v>55089</v>
      </c>
      <c r="AW47" s="598">
        <v>3560</v>
      </c>
      <c r="AX47" s="601">
        <f t="shared" si="24"/>
        <v>6.4622701446749808E-2</v>
      </c>
      <c r="AY47" s="604">
        <v>55837</v>
      </c>
      <c r="AZ47" s="605">
        <v>3225</v>
      </c>
      <c r="BA47" s="606">
        <f t="shared" si="12"/>
        <v>5.7757401006501063E-2</v>
      </c>
      <c r="BC47" s="607">
        <v>56304.272727272728</v>
      </c>
      <c r="BD47" s="608">
        <v>3026.909090909091</v>
      </c>
      <c r="BE47" s="606">
        <f t="shared" si="13"/>
        <v>5.3759847064731081E-2</v>
      </c>
    </row>
    <row r="48" spans="1:57" ht="15" customHeight="1">
      <c r="A48" s="587" t="s">
        <v>111</v>
      </c>
      <c r="B48" s="609" t="s">
        <v>112</v>
      </c>
      <c r="C48" s="196" t="s">
        <v>273</v>
      </c>
      <c r="D48" s="589">
        <f t="shared" si="2"/>
        <v>4.206451612903226E-2</v>
      </c>
      <c r="E48" s="590">
        <f t="shared" si="25"/>
        <v>2.9352983562873032E-2</v>
      </c>
      <c r="F48" s="591">
        <f t="shared" si="14"/>
        <v>3.6631019630469497E-2</v>
      </c>
      <c r="G48" s="591">
        <f t="shared" si="15"/>
        <v>3.7052470054434454E-2</v>
      </c>
      <c r="H48" s="591">
        <f t="shared" si="3"/>
        <v>3.4427774621701185E-2</v>
      </c>
      <c r="I48" s="591">
        <f t="shared" si="4"/>
        <v>3.3384587153641239E-2</v>
      </c>
      <c r="J48" s="591">
        <f t="shared" si="5"/>
        <v>2.8178467772508903E-2</v>
      </c>
      <c r="K48" s="591">
        <f t="shared" si="6"/>
        <v>2.7240252801270112E-2</v>
      </c>
      <c r="L48" s="591">
        <f t="shared" si="7"/>
        <v>3.6198604129750837E-2</v>
      </c>
      <c r="M48" s="591">
        <f t="shared" si="8"/>
        <v>6.8117551706540991E-2</v>
      </c>
      <c r="N48" s="591">
        <f t="shared" si="9"/>
        <v>6.8553076362234039E-2</v>
      </c>
      <c r="O48" s="592">
        <f t="shared" si="10"/>
        <v>6.0998915345281755E-2</v>
      </c>
      <c r="P48" s="593">
        <f t="shared" si="11"/>
        <v>5.5298951566378589E-2</v>
      </c>
      <c r="Q48" s="225"/>
      <c r="R48" s="594">
        <v>7750</v>
      </c>
      <c r="S48" s="595">
        <v>326</v>
      </c>
      <c r="T48" s="596">
        <f t="shared" si="0"/>
        <v>4.206451612903226E-2</v>
      </c>
      <c r="U48" s="597">
        <v>147106</v>
      </c>
      <c r="V48" s="598">
        <v>4318</v>
      </c>
      <c r="W48" s="599">
        <f t="shared" si="1"/>
        <v>2.9352983562873032E-2</v>
      </c>
      <c r="X48" s="597">
        <v>149054</v>
      </c>
      <c r="Y48" s="598">
        <v>5460</v>
      </c>
      <c r="Z48" s="600">
        <f t="shared" si="16"/>
        <v>3.6631019630469497E-2</v>
      </c>
      <c r="AA48" s="597">
        <v>151191</v>
      </c>
      <c r="AB48" s="598">
        <v>5602</v>
      </c>
      <c r="AC48" s="600">
        <f t="shared" si="17"/>
        <v>3.7052470054434454E-2</v>
      </c>
      <c r="AD48" s="597">
        <v>154904</v>
      </c>
      <c r="AE48" s="598">
        <v>5333</v>
      </c>
      <c r="AF48" s="601">
        <f t="shared" si="18"/>
        <v>3.4427774621701185E-2</v>
      </c>
      <c r="AG48" s="597">
        <v>158037</v>
      </c>
      <c r="AH48" s="598">
        <v>5276</v>
      </c>
      <c r="AI48" s="601">
        <f t="shared" si="19"/>
        <v>3.3384587153641239E-2</v>
      </c>
      <c r="AJ48" s="597">
        <v>160903</v>
      </c>
      <c r="AK48" s="598">
        <v>4534</v>
      </c>
      <c r="AL48" s="601">
        <f t="shared" si="20"/>
        <v>2.8178467772508903E-2</v>
      </c>
      <c r="AM48" s="597">
        <v>163765</v>
      </c>
      <c r="AN48" s="598">
        <v>4461</v>
      </c>
      <c r="AO48" s="601">
        <f t="shared" si="21"/>
        <v>2.7240252801270112E-2</v>
      </c>
      <c r="AP48" s="597">
        <v>165918</v>
      </c>
      <c r="AQ48" s="598">
        <v>6006</v>
      </c>
      <c r="AR48" s="601">
        <f t="shared" si="22"/>
        <v>3.6198604129750837E-2</v>
      </c>
      <c r="AS48" s="602">
        <v>166565</v>
      </c>
      <c r="AT48" s="598">
        <v>11346</v>
      </c>
      <c r="AU48" s="603">
        <f t="shared" si="23"/>
        <v>6.8117551706540991E-2</v>
      </c>
      <c r="AV48" s="597">
        <v>165959</v>
      </c>
      <c r="AW48" s="598">
        <v>11377</v>
      </c>
      <c r="AX48" s="601">
        <f t="shared" si="24"/>
        <v>6.8553076362234039E-2</v>
      </c>
      <c r="AY48" s="604">
        <v>174249</v>
      </c>
      <c r="AZ48" s="605">
        <v>10629</v>
      </c>
      <c r="BA48" s="606">
        <f t="shared" si="12"/>
        <v>6.0998915345281755E-2</v>
      </c>
      <c r="BC48" s="607">
        <v>175387.18181818182</v>
      </c>
      <c r="BD48" s="608">
        <v>9698.7272727272721</v>
      </c>
      <c r="BE48" s="606">
        <f t="shared" si="13"/>
        <v>5.5298951566378589E-2</v>
      </c>
    </row>
    <row r="49" spans="1:57" ht="15" customHeight="1">
      <c r="A49" s="587" t="s">
        <v>113</v>
      </c>
      <c r="B49" s="609" t="s">
        <v>114</v>
      </c>
      <c r="C49" s="196" t="s">
        <v>272</v>
      </c>
      <c r="D49" s="589">
        <f t="shared" si="2"/>
        <v>1.9212076162159072E-2</v>
      </c>
      <c r="E49" s="590">
        <f t="shared" si="25"/>
        <v>6.2667809197372179E-2</v>
      </c>
      <c r="F49" s="591">
        <f t="shared" si="14"/>
        <v>0.10528577567683713</v>
      </c>
      <c r="G49" s="591">
        <f t="shared" si="15"/>
        <v>0.10082872928176796</v>
      </c>
      <c r="H49" s="591">
        <f t="shared" si="3"/>
        <v>9.7198381559588029E-2</v>
      </c>
      <c r="I49" s="591">
        <f t="shared" si="4"/>
        <v>7.1705732042020257E-2</v>
      </c>
      <c r="J49" s="591">
        <f t="shared" si="5"/>
        <v>5.129274395329441E-2</v>
      </c>
      <c r="K49" s="591">
        <f t="shared" si="6"/>
        <v>5.9255309137676841E-2</v>
      </c>
      <c r="L49" s="591">
        <f t="shared" si="7"/>
        <v>8.7377400083064438E-2</v>
      </c>
      <c r="M49" s="591">
        <f t="shared" si="8"/>
        <v>0.15272575946733249</v>
      </c>
      <c r="N49" s="591">
        <f t="shared" si="9"/>
        <v>0.14528051554207733</v>
      </c>
      <c r="O49" s="592">
        <f t="shared" si="10"/>
        <v>0.1262304962164334</v>
      </c>
      <c r="P49" s="593">
        <f t="shared" si="11"/>
        <v>0.10940812051108285</v>
      </c>
      <c r="Q49" s="225"/>
      <c r="R49" s="610">
        <v>17489</v>
      </c>
      <c r="S49" s="611">
        <v>336</v>
      </c>
      <c r="T49" s="612">
        <f t="shared" si="0"/>
        <v>1.9212076162159072E-2</v>
      </c>
      <c r="U49" s="613">
        <v>35010</v>
      </c>
      <c r="V49" s="614">
        <v>2194</v>
      </c>
      <c r="W49" s="599">
        <f t="shared" si="1"/>
        <v>6.2667809197372179E-2</v>
      </c>
      <c r="X49" s="613">
        <v>34905</v>
      </c>
      <c r="Y49" s="614">
        <v>3675</v>
      </c>
      <c r="Z49" s="600">
        <f t="shared" si="16"/>
        <v>0.10528577567683713</v>
      </c>
      <c r="AA49" s="613">
        <v>34752</v>
      </c>
      <c r="AB49" s="614">
        <v>3504</v>
      </c>
      <c r="AC49" s="600">
        <f t="shared" si="17"/>
        <v>0.10082872928176796</v>
      </c>
      <c r="AD49" s="613">
        <v>32624</v>
      </c>
      <c r="AE49" s="614">
        <v>3171</v>
      </c>
      <c r="AF49" s="601">
        <f t="shared" si="18"/>
        <v>9.7198381559588029E-2</v>
      </c>
      <c r="AG49" s="613">
        <v>31699</v>
      </c>
      <c r="AH49" s="614">
        <v>2273</v>
      </c>
      <c r="AI49" s="601">
        <f t="shared" si="19"/>
        <v>7.1705732042020257E-2</v>
      </c>
      <c r="AJ49" s="613">
        <v>31174</v>
      </c>
      <c r="AK49" s="614">
        <v>1599</v>
      </c>
      <c r="AL49" s="601">
        <f t="shared" si="20"/>
        <v>5.129274395329441E-2</v>
      </c>
      <c r="AM49" s="613">
        <v>31879</v>
      </c>
      <c r="AN49" s="614">
        <v>1889</v>
      </c>
      <c r="AO49" s="601">
        <f t="shared" si="21"/>
        <v>5.9255309137676841E-2</v>
      </c>
      <c r="AP49" s="613">
        <v>31301</v>
      </c>
      <c r="AQ49" s="614">
        <v>2735</v>
      </c>
      <c r="AR49" s="601">
        <f t="shared" si="22"/>
        <v>8.7377400083064438E-2</v>
      </c>
      <c r="AS49" s="615">
        <v>31239</v>
      </c>
      <c r="AT49" s="614">
        <v>4771</v>
      </c>
      <c r="AU49" s="603">
        <f t="shared" si="23"/>
        <v>0.15272575946733249</v>
      </c>
      <c r="AV49" s="613">
        <v>31656</v>
      </c>
      <c r="AW49" s="614">
        <v>4599</v>
      </c>
      <c r="AX49" s="601">
        <f t="shared" si="24"/>
        <v>0.14528051554207733</v>
      </c>
      <c r="AY49" s="604">
        <v>29866</v>
      </c>
      <c r="AZ49" s="605">
        <v>3770</v>
      </c>
      <c r="BA49" s="606">
        <f t="shared" si="12"/>
        <v>0.1262304962164334</v>
      </c>
      <c r="BC49" s="607">
        <v>29377.909090909088</v>
      </c>
      <c r="BD49" s="608">
        <v>3214.181818181818</v>
      </c>
      <c r="BE49" s="606">
        <f t="shared" si="13"/>
        <v>0.10940812051108285</v>
      </c>
    </row>
    <row r="50" spans="1:57" ht="15" customHeight="1">
      <c r="A50" s="587" t="s">
        <v>115</v>
      </c>
      <c r="B50" s="609" t="s">
        <v>116</v>
      </c>
      <c r="C50" s="196" t="s">
        <v>272</v>
      </c>
      <c r="D50" s="589">
        <f t="shared" si="2"/>
        <v>1.7375606453796683E-2</v>
      </c>
      <c r="E50" s="590">
        <f t="shared" si="25"/>
        <v>3.1774051191526917E-2</v>
      </c>
      <c r="F50" s="591">
        <f t="shared" si="14"/>
        <v>3.9007092198581561E-2</v>
      </c>
      <c r="G50" s="591">
        <f t="shared" si="15"/>
        <v>4.1771094402673348E-2</v>
      </c>
      <c r="H50" s="591">
        <f t="shared" si="3"/>
        <v>3.3940397350993377E-2</v>
      </c>
      <c r="I50" s="591">
        <f t="shared" si="4"/>
        <v>3.430962343096234E-2</v>
      </c>
      <c r="J50" s="591">
        <f t="shared" si="5"/>
        <v>3.1578947368421054E-2</v>
      </c>
      <c r="K50" s="591">
        <f t="shared" si="6"/>
        <v>3.3480176211453744E-2</v>
      </c>
      <c r="L50" s="591">
        <f t="shared" si="7"/>
        <v>5.0788091068301226E-2</v>
      </c>
      <c r="M50" s="591">
        <f t="shared" si="8"/>
        <v>7.9225352112676062E-2</v>
      </c>
      <c r="N50" s="591">
        <f t="shared" si="9"/>
        <v>7.8164825828377235E-2</v>
      </c>
      <c r="O50" s="592">
        <f t="shared" si="10"/>
        <v>6.9930069930069935E-2</v>
      </c>
      <c r="P50" s="593">
        <f t="shared" si="11"/>
        <v>6.0965151633273568E-2</v>
      </c>
      <c r="Q50" s="225"/>
      <c r="R50" s="594">
        <v>8863</v>
      </c>
      <c r="S50" s="595">
        <v>154</v>
      </c>
      <c r="T50" s="596">
        <f t="shared" si="0"/>
        <v>1.7375606453796683E-2</v>
      </c>
      <c r="U50" s="597">
        <v>1133</v>
      </c>
      <c r="V50" s="598">
        <v>36</v>
      </c>
      <c r="W50" s="599">
        <f t="shared" si="1"/>
        <v>3.1774051191526917E-2</v>
      </c>
      <c r="X50" s="597">
        <v>1128</v>
      </c>
      <c r="Y50" s="598">
        <v>44</v>
      </c>
      <c r="Z50" s="600">
        <f t="shared" si="16"/>
        <v>3.9007092198581561E-2</v>
      </c>
      <c r="AA50" s="597">
        <v>1197</v>
      </c>
      <c r="AB50" s="598">
        <v>50</v>
      </c>
      <c r="AC50" s="600">
        <f t="shared" si="17"/>
        <v>4.1771094402673348E-2</v>
      </c>
      <c r="AD50" s="597">
        <v>1208</v>
      </c>
      <c r="AE50" s="598">
        <v>41</v>
      </c>
      <c r="AF50" s="601">
        <f t="shared" si="18"/>
        <v>3.3940397350993377E-2</v>
      </c>
      <c r="AG50" s="597">
        <v>1195</v>
      </c>
      <c r="AH50" s="598">
        <v>41</v>
      </c>
      <c r="AI50" s="601">
        <f t="shared" si="19"/>
        <v>3.430962343096234E-2</v>
      </c>
      <c r="AJ50" s="597">
        <v>1140</v>
      </c>
      <c r="AK50" s="598">
        <v>36</v>
      </c>
      <c r="AL50" s="601">
        <f t="shared" si="20"/>
        <v>3.1578947368421054E-2</v>
      </c>
      <c r="AM50" s="597">
        <v>1135</v>
      </c>
      <c r="AN50" s="598">
        <v>38</v>
      </c>
      <c r="AO50" s="601">
        <f t="shared" si="21"/>
        <v>3.3480176211453744E-2</v>
      </c>
      <c r="AP50" s="597">
        <v>1142</v>
      </c>
      <c r="AQ50" s="598">
        <v>58</v>
      </c>
      <c r="AR50" s="601">
        <f t="shared" si="22"/>
        <v>5.0788091068301226E-2</v>
      </c>
      <c r="AS50" s="602">
        <v>1136</v>
      </c>
      <c r="AT50" s="598">
        <v>90</v>
      </c>
      <c r="AU50" s="603">
        <f t="shared" si="23"/>
        <v>7.9225352112676062E-2</v>
      </c>
      <c r="AV50" s="597">
        <v>1177</v>
      </c>
      <c r="AW50" s="598">
        <v>92</v>
      </c>
      <c r="AX50" s="601">
        <f t="shared" si="24"/>
        <v>7.8164825828377235E-2</v>
      </c>
      <c r="AY50" s="604">
        <v>1144</v>
      </c>
      <c r="AZ50" s="605">
        <v>80</v>
      </c>
      <c r="BA50" s="606">
        <f t="shared" si="12"/>
        <v>6.9930069930069935E-2</v>
      </c>
      <c r="BC50" s="607">
        <v>1166.090909090909</v>
      </c>
      <c r="BD50" s="608">
        <v>71.090909090909093</v>
      </c>
      <c r="BE50" s="606">
        <f t="shared" si="13"/>
        <v>6.0965151633273568E-2</v>
      </c>
    </row>
    <row r="51" spans="1:57" ht="15" customHeight="1">
      <c r="A51" s="587" t="s">
        <v>119</v>
      </c>
      <c r="B51" s="609" t="s">
        <v>120</v>
      </c>
      <c r="C51" s="196" t="s">
        <v>271</v>
      </c>
      <c r="D51" s="589">
        <f t="shared" si="2"/>
        <v>5.0851672261593935E-2</v>
      </c>
      <c r="E51" s="590">
        <f t="shared" si="25"/>
        <v>2.6667536023994264E-2</v>
      </c>
      <c r="F51" s="591">
        <f t="shared" si="14"/>
        <v>3.4725274725274723E-2</v>
      </c>
      <c r="G51" s="591">
        <f t="shared" si="15"/>
        <v>3.565571281054486E-2</v>
      </c>
      <c r="H51" s="591">
        <f t="shared" si="3"/>
        <v>3.3994669825288718E-2</v>
      </c>
      <c r="I51" s="591">
        <f t="shared" si="4"/>
        <v>3.626204458635042E-2</v>
      </c>
      <c r="J51" s="591">
        <f t="shared" si="5"/>
        <v>3.0128657510450029E-2</v>
      </c>
      <c r="K51" s="591">
        <f t="shared" si="6"/>
        <v>2.8205128205128206E-2</v>
      </c>
      <c r="L51" s="591">
        <f t="shared" si="7"/>
        <v>3.6571308812742322E-2</v>
      </c>
      <c r="M51" s="591">
        <f t="shared" si="8"/>
        <v>6.1520785460622521E-2</v>
      </c>
      <c r="N51" s="591">
        <f t="shared" si="9"/>
        <v>7.0764570712345931E-2</v>
      </c>
      <c r="O51" s="592">
        <f t="shared" si="10"/>
        <v>6.5172378092970287E-2</v>
      </c>
      <c r="P51" s="593">
        <f t="shared" si="11"/>
        <v>5.844817945597474E-2</v>
      </c>
      <c r="Q51" s="225"/>
      <c r="R51" s="594">
        <v>8043</v>
      </c>
      <c r="S51" s="595">
        <v>409</v>
      </c>
      <c r="T51" s="596">
        <f t="shared" si="0"/>
        <v>5.0851672261593935E-2</v>
      </c>
      <c r="U51" s="597">
        <v>15337</v>
      </c>
      <c r="V51" s="598">
        <v>409</v>
      </c>
      <c r="W51" s="599">
        <f t="shared" si="1"/>
        <v>2.6667536023994264E-2</v>
      </c>
      <c r="X51" s="597">
        <v>15925</v>
      </c>
      <c r="Y51" s="598">
        <v>553</v>
      </c>
      <c r="Z51" s="600">
        <f t="shared" si="16"/>
        <v>3.4725274725274723E-2</v>
      </c>
      <c r="AA51" s="597">
        <v>16463</v>
      </c>
      <c r="AB51" s="598">
        <v>587</v>
      </c>
      <c r="AC51" s="600">
        <f t="shared" si="17"/>
        <v>3.565571281054486E-2</v>
      </c>
      <c r="AD51" s="597">
        <v>16885</v>
      </c>
      <c r="AE51" s="598">
        <v>574</v>
      </c>
      <c r="AF51" s="601">
        <f t="shared" si="18"/>
        <v>3.3994669825288718E-2</v>
      </c>
      <c r="AG51" s="597">
        <v>17539</v>
      </c>
      <c r="AH51" s="598">
        <v>636</v>
      </c>
      <c r="AI51" s="601">
        <f t="shared" si="19"/>
        <v>3.626204458635042E-2</v>
      </c>
      <c r="AJ51" s="597">
        <v>18421</v>
      </c>
      <c r="AK51" s="598">
        <v>555</v>
      </c>
      <c r="AL51" s="601">
        <f t="shared" si="20"/>
        <v>3.0128657510450029E-2</v>
      </c>
      <c r="AM51" s="597">
        <v>18720</v>
      </c>
      <c r="AN51" s="598">
        <v>528</v>
      </c>
      <c r="AO51" s="601">
        <f t="shared" si="21"/>
        <v>2.8205128205128206E-2</v>
      </c>
      <c r="AP51" s="597">
        <v>19086</v>
      </c>
      <c r="AQ51" s="598">
        <v>698</v>
      </c>
      <c r="AR51" s="601">
        <f t="shared" si="22"/>
        <v>3.6571308812742322E-2</v>
      </c>
      <c r="AS51" s="602">
        <v>19148</v>
      </c>
      <c r="AT51" s="598">
        <v>1178</v>
      </c>
      <c r="AU51" s="603">
        <f t="shared" si="23"/>
        <v>6.1520785460622521E-2</v>
      </c>
      <c r="AV51" s="597">
        <v>19148</v>
      </c>
      <c r="AW51" s="598">
        <v>1355</v>
      </c>
      <c r="AX51" s="601">
        <f t="shared" si="24"/>
        <v>7.0764570712345931E-2</v>
      </c>
      <c r="AY51" s="604">
        <v>19318</v>
      </c>
      <c r="AZ51" s="605">
        <v>1259</v>
      </c>
      <c r="BA51" s="606">
        <f t="shared" si="12"/>
        <v>6.5172378092970287E-2</v>
      </c>
      <c r="BC51" s="607">
        <v>19347.363636363636</v>
      </c>
      <c r="BD51" s="608">
        <v>1130.8181818181818</v>
      </c>
      <c r="BE51" s="606">
        <f t="shared" si="13"/>
        <v>5.844817945597474E-2</v>
      </c>
    </row>
    <row r="52" spans="1:57" ht="15" customHeight="1">
      <c r="A52" s="587" t="s">
        <v>121</v>
      </c>
      <c r="B52" s="609" t="s">
        <v>122</v>
      </c>
      <c r="C52" s="196" t="s">
        <v>271</v>
      </c>
      <c r="D52" s="589">
        <f t="shared" si="2"/>
        <v>1.8323353293413173E-2</v>
      </c>
      <c r="E52" s="590">
        <f t="shared" si="25"/>
        <v>2.5278225973273758E-2</v>
      </c>
      <c r="F52" s="591">
        <f t="shared" si="14"/>
        <v>3.2810662485299881E-2</v>
      </c>
      <c r="G52" s="591">
        <f t="shared" si="15"/>
        <v>3.3176248821866164E-2</v>
      </c>
      <c r="H52" s="591">
        <f t="shared" si="3"/>
        <v>3.3103994812866973E-2</v>
      </c>
      <c r="I52" s="591">
        <f t="shared" si="4"/>
        <v>3.0955492880236638E-2</v>
      </c>
      <c r="J52" s="591">
        <f t="shared" si="5"/>
        <v>2.6034341782502045E-2</v>
      </c>
      <c r="K52" s="591">
        <f t="shared" si="6"/>
        <v>2.4267384761603041E-2</v>
      </c>
      <c r="L52" s="591">
        <f t="shared" si="7"/>
        <v>3.1580897107399745E-2</v>
      </c>
      <c r="M52" s="591">
        <f t="shared" si="8"/>
        <v>5.3007135575942915E-2</v>
      </c>
      <c r="N52" s="591">
        <f t="shared" si="9"/>
        <v>5.6471964054902443E-2</v>
      </c>
      <c r="O52" s="592">
        <f t="shared" si="10"/>
        <v>5.263008245663918E-2</v>
      </c>
      <c r="P52" s="593">
        <f t="shared" si="11"/>
        <v>4.9667376127168227E-2</v>
      </c>
      <c r="Q52" s="225"/>
      <c r="R52" s="594">
        <v>8350</v>
      </c>
      <c r="S52" s="595">
        <v>153</v>
      </c>
      <c r="T52" s="596">
        <f t="shared" si="0"/>
        <v>1.8323353293413173E-2</v>
      </c>
      <c r="U52" s="597">
        <v>24171</v>
      </c>
      <c r="V52" s="598">
        <v>611</v>
      </c>
      <c r="W52" s="599">
        <f t="shared" si="1"/>
        <v>2.5278225973273758E-2</v>
      </c>
      <c r="X52" s="597">
        <v>25510</v>
      </c>
      <c r="Y52" s="598">
        <v>837</v>
      </c>
      <c r="Z52" s="600">
        <f t="shared" si="16"/>
        <v>3.2810662485299881E-2</v>
      </c>
      <c r="AA52" s="597">
        <v>26525</v>
      </c>
      <c r="AB52" s="598">
        <v>880</v>
      </c>
      <c r="AC52" s="600">
        <f t="shared" si="17"/>
        <v>3.3176248821866164E-2</v>
      </c>
      <c r="AD52" s="597">
        <v>27761</v>
      </c>
      <c r="AE52" s="598">
        <v>919</v>
      </c>
      <c r="AF52" s="601">
        <f t="shared" si="18"/>
        <v>3.3103994812866973E-2</v>
      </c>
      <c r="AG52" s="597">
        <v>29074</v>
      </c>
      <c r="AH52" s="598">
        <v>900</v>
      </c>
      <c r="AI52" s="601">
        <f t="shared" si="19"/>
        <v>3.0955492880236638E-2</v>
      </c>
      <c r="AJ52" s="597">
        <v>30575</v>
      </c>
      <c r="AK52" s="598">
        <v>796</v>
      </c>
      <c r="AL52" s="601">
        <f t="shared" si="20"/>
        <v>2.6034341782502045E-2</v>
      </c>
      <c r="AM52" s="597">
        <v>31565</v>
      </c>
      <c r="AN52" s="598">
        <v>766</v>
      </c>
      <c r="AO52" s="601">
        <f t="shared" si="21"/>
        <v>2.4267384761603041E-2</v>
      </c>
      <c r="AP52" s="597">
        <v>32393</v>
      </c>
      <c r="AQ52" s="598">
        <v>1023</v>
      </c>
      <c r="AR52" s="601">
        <f t="shared" si="22"/>
        <v>3.1580897107399745E-2</v>
      </c>
      <c r="AS52" s="602">
        <v>32373</v>
      </c>
      <c r="AT52" s="598">
        <v>1716</v>
      </c>
      <c r="AU52" s="603">
        <f t="shared" si="23"/>
        <v>5.3007135575942915E-2</v>
      </c>
      <c r="AV52" s="597">
        <v>32494</v>
      </c>
      <c r="AW52" s="598">
        <v>1835</v>
      </c>
      <c r="AX52" s="601">
        <f t="shared" si="24"/>
        <v>5.6471964054902443E-2</v>
      </c>
      <c r="AY52" s="604">
        <v>35170</v>
      </c>
      <c r="AZ52" s="605">
        <v>1851</v>
      </c>
      <c r="BA52" s="606">
        <f t="shared" si="12"/>
        <v>5.263008245663918E-2</v>
      </c>
      <c r="BC52" s="607">
        <v>35366.181818181816</v>
      </c>
      <c r="BD52" s="608">
        <v>1756.5454545454545</v>
      </c>
      <c r="BE52" s="606">
        <f t="shared" si="13"/>
        <v>4.9667376127168227E-2</v>
      </c>
    </row>
    <row r="53" spans="1:57" ht="15" customHeight="1">
      <c r="A53" s="587" t="s">
        <v>123</v>
      </c>
      <c r="B53" s="609" t="s">
        <v>278</v>
      </c>
      <c r="C53" s="196" t="s">
        <v>273</v>
      </c>
      <c r="D53" s="589">
        <f t="shared" si="2"/>
        <v>3.2649842271293375E-2</v>
      </c>
      <c r="E53" s="590">
        <f t="shared" si="25"/>
        <v>3.2760814249363869E-2</v>
      </c>
      <c r="F53" s="591">
        <f t="shared" si="14"/>
        <v>4.3698543381887271E-2</v>
      </c>
      <c r="G53" s="591">
        <f t="shared" si="15"/>
        <v>4.5167403663929247E-2</v>
      </c>
      <c r="H53" s="591">
        <f t="shared" si="3"/>
        <v>3.7434795949677815E-2</v>
      </c>
      <c r="I53" s="591">
        <f t="shared" si="4"/>
        <v>3.8834951456310676E-2</v>
      </c>
      <c r="J53" s="591">
        <f t="shared" si="5"/>
        <v>3.3035714285714286E-2</v>
      </c>
      <c r="K53" s="591">
        <f t="shared" si="6"/>
        <v>3.4585569469290402E-2</v>
      </c>
      <c r="L53" s="591">
        <f t="shared" si="7"/>
        <v>4.5698924731182797E-2</v>
      </c>
      <c r="M53" s="591">
        <f t="shared" si="8"/>
        <v>7.8454680534918275E-2</v>
      </c>
      <c r="N53" s="591">
        <f t="shared" si="9"/>
        <v>8.6471828864115696E-2</v>
      </c>
      <c r="O53" s="592">
        <f t="shared" si="10"/>
        <v>7.3727325921591577E-2</v>
      </c>
      <c r="P53" s="593">
        <f t="shared" si="11"/>
        <v>6.6806011218118314E-2</v>
      </c>
      <c r="Q53" s="225"/>
      <c r="R53" s="594">
        <v>6340</v>
      </c>
      <c r="S53" s="595">
        <v>207</v>
      </c>
      <c r="T53" s="596">
        <f t="shared" si="0"/>
        <v>3.2649842271293375E-2</v>
      </c>
      <c r="U53" s="597">
        <v>3144</v>
      </c>
      <c r="V53" s="598">
        <v>103</v>
      </c>
      <c r="W53" s="599">
        <f t="shared" si="1"/>
        <v>3.2760814249363869E-2</v>
      </c>
      <c r="X53" s="597">
        <v>3158</v>
      </c>
      <c r="Y53" s="598">
        <v>138</v>
      </c>
      <c r="Z53" s="600">
        <f t="shared" si="16"/>
        <v>4.3698543381887271E-2</v>
      </c>
      <c r="AA53" s="597">
        <v>3166</v>
      </c>
      <c r="AB53" s="598">
        <v>143</v>
      </c>
      <c r="AC53" s="600">
        <f t="shared" si="17"/>
        <v>4.5167403663929247E-2</v>
      </c>
      <c r="AD53" s="597">
        <v>3259</v>
      </c>
      <c r="AE53" s="598">
        <v>122</v>
      </c>
      <c r="AF53" s="601">
        <f t="shared" si="18"/>
        <v>3.7434795949677815E-2</v>
      </c>
      <c r="AG53" s="597">
        <v>3296</v>
      </c>
      <c r="AH53" s="598">
        <v>128</v>
      </c>
      <c r="AI53" s="601">
        <f t="shared" si="19"/>
        <v>3.8834951456310676E-2</v>
      </c>
      <c r="AJ53" s="597">
        <v>3360</v>
      </c>
      <c r="AK53" s="598">
        <v>111</v>
      </c>
      <c r="AL53" s="601">
        <f t="shared" si="20"/>
        <v>3.3035714285714286E-2</v>
      </c>
      <c r="AM53" s="597">
        <v>3354</v>
      </c>
      <c r="AN53" s="598">
        <v>116</v>
      </c>
      <c r="AO53" s="601">
        <f t="shared" si="21"/>
        <v>3.4585569469290402E-2</v>
      </c>
      <c r="AP53" s="597">
        <v>3348</v>
      </c>
      <c r="AQ53" s="598">
        <v>153</v>
      </c>
      <c r="AR53" s="601">
        <f t="shared" si="22"/>
        <v>4.5698924731182797E-2</v>
      </c>
      <c r="AS53" s="602">
        <v>3365</v>
      </c>
      <c r="AT53" s="598">
        <v>264</v>
      </c>
      <c r="AU53" s="603">
        <f t="shared" si="23"/>
        <v>7.8454680534918275E-2</v>
      </c>
      <c r="AV53" s="597">
        <v>3319</v>
      </c>
      <c r="AW53" s="598">
        <v>287</v>
      </c>
      <c r="AX53" s="601">
        <f t="shared" si="24"/>
        <v>8.6471828864115696E-2</v>
      </c>
      <c r="AY53" s="604">
        <v>3418</v>
      </c>
      <c r="AZ53" s="605">
        <v>252</v>
      </c>
      <c r="BA53" s="606">
        <f t="shared" si="12"/>
        <v>7.3727325921591577E-2</v>
      </c>
      <c r="BC53" s="607">
        <v>3436</v>
      </c>
      <c r="BD53" s="608">
        <v>229.54545454545453</v>
      </c>
      <c r="BE53" s="606">
        <f t="shared" si="13"/>
        <v>6.6806011218118314E-2</v>
      </c>
    </row>
    <row r="54" spans="1:57" ht="15" customHeight="1">
      <c r="A54" s="587" t="s">
        <v>125</v>
      </c>
      <c r="B54" s="609" t="s">
        <v>126</v>
      </c>
      <c r="C54" s="196" t="s">
        <v>274</v>
      </c>
      <c r="D54" s="589">
        <f t="shared" si="2"/>
        <v>4.9624246941183781E-2</v>
      </c>
      <c r="E54" s="590">
        <f t="shared" si="25"/>
        <v>2.4404282260849546E-2</v>
      </c>
      <c r="F54" s="591">
        <f t="shared" si="14"/>
        <v>3.1165311653116531E-2</v>
      </c>
      <c r="G54" s="591">
        <f t="shared" si="15"/>
        <v>3.22969126341143E-2</v>
      </c>
      <c r="H54" s="591">
        <f t="shared" si="3"/>
        <v>3.0739466895958727E-2</v>
      </c>
      <c r="I54" s="591">
        <f t="shared" si="4"/>
        <v>3.3183293206322621E-2</v>
      </c>
      <c r="J54" s="591">
        <f t="shared" si="5"/>
        <v>3.2953237786379326E-2</v>
      </c>
      <c r="K54" s="591">
        <f t="shared" si="6"/>
        <v>3.462192013593883E-2</v>
      </c>
      <c r="L54" s="591">
        <f t="shared" si="7"/>
        <v>5.0606657679145496E-2</v>
      </c>
      <c r="M54" s="591">
        <f t="shared" si="8"/>
        <v>7.669674382110632E-2</v>
      </c>
      <c r="N54" s="591">
        <f t="shared" si="9"/>
        <v>8.0802346485003312E-2</v>
      </c>
      <c r="O54" s="592">
        <f t="shared" si="10"/>
        <v>7.3186588650506174E-2</v>
      </c>
      <c r="P54" s="593">
        <f t="shared" si="11"/>
        <v>6.6522354508367326E-2</v>
      </c>
      <c r="Q54" s="225"/>
      <c r="R54" s="594">
        <v>16101</v>
      </c>
      <c r="S54" s="595">
        <v>799</v>
      </c>
      <c r="T54" s="596">
        <f t="shared" si="0"/>
        <v>4.9624246941183781E-2</v>
      </c>
      <c r="U54" s="597">
        <v>8687</v>
      </c>
      <c r="V54" s="598">
        <v>212</v>
      </c>
      <c r="W54" s="599">
        <f t="shared" si="1"/>
        <v>2.4404282260849546E-2</v>
      </c>
      <c r="X54" s="597">
        <v>8856</v>
      </c>
      <c r="Y54" s="598">
        <v>276</v>
      </c>
      <c r="Z54" s="600">
        <f t="shared" si="16"/>
        <v>3.1165311653116531E-2</v>
      </c>
      <c r="AA54" s="597">
        <v>9134</v>
      </c>
      <c r="AB54" s="598">
        <v>295</v>
      </c>
      <c r="AC54" s="600">
        <f t="shared" si="17"/>
        <v>3.22969126341143E-2</v>
      </c>
      <c r="AD54" s="597">
        <v>9304</v>
      </c>
      <c r="AE54" s="598">
        <v>286</v>
      </c>
      <c r="AF54" s="601">
        <f t="shared" si="18"/>
        <v>3.0739466895958727E-2</v>
      </c>
      <c r="AG54" s="597">
        <v>9553</v>
      </c>
      <c r="AH54" s="598">
        <v>317</v>
      </c>
      <c r="AI54" s="601">
        <f t="shared" si="19"/>
        <v>3.3183293206322621E-2</v>
      </c>
      <c r="AJ54" s="597">
        <v>9559</v>
      </c>
      <c r="AK54" s="598">
        <v>315</v>
      </c>
      <c r="AL54" s="601">
        <f t="shared" si="20"/>
        <v>3.2953237786379326E-2</v>
      </c>
      <c r="AM54" s="597">
        <v>9416</v>
      </c>
      <c r="AN54" s="598">
        <v>326</v>
      </c>
      <c r="AO54" s="601">
        <f t="shared" si="21"/>
        <v>3.462192013593883E-2</v>
      </c>
      <c r="AP54" s="597">
        <v>9643</v>
      </c>
      <c r="AQ54" s="598">
        <v>488</v>
      </c>
      <c r="AR54" s="601">
        <f t="shared" si="22"/>
        <v>5.0606657679145496E-2</v>
      </c>
      <c r="AS54" s="602">
        <v>10196</v>
      </c>
      <c r="AT54" s="598">
        <v>782</v>
      </c>
      <c r="AU54" s="603">
        <f t="shared" si="23"/>
        <v>7.669674382110632E-2</v>
      </c>
      <c r="AV54" s="597">
        <v>10569</v>
      </c>
      <c r="AW54" s="598">
        <v>854</v>
      </c>
      <c r="AX54" s="601">
        <f t="shared" si="24"/>
        <v>8.0802346485003312E-2</v>
      </c>
      <c r="AY54" s="604">
        <v>10767</v>
      </c>
      <c r="AZ54" s="605">
        <v>788</v>
      </c>
      <c r="BA54" s="606">
        <f t="shared" si="12"/>
        <v>7.3186588650506174E-2</v>
      </c>
      <c r="BC54" s="607">
        <v>10919.09090909091</v>
      </c>
      <c r="BD54" s="608">
        <v>726.36363636363637</v>
      </c>
      <c r="BE54" s="606">
        <f t="shared" si="13"/>
        <v>6.6522354508367326E-2</v>
      </c>
    </row>
    <row r="55" spans="1:57" ht="15" customHeight="1">
      <c r="A55" s="587" t="s">
        <v>127</v>
      </c>
      <c r="B55" s="609" t="s">
        <v>128</v>
      </c>
      <c r="C55" s="196" t="s">
        <v>273</v>
      </c>
      <c r="D55" s="589">
        <f t="shared" si="2"/>
        <v>2.6882897535343425E-2</v>
      </c>
      <c r="E55" s="590">
        <f t="shared" si="25"/>
        <v>2.9227557411273485E-2</v>
      </c>
      <c r="F55" s="591">
        <f t="shared" si="14"/>
        <v>3.6183764737769346E-2</v>
      </c>
      <c r="G55" s="591">
        <f t="shared" si="15"/>
        <v>3.6243386243386244E-2</v>
      </c>
      <c r="H55" s="591">
        <f t="shared" si="3"/>
        <v>3.350148751778554E-2</v>
      </c>
      <c r="I55" s="591">
        <f t="shared" si="4"/>
        <v>3.4418022528160203E-2</v>
      </c>
      <c r="J55" s="591">
        <f t="shared" si="5"/>
        <v>2.6684216824219217E-2</v>
      </c>
      <c r="K55" s="591">
        <f t="shared" si="6"/>
        <v>2.6640065719985916E-2</v>
      </c>
      <c r="L55" s="591">
        <f t="shared" si="7"/>
        <v>3.7231612608497028E-2</v>
      </c>
      <c r="M55" s="591">
        <f t="shared" si="8"/>
        <v>6.9169510807736062E-2</v>
      </c>
      <c r="N55" s="591">
        <f t="shared" si="9"/>
        <v>7.1338888254765434E-2</v>
      </c>
      <c r="O55" s="592">
        <f t="shared" si="10"/>
        <v>6.7184643510054848E-2</v>
      </c>
      <c r="P55" s="593">
        <f t="shared" si="11"/>
        <v>6.1437004623513869E-2</v>
      </c>
      <c r="Q55" s="196"/>
      <c r="R55" s="610">
        <v>63944</v>
      </c>
      <c r="S55" s="611">
        <v>1719</v>
      </c>
      <c r="T55" s="612">
        <f t="shared" si="0"/>
        <v>2.6882897535343425E-2</v>
      </c>
      <c r="U55" s="597">
        <v>7185</v>
      </c>
      <c r="V55" s="598">
        <v>210</v>
      </c>
      <c r="W55" s="599">
        <f t="shared" si="1"/>
        <v>2.9227557411273485E-2</v>
      </c>
      <c r="X55" s="597">
        <v>7379</v>
      </c>
      <c r="Y55" s="598">
        <v>267</v>
      </c>
      <c r="Z55" s="600">
        <f t="shared" si="16"/>
        <v>3.6183764737769346E-2</v>
      </c>
      <c r="AA55" s="597">
        <v>7560</v>
      </c>
      <c r="AB55" s="598">
        <v>274</v>
      </c>
      <c r="AC55" s="600">
        <f t="shared" si="17"/>
        <v>3.6243386243386244E-2</v>
      </c>
      <c r="AD55" s="604">
        <v>7731</v>
      </c>
      <c r="AE55" s="605">
        <v>259</v>
      </c>
      <c r="AF55" s="601">
        <f t="shared" si="18"/>
        <v>3.350148751778554E-2</v>
      </c>
      <c r="AG55" s="604">
        <v>7990</v>
      </c>
      <c r="AH55" s="605">
        <v>275</v>
      </c>
      <c r="AI55" s="601">
        <f t="shared" si="19"/>
        <v>3.4418022528160203E-2</v>
      </c>
      <c r="AJ55" s="604">
        <v>8357</v>
      </c>
      <c r="AK55" s="605">
        <v>223</v>
      </c>
      <c r="AL55" s="601">
        <f t="shared" si="20"/>
        <v>2.6684216824219217E-2</v>
      </c>
      <c r="AM55" s="604">
        <v>8521</v>
      </c>
      <c r="AN55" s="605">
        <v>227</v>
      </c>
      <c r="AO55" s="601">
        <f t="shared" si="21"/>
        <v>2.6640065719985916E-2</v>
      </c>
      <c r="AP55" s="604">
        <v>8756</v>
      </c>
      <c r="AQ55" s="605">
        <v>326</v>
      </c>
      <c r="AR55" s="601">
        <f t="shared" si="22"/>
        <v>3.7231612608497028E-2</v>
      </c>
      <c r="AS55" s="617">
        <v>8790</v>
      </c>
      <c r="AT55" s="605">
        <v>608</v>
      </c>
      <c r="AU55" s="603">
        <f t="shared" si="23"/>
        <v>6.9169510807736062E-2</v>
      </c>
      <c r="AV55" s="597">
        <v>8761</v>
      </c>
      <c r="AW55" s="598">
        <v>625</v>
      </c>
      <c r="AX55" s="601">
        <f t="shared" si="24"/>
        <v>7.1338888254765434E-2</v>
      </c>
      <c r="AY55" s="604">
        <v>8752</v>
      </c>
      <c r="AZ55" s="605">
        <v>588</v>
      </c>
      <c r="BA55" s="606">
        <f t="shared" si="12"/>
        <v>6.7184643510054848E-2</v>
      </c>
      <c r="BC55" s="607">
        <v>8808.7272727272721</v>
      </c>
      <c r="BD55" s="608">
        <v>541.18181818181813</v>
      </c>
      <c r="BE55" s="606">
        <f t="shared" si="13"/>
        <v>6.1437004623513869E-2</v>
      </c>
    </row>
    <row r="56" spans="1:57" ht="15" customHeight="1">
      <c r="A56" s="587" t="s">
        <v>129</v>
      </c>
      <c r="B56" s="609" t="s">
        <v>130</v>
      </c>
      <c r="C56" s="196" t="s">
        <v>273</v>
      </c>
      <c r="D56" s="589">
        <f t="shared" si="2"/>
        <v>1.6439981356722172E-2</v>
      </c>
      <c r="E56" s="590">
        <f t="shared" si="25"/>
        <v>6.1216188732967254E-2</v>
      </c>
      <c r="F56" s="591">
        <f t="shared" si="14"/>
        <v>6.3751926040061635E-2</v>
      </c>
      <c r="G56" s="591">
        <f t="shared" si="15"/>
        <v>5.5094339622641507E-2</v>
      </c>
      <c r="H56" s="591">
        <f t="shared" si="3"/>
        <v>5.5384021613276727E-2</v>
      </c>
      <c r="I56" s="591">
        <f t="shared" si="4"/>
        <v>5.5344237352605553E-2</v>
      </c>
      <c r="J56" s="591">
        <f t="shared" si="5"/>
        <v>4.30786904078116E-2</v>
      </c>
      <c r="K56" s="591">
        <f t="shared" si="6"/>
        <v>4.2958535674262235E-2</v>
      </c>
      <c r="L56" s="591">
        <f t="shared" si="7"/>
        <v>5.6709409427487811E-2</v>
      </c>
      <c r="M56" s="591">
        <f t="shared" si="8"/>
        <v>9.5094205474582291E-2</v>
      </c>
      <c r="N56" s="591">
        <f t="shared" si="9"/>
        <v>9.3580549239111424E-2</v>
      </c>
      <c r="O56" s="592">
        <f t="shared" si="10"/>
        <v>9.1593475533249688E-2</v>
      </c>
      <c r="P56" s="593">
        <f t="shared" si="11"/>
        <v>8.0277178531738241E-2</v>
      </c>
      <c r="Q56" s="225"/>
      <c r="R56" s="594">
        <v>47202</v>
      </c>
      <c r="S56" s="595">
        <v>776</v>
      </c>
      <c r="T56" s="596">
        <f t="shared" si="0"/>
        <v>1.6439981356722172E-2</v>
      </c>
      <c r="U56" s="597">
        <v>4917</v>
      </c>
      <c r="V56" s="598">
        <v>301</v>
      </c>
      <c r="W56" s="599">
        <f t="shared" si="1"/>
        <v>6.1216188732967254E-2</v>
      </c>
      <c r="X56" s="597">
        <v>5192</v>
      </c>
      <c r="Y56" s="598">
        <v>331</v>
      </c>
      <c r="Z56" s="600">
        <f t="shared" si="16"/>
        <v>6.3751926040061635E-2</v>
      </c>
      <c r="AA56" s="597">
        <v>5300</v>
      </c>
      <c r="AB56" s="598">
        <v>292</v>
      </c>
      <c r="AC56" s="600">
        <f t="shared" si="17"/>
        <v>5.5094339622641507E-2</v>
      </c>
      <c r="AD56" s="597">
        <v>5182</v>
      </c>
      <c r="AE56" s="598">
        <v>287</v>
      </c>
      <c r="AF56" s="601">
        <f t="shared" si="18"/>
        <v>5.5384021613276727E-2</v>
      </c>
      <c r="AG56" s="597">
        <v>5258</v>
      </c>
      <c r="AH56" s="598">
        <v>291</v>
      </c>
      <c r="AI56" s="601">
        <f t="shared" si="19"/>
        <v>5.5344237352605553E-2</v>
      </c>
      <c r="AJ56" s="597">
        <v>5223</v>
      </c>
      <c r="AK56" s="598">
        <v>225</v>
      </c>
      <c r="AL56" s="601">
        <f t="shared" si="20"/>
        <v>4.30786904078116E-2</v>
      </c>
      <c r="AM56" s="597">
        <v>5354</v>
      </c>
      <c r="AN56" s="598">
        <v>230</v>
      </c>
      <c r="AO56" s="601">
        <f t="shared" si="21"/>
        <v>4.2958535674262235E-2</v>
      </c>
      <c r="AP56" s="597">
        <v>5537</v>
      </c>
      <c r="AQ56" s="598">
        <v>314</v>
      </c>
      <c r="AR56" s="601">
        <f t="shared" si="22"/>
        <v>5.6709409427487811E-2</v>
      </c>
      <c r="AS56" s="602">
        <v>5626</v>
      </c>
      <c r="AT56" s="598">
        <v>535</v>
      </c>
      <c r="AU56" s="603">
        <f t="shared" si="23"/>
        <v>9.5094205474582291E-2</v>
      </c>
      <c r="AV56" s="597">
        <v>5717</v>
      </c>
      <c r="AW56" s="598">
        <v>535</v>
      </c>
      <c r="AX56" s="601">
        <f t="shared" si="24"/>
        <v>9.3580549239111424E-2</v>
      </c>
      <c r="AY56" s="604">
        <v>5579</v>
      </c>
      <c r="AZ56" s="605">
        <v>511</v>
      </c>
      <c r="BA56" s="606">
        <f t="shared" si="12"/>
        <v>9.1593475533249688E-2</v>
      </c>
      <c r="BC56" s="607">
        <v>5562.545454545455</v>
      </c>
      <c r="BD56" s="608">
        <v>446.54545454545456</v>
      </c>
      <c r="BE56" s="606">
        <f t="shared" si="13"/>
        <v>8.0277178531738241E-2</v>
      </c>
    </row>
    <row r="57" spans="1:57" ht="15" customHeight="1">
      <c r="A57" s="587" t="s">
        <v>131</v>
      </c>
      <c r="B57" s="609" t="s">
        <v>132</v>
      </c>
      <c r="C57" s="196" t="s">
        <v>275</v>
      </c>
      <c r="D57" s="589">
        <f t="shared" si="2"/>
        <v>1.8059299191374664E-2</v>
      </c>
      <c r="E57" s="590">
        <f t="shared" si="25"/>
        <v>4.9562035702406033E-2</v>
      </c>
      <c r="F57" s="591">
        <f t="shared" si="14"/>
        <v>5.7074039166404862E-2</v>
      </c>
      <c r="G57" s="591">
        <f t="shared" si="15"/>
        <v>5.9788739616449593E-2</v>
      </c>
      <c r="H57" s="591">
        <f t="shared" si="3"/>
        <v>5.4732161761592207E-2</v>
      </c>
      <c r="I57" s="591">
        <f t="shared" si="4"/>
        <v>4.9484757406612283E-2</v>
      </c>
      <c r="J57" s="591">
        <f t="shared" si="5"/>
        <v>4.2259548518241145E-2</v>
      </c>
      <c r="K57" s="591">
        <f t="shared" si="6"/>
        <v>4.1036269430051814E-2</v>
      </c>
      <c r="L57" s="591">
        <f t="shared" si="7"/>
        <v>5.2857581024435128E-2</v>
      </c>
      <c r="M57" s="591">
        <f t="shared" si="8"/>
        <v>7.0831675288499804E-2</v>
      </c>
      <c r="N57" s="591">
        <f t="shared" si="9"/>
        <v>7.9474708171206221E-2</v>
      </c>
      <c r="O57" s="592">
        <f t="shared" si="10"/>
        <v>7.5874159929872412E-2</v>
      </c>
      <c r="P57" s="593">
        <f t="shared" si="11"/>
        <v>8.0921662271010053E-2</v>
      </c>
      <c r="Q57" s="225"/>
      <c r="R57" s="594">
        <v>144690</v>
      </c>
      <c r="S57" s="595">
        <v>2613</v>
      </c>
      <c r="T57" s="596">
        <f t="shared" si="0"/>
        <v>1.8059299191374664E-2</v>
      </c>
      <c r="U57" s="597">
        <v>9019</v>
      </c>
      <c r="V57" s="598">
        <v>447</v>
      </c>
      <c r="W57" s="599">
        <f t="shared" si="1"/>
        <v>4.9562035702406033E-2</v>
      </c>
      <c r="X57" s="597">
        <v>9549</v>
      </c>
      <c r="Y57" s="598">
        <v>545</v>
      </c>
      <c r="Z57" s="600">
        <f t="shared" si="16"/>
        <v>5.7074039166404862E-2</v>
      </c>
      <c r="AA57" s="597">
        <v>9751</v>
      </c>
      <c r="AB57" s="598">
        <v>583</v>
      </c>
      <c r="AC57" s="600">
        <f t="shared" si="17"/>
        <v>5.9788739616449593E-2</v>
      </c>
      <c r="AD57" s="597">
        <v>9446</v>
      </c>
      <c r="AE57" s="598">
        <v>517</v>
      </c>
      <c r="AF57" s="601">
        <f t="shared" si="18"/>
        <v>5.4732161761592207E-2</v>
      </c>
      <c r="AG57" s="597">
        <v>9316</v>
      </c>
      <c r="AH57" s="598">
        <v>461</v>
      </c>
      <c r="AI57" s="601">
        <f t="shared" si="19"/>
        <v>4.9484757406612283E-2</v>
      </c>
      <c r="AJ57" s="597">
        <v>9347</v>
      </c>
      <c r="AK57" s="598">
        <v>395</v>
      </c>
      <c r="AL57" s="601">
        <f t="shared" si="20"/>
        <v>4.2259548518241145E-2</v>
      </c>
      <c r="AM57" s="597">
        <v>9650</v>
      </c>
      <c r="AN57" s="598">
        <v>396</v>
      </c>
      <c r="AO57" s="601">
        <f t="shared" si="21"/>
        <v>4.1036269430051814E-2</v>
      </c>
      <c r="AP57" s="597">
        <v>9781</v>
      </c>
      <c r="AQ57" s="598">
        <v>517</v>
      </c>
      <c r="AR57" s="601">
        <f t="shared" si="22"/>
        <v>5.2857581024435128E-2</v>
      </c>
      <c r="AS57" s="602">
        <v>10052</v>
      </c>
      <c r="AT57" s="598">
        <v>712</v>
      </c>
      <c r="AU57" s="603">
        <f t="shared" si="23"/>
        <v>7.0831675288499804E-2</v>
      </c>
      <c r="AV57" s="597">
        <v>10280</v>
      </c>
      <c r="AW57" s="598">
        <v>817</v>
      </c>
      <c r="AX57" s="601">
        <f t="shared" si="24"/>
        <v>7.9474708171206221E-2</v>
      </c>
      <c r="AY57" s="604">
        <v>10267</v>
      </c>
      <c r="AZ57" s="605">
        <v>779</v>
      </c>
      <c r="BA57" s="606">
        <f t="shared" si="12"/>
        <v>7.5874159929872412E-2</v>
      </c>
      <c r="BC57" s="607">
        <v>10202.90909090909</v>
      </c>
      <c r="BD57" s="608">
        <v>825.63636363636363</v>
      </c>
      <c r="BE57" s="606">
        <f t="shared" si="13"/>
        <v>8.0921662271010053E-2</v>
      </c>
    </row>
    <row r="58" spans="1:57" ht="15" customHeight="1">
      <c r="A58" s="587" t="s">
        <v>133</v>
      </c>
      <c r="B58" s="609" t="s">
        <v>134</v>
      </c>
      <c r="C58" s="196" t="s">
        <v>274</v>
      </c>
      <c r="D58" s="589">
        <f t="shared" si="2"/>
        <v>5.4047942107643597E-2</v>
      </c>
      <c r="E58" s="590">
        <f t="shared" si="25"/>
        <v>2.4879548478869362E-2</v>
      </c>
      <c r="F58" s="591">
        <f t="shared" si="14"/>
        <v>3.7200116277081446E-2</v>
      </c>
      <c r="G58" s="591">
        <f t="shared" si="15"/>
        <v>3.160730034880857E-2</v>
      </c>
      <c r="H58" s="591">
        <f t="shared" si="3"/>
        <v>2.6035261844297782E-2</v>
      </c>
      <c r="I58" s="591">
        <f t="shared" si="4"/>
        <v>2.3937725613568071E-2</v>
      </c>
      <c r="J58" s="591">
        <f t="shared" si="5"/>
        <v>2.0986266061884848E-2</v>
      </c>
      <c r="K58" s="591">
        <f t="shared" si="6"/>
        <v>2.0667187433768719E-2</v>
      </c>
      <c r="L58" s="591">
        <f t="shared" si="7"/>
        <v>2.7895284327323161E-2</v>
      </c>
      <c r="M58" s="591">
        <f t="shared" si="8"/>
        <v>4.6208658930126406E-2</v>
      </c>
      <c r="N58" s="591">
        <f t="shared" si="9"/>
        <v>4.7885116031688268E-2</v>
      </c>
      <c r="O58" s="592">
        <f t="shared" si="10"/>
        <v>4.175031600862518E-2</v>
      </c>
      <c r="P58" s="593">
        <f t="shared" si="11"/>
        <v>3.977738222380444E-2</v>
      </c>
      <c r="Q58" s="225"/>
      <c r="R58" s="594">
        <v>35376</v>
      </c>
      <c r="S58" s="595">
        <v>1912</v>
      </c>
      <c r="T58" s="596">
        <f t="shared" si="0"/>
        <v>5.4047942107643597E-2</v>
      </c>
      <c r="U58" s="597">
        <v>108965</v>
      </c>
      <c r="V58" s="598">
        <v>2711</v>
      </c>
      <c r="W58" s="599">
        <f t="shared" si="1"/>
        <v>2.4879548478869362E-2</v>
      </c>
      <c r="X58" s="597">
        <v>116962</v>
      </c>
      <c r="Y58" s="598">
        <v>4351</v>
      </c>
      <c r="Z58" s="600">
        <f t="shared" si="16"/>
        <v>3.7200116277081446E-2</v>
      </c>
      <c r="AA58" s="597">
        <v>125857</v>
      </c>
      <c r="AB58" s="598">
        <v>3978</v>
      </c>
      <c r="AC58" s="600">
        <f t="shared" si="17"/>
        <v>3.160730034880857E-2</v>
      </c>
      <c r="AD58" s="597">
        <v>137429</v>
      </c>
      <c r="AE58" s="598">
        <v>3578</v>
      </c>
      <c r="AF58" s="601">
        <f t="shared" si="18"/>
        <v>2.6035261844297782E-2</v>
      </c>
      <c r="AG58" s="597">
        <v>148761</v>
      </c>
      <c r="AH58" s="598">
        <v>3561</v>
      </c>
      <c r="AI58" s="601">
        <f t="shared" si="19"/>
        <v>2.3937725613568071E-2</v>
      </c>
      <c r="AJ58" s="597">
        <v>158294</v>
      </c>
      <c r="AK58" s="598">
        <v>3322</v>
      </c>
      <c r="AL58" s="601">
        <f t="shared" si="20"/>
        <v>2.0986266061884848E-2</v>
      </c>
      <c r="AM58" s="597">
        <v>165141</v>
      </c>
      <c r="AN58" s="598">
        <v>3413</v>
      </c>
      <c r="AO58" s="601">
        <f t="shared" si="21"/>
        <v>2.0667187433768719E-2</v>
      </c>
      <c r="AP58" s="597">
        <v>173040</v>
      </c>
      <c r="AQ58" s="598">
        <v>4827</v>
      </c>
      <c r="AR58" s="601">
        <f t="shared" si="22"/>
        <v>2.7895284327323161E-2</v>
      </c>
      <c r="AS58" s="602">
        <v>175703</v>
      </c>
      <c r="AT58" s="598">
        <v>8119</v>
      </c>
      <c r="AU58" s="603">
        <f t="shared" si="23"/>
        <v>4.6208658930126406E-2</v>
      </c>
      <c r="AV58" s="597">
        <v>178615</v>
      </c>
      <c r="AW58" s="598">
        <v>8553</v>
      </c>
      <c r="AX58" s="601">
        <f t="shared" si="24"/>
        <v>4.7885116031688268E-2</v>
      </c>
      <c r="AY58" s="604">
        <v>188286</v>
      </c>
      <c r="AZ58" s="605">
        <v>7861</v>
      </c>
      <c r="BA58" s="606">
        <f t="shared" si="12"/>
        <v>4.175031600862518E-2</v>
      </c>
      <c r="BC58" s="607">
        <v>191522.72727272726</v>
      </c>
      <c r="BD58" s="608">
        <v>7618.272727272727</v>
      </c>
      <c r="BE58" s="606">
        <f t="shared" si="13"/>
        <v>3.977738222380444E-2</v>
      </c>
    </row>
    <row r="59" spans="1:57" ht="15" customHeight="1">
      <c r="A59" s="587" t="s">
        <v>135</v>
      </c>
      <c r="B59" s="609" t="s">
        <v>136</v>
      </c>
      <c r="C59" s="196" t="s">
        <v>274</v>
      </c>
      <c r="D59" s="589">
        <f t="shared" si="2"/>
        <v>2.8350515463917526E-2</v>
      </c>
      <c r="E59" s="590">
        <f t="shared" si="25"/>
        <v>3.1004799268682867E-2</v>
      </c>
      <c r="F59" s="591">
        <f t="shared" si="14"/>
        <v>4.3529153559148437E-2</v>
      </c>
      <c r="G59" s="591">
        <f t="shared" si="15"/>
        <v>4.228943826592052E-2</v>
      </c>
      <c r="H59" s="591">
        <f t="shared" si="3"/>
        <v>3.7364596188125598E-2</v>
      </c>
      <c r="I59" s="591">
        <f t="shared" si="4"/>
        <v>3.5805626598465472E-2</v>
      </c>
      <c r="J59" s="591">
        <f t="shared" si="5"/>
        <v>3.0264975511741805E-2</v>
      </c>
      <c r="K59" s="591">
        <f t="shared" si="6"/>
        <v>2.8588994774054719E-2</v>
      </c>
      <c r="L59" s="591">
        <f t="shared" si="7"/>
        <v>4.1830532713621735E-2</v>
      </c>
      <c r="M59" s="591">
        <f t="shared" si="8"/>
        <v>7.7214142130779234E-2</v>
      </c>
      <c r="N59" s="591">
        <f t="shared" si="9"/>
        <v>8.0111480075901326E-2</v>
      </c>
      <c r="O59" s="592">
        <f t="shared" si="10"/>
        <v>6.9964871194379386E-2</v>
      </c>
      <c r="P59" s="593">
        <f t="shared" si="11"/>
        <v>6.3167759082582417E-2</v>
      </c>
      <c r="Q59" s="225"/>
      <c r="R59" s="594">
        <v>1164</v>
      </c>
      <c r="S59" s="595">
        <v>33</v>
      </c>
      <c r="T59" s="596">
        <f t="shared" si="0"/>
        <v>2.8350515463917526E-2</v>
      </c>
      <c r="U59" s="597">
        <v>13127</v>
      </c>
      <c r="V59" s="598">
        <v>407</v>
      </c>
      <c r="W59" s="599">
        <f t="shared" si="1"/>
        <v>3.1004799268682867E-2</v>
      </c>
      <c r="X59" s="597">
        <v>13669</v>
      </c>
      <c r="Y59" s="598">
        <v>595</v>
      </c>
      <c r="Z59" s="600">
        <f t="shared" si="16"/>
        <v>4.3529153559148437E-2</v>
      </c>
      <c r="AA59" s="597">
        <v>14117</v>
      </c>
      <c r="AB59" s="598">
        <v>597</v>
      </c>
      <c r="AC59" s="600">
        <f t="shared" si="17"/>
        <v>4.228943826592052E-2</v>
      </c>
      <c r="AD59" s="597">
        <v>14586</v>
      </c>
      <c r="AE59" s="598">
        <v>545</v>
      </c>
      <c r="AF59" s="601">
        <f t="shared" si="18"/>
        <v>3.7364596188125598E-2</v>
      </c>
      <c r="AG59" s="597">
        <v>15249</v>
      </c>
      <c r="AH59" s="598">
        <v>546</v>
      </c>
      <c r="AI59" s="601">
        <f t="shared" si="19"/>
        <v>3.5805626598465472E-2</v>
      </c>
      <c r="AJ59" s="597">
        <v>15926</v>
      </c>
      <c r="AK59" s="598">
        <v>482</v>
      </c>
      <c r="AL59" s="601">
        <f t="shared" si="20"/>
        <v>3.0264975511741805E-2</v>
      </c>
      <c r="AM59" s="597">
        <v>16265</v>
      </c>
      <c r="AN59" s="598">
        <v>465</v>
      </c>
      <c r="AO59" s="601">
        <f t="shared" si="21"/>
        <v>2.8588994774054719E-2</v>
      </c>
      <c r="AP59" s="597">
        <v>16782</v>
      </c>
      <c r="AQ59" s="598">
        <v>702</v>
      </c>
      <c r="AR59" s="601">
        <f t="shared" si="22"/>
        <v>4.1830532713621735E-2</v>
      </c>
      <c r="AS59" s="602">
        <v>16914</v>
      </c>
      <c r="AT59" s="598">
        <v>1306</v>
      </c>
      <c r="AU59" s="603">
        <f t="shared" si="23"/>
        <v>7.7214142130779234E-2</v>
      </c>
      <c r="AV59" s="597">
        <v>16864</v>
      </c>
      <c r="AW59" s="598">
        <v>1351</v>
      </c>
      <c r="AX59" s="601">
        <f t="shared" si="24"/>
        <v>8.0111480075901326E-2</v>
      </c>
      <c r="AY59" s="604">
        <v>17080</v>
      </c>
      <c r="AZ59" s="605">
        <v>1195</v>
      </c>
      <c r="BA59" s="606">
        <f t="shared" si="12"/>
        <v>6.9964871194379386E-2</v>
      </c>
      <c r="BC59" s="607">
        <v>17170.727272727272</v>
      </c>
      <c r="BD59" s="608">
        <v>1084.6363636363637</v>
      </c>
      <c r="BE59" s="606">
        <f t="shared" si="13"/>
        <v>6.3167759082582417E-2</v>
      </c>
    </row>
    <row r="60" spans="1:57" ht="15" customHeight="1">
      <c r="A60" s="587" t="s">
        <v>137</v>
      </c>
      <c r="B60" s="609" t="s">
        <v>138</v>
      </c>
      <c r="C60" s="196" t="s">
        <v>273</v>
      </c>
      <c r="D60" s="589">
        <f t="shared" si="2"/>
        <v>2.8329766636094975E-2</v>
      </c>
      <c r="E60" s="590">
        <f t="shared" si="25"/>
        <v>4.5006509205876885E-2</v>
      </c>
      <c r="F60" s="591">
        <f t="shared" si="14"/>
        <v>5.5717407137654773E-2</v>
      </c>
      <c r="G60" s="591">
        <f t="shared" si="15"/>
        <v>5.58205264087617E-2</v>
      </c>
      <c r="H60" s="591">
        <f t="shared" si="3"/>
        <v>4.8492553577915001E-2</v>
      </c>
      <c r="I60" s="591">
        <f t="shared" si="4"/>
        <v>5.1874222774915615E-2</v>
      </c>
      <c r="J60" s="591">
        <f t="shared" si="5"/>
        <v>4.327693677649154E-2</v>
      </c>
      <c r="K60" s="591">
        <f t="shared" si="6"/>
        <v>4.4544634806131647E-2</v>
      </c>
      <c r="L60" s="591">
        <f t="shared" si="7"/>
        <v>5.9112404510731173E-2</v>
      </c>
      <c r="M60" s="591">
        <f t="shared" si="8"/>
        <v>9.7073259407380472E-2</v>
      </c>
      <c r="N60" s="591">
        <f t="shared" si="9"/>
        <v>0.1001078360891445</v>
      </c>
      <c r="O60" s="592">
        <f t="shared" si="10"/>
        <v>9.1428571428571428E-2</v>
      </c>
      <c r="P60" s="593">
        <f t="shared" si="11"/>
        <v>8.2372267100204913E-2</v>
      </c>
      <c r="Q60" s="225"/>
      <c r="R60" s="594">
        <v>9813</v>
      </c>
      <c r="S60" s="595">
        <v>278</v>
      </c>
      <c r="T60" s="596">
        <f t="shared" si="0"/>
        <v>2.8329766636094975E-2</v>
      </c>
      <c r="U60" s="597">
        <v>5377</v>
      </c>
      <c r="V60" s="598">
        <v>242</v>
      </c>
      <c r="W60" s="599">
        <f t="shared" si="1"/>
        <v>4.5006509205876885E-2</v>
      </c>
      <c r="X60" s="597">
        <v>5492</v>
      </c>
      <c r="Y60" s="598">
        <v>306</v>
      </c>
      <c r="Z60" s="600">
        <f t="shared" si="16"/>
        <v>5.5717407137654773E-2</v>
      </c>
      <c r="AA60" s="597">
        <v>5661</v>
      </c>
      <c r="AB60" s="598">
        <v>316</v>
      </c>
      <c r="AC60" s="600">
        <f t="shared" si="17"/>
        <v>5.58205264087617E-2</v>
      </c>
      <c r="AD60" s="597">
        <v>5506</v>
      </c>
      <c r="AE60" s="598">
        <v>267</v>
      </c>
      <c r="AF60" s="601">
        <f t="shared" si="18"/>
        <v>4.8492553577915001E-2</v>
      </c>
      <c r="AG60" s="597">
        <v>5629</v>
      </c>
      <c r="AH60" s="598">
        <v>292</v>
      </c>
      <c r="AI60" s="601">
        <f t="shared" si="19"/>
        <v>5.1874222774915615E-2</v>
      </c>
      <c r="AJ60" s="597">
        <v>5615</v>
      </c>
      <c r="AK60" s="598">
        <v>243</v>
      </c>
      <c r="AL60" s="601">
        <f t="shared" si="20"/>
        <v>4.327693677649154E-2</v>
      </c>
      <c r="AM60" s="597">
        <v>5545</v>
      </c>
      <c r="AN60" s="598">
        <v>247</v>
      </c>
      <c r="AO60" s="601">
        <f t="shared" si="21"/>
        <v>4.4544634806131647E-2</v>
      </c>
      <c r="AP60" s="597">
        <v>5498</v>
      </c>
      <c r="AQ60" s="598">
        <v>325</v>
      </c>
      <c r="AR60" s="601">
        <f t="shared" si="22"/>
        <v>5.9112404510731173E-2</v>
      </c>
      <c r="AS60" s="602">
        <v>5501</v>
      </c>
      <c r="AT60" s="598">
        <v>534</v>
      </c>
      <c r="AU60" s="603">
        <f t="shared" si="23"/>
        <v>9.7073259407380472E-2</v>
      </c>
      <c r="AV60" s="597">
        <v>5564</v>
      </c>
      <c r="AW60" s="598">
        <v>557</v>
      </c>
      <c r="AX60" s="601">
        <f t="shared" si="24"/>
        <v>0.1001078360891445</v>
      </c>
      <c r="AY60" s="604">
        <v>5425</v>
      </c>
      <c r="AZ60" s="605">
        <v>496</v>
      </c>
      <c r="BA60" s="606">
        <f t="shared" si="12"/>
        <v>9.1428571428571428E-2</v>
      </c>
      <c r="BC60" s="607">
        <v>5368.090909090909</v>
      </c>
      <c r="BD60" s="608">
        <v>442.18181818181819</v>
      </c>
      <c r="BE60" s="606">
        <f t="shared" si="13"/>
        <v>8.2372267100204913E-2</v>
      </c>
    </row>
    <row r="61" spans="1:57" ht="15" customHeight="1">
      <c r="A61" s="587" t="s">
        <v>141</v>
      </c>
      <c r="B61" s="609" t="s">
        <v>142</v>
      </c>
      <c r="C61" s="196" t="s">
        <v>274</v>
      </c>
      <c r="D61" s="589">
        <f t="shared" si="2"/>
        <v>2.1593899723328161E-2</v>
      </c>
      <c r="E61" s="590">
        <f t="shared" si="25"/>
        <v>2.2172949002217297E-2</v>
      </c>
      <c r="F61" s="591">
        <f t="shared" si="14"/>
        <v>4.2871385842472583E-2</v>
      </c>
      <c r="G61" s="591">
        <f t="shared" si="15"/>
        <v>3.8482834994462901E-2</v>
      </c>
      <c r="H61" s="591">
        <f t="shared" si="3"/>
        <v>2.962650940746981E-2</v>
      </c>
      <c r="I61" s="591">
        <f t="shared" si="4"/>
        <v>3.0374154355929862E-2</v>
      </c>
      <c r="J61" s="591">
        <f t="shared" si="5"/>
        <v>2.5910268648574934E-2</v>
      </c>
      <c r="K61" s="591">
        <f t="shared" si="6"/>
        <v>2.6337115072933549E-2</v>
      </c>
      <c r="L61" s="591">
        <f t="shared" si="7"/>
        <v>3.7172208705055422E-2</v>
      </c>
      <c r="M61" s="591">
        <f t="shared" si="8"/>
        <v>6.250851150755822E-2</v>
      </c>
      <c r="N61" s="591">
        <f t="shared" si="9"/>
        <v>6.1986255221668236E-2</v>
      </c>
      <c r="O61" s="592">
        <f t="shared" si="10"/>
        <v>5.2137217533351481E-2</v>
      </c>
      <c r="P61" s="593">
        <f t="shared" si="11"/>
        <v>4.7157796772060438E-2</v>
      </c>
      <c r="Q61" s="225"/>
      <c r="R61" s="594">
        <v>14819</v>
      </c>
      <c r="S61" s="595">
        <v>320</v>
      </c>
      <c r="T61" s="596">
        <f t="shared" si="0"/>
        <v>2.1593899723328161E-2</v>
      </c>
      <c r="U61" s="597">
        <v>6765</v>
      </c>
      <c r="V61" s="598">
        <v>150</v>
      </c>
      <c r="W61" s="599">
        <f t="shared" si="1"/>
        <v>2.2172949002217297E-2</v>
      </c>
      <c r="X61" s="597">
        <v>7021</v>
      </c>
      <c r="Y61" s="598">
        <v>301</v>
      </c>
      <c r="Z61" s="600">
        <f t="shared" si="16"/>
        <v>4.2871385842472583E-2</v>
      </c>
      <c r="AA61" s="597">
        <v>7224</v>
      </c>
      <c r="AB61" s="598">
        <v>278</v>
      </c>
      <c r="AC61" s="600">
        <f t="shared" si="17"/>
        <v>3.8482834994462901E-2</v>
      </c>
      <c r="AD61" s="597">
        <v>7122</v>
      </c>
      <c r="AE61" s="598">
        <v>211</v>
      </c>
      <c r="AF61" s="601">
        <f t="shared" si="18"/>
        <v>2.962650940746981E-2</v>
      </c>
      <c r="AG61" s="597">
        <v>7243</v>
      </c>
      <c r="AH61" s="598">
        <v>220</v>
      </c>
      <c r="AI61" s="601">
        <f t="shared" si="19"/>
        <v>3.0374154355929862E-2</v>
      </c>
      <c r="AJ61" s="597">
        <v>7333</v>
      </c>
      <c r="AK61" s="598">
        <v>190</v>
      </c>
      <c r="AL61" s="601">
        <f t="shared" si="20"/>
        <v>2.5910268648574934E-2</v>
      </c>
      <c r="AM61" s="597">
        <v>7404</v>
      </c>
      <c r="AN61" s="598">
        <v>195</v>
      </c>
      <c r="AO61" s="601">
        <f t="shared" si="21"/>
        <v>2.6337115072933549E-2</v>
      </c>
      <c r="AP61" s="597">
        <v>7398</v>
      </c>
      <c r="AQ61" s="598">
        <v>275</v>
      </c>
      <c r="AR61" s="601">
        <f t="shared" si="22"/>
        <v>3.7172208705055422E-2</v>
      </c>
      <c r="AS61" s="602">
        <v>7343</v>
      </c>
      <c r="AT61" s="598">
        <v>459</v>
      </c>
      <c r="AU61" s="603">
        <f t="shared" si="23"/>
        <v>6.250851150755822E-2</v>
      </c>
      <c r="AV61" s="597">
        <v>7421</v>
      </c>
      <c r="AW61" s="598">
        <v>460</v>
      </c>
      <c r="AX61" s="601">
        <f t="shared" si="24"/>
        <v>6.1986255221668236E-2</v>
      </c>
      <c r="AY61" s="604">
        <v>7346</v>
      </c>
      <c r="AZ61" s="605">
        <v>383</v>
      </c>
      <c r="BA61" s="606">
        <f t="shared" si="12"/>
        <v>5.2137217533351481E-2</v>
      </c>
      <c r="BC61" s="607">
        <v>7423.818181818182</v>
      </c>
      <c r="BD61" s="608">
        <v>350.09090909090907</v>
      </c>
      <c r="BE61" s="606">
        <f t="shared" si="13"/>
        <v>4.7157796772060438E-2</v>
      </c>
    </row>
    <row r="62" spans="1:57" ht="15" customHeight="1">
      <c r="A62" s="587" t="s">
        <v>147</v>
      </c>
      <c r="B62" s="609" t="s">
        <v>148</v>
      </c>
      <c r="C62" s="196" t="s">
        <v>271</v>
      </c>
      <c r="D62" s="589">
        <f t="shared" si="2"/>
        <v>1.9565499071394637E-2</v>
      </c>
      <c r="E62" s="590">
        <f t="shared" si="25"/>
        <v>2.9737206085753802E-2</v>
      </c>
      <c r="F62" s="591">
        <f t="shared" si="14"/>
        <v>3.9595050618672668E-2</v>
      </c>
      <c r="G62" s="591">
        <f t="shared" si="15"/>
        <v>3.1839890834659997E-2</v>
      </c>
      <c r="H62" s="591">
        <f t="shared" si="3"/>
        <v>2.9741477922672156E-2</v>
      </c>
      <c r="I62" s="591">
        <f t="shared" si="4"/>
        <v>2.9511151160171209E-2</v>
      </c>
      <c r="J62" s="591">
        <f t="shared" si="5"/>
        <v>2.560106856634016E-2</v>
      </c>
      <c r="K62" s="591">
        <f t="shared" si="6"/>
        <v>2.5117739403453691E-2</v>
      </c>
      <c r="L62" s="591">
        <f t="shared" si="7"/>
        <v>3.5356904603068715E-2</v>
      </c>
      <c r="M62" s="591">
        <f t="shared" si="8"/>
        <v>5.4216867469879519E-2</v>
      </c>
      <c r="N62" s="591">
        <f t="shared" si="9"/>
        <v>6.0364464692482918E-2</v>
      </c>
      <c r="O62" s="592">
        <f t="shared" si="10"/>
        <v>6.0070671378091869E-2</v>
      </c>
      <c r="P62" s="593">
        <f t="shared" si="11"/>
        <v>5.1977514555310182E-2</v>
      </c>
      <c r="Q62" s="225"/>
      <c r="R62" s="594">
        <v>23153</v>
      </c>
      <c r="S62" s="595">
        <v>453</v>
      </c>
      <c r="T62" s="596">
        <f t="shared" si="0"/>
        <v>1.9565499071394637E-2</v>
      </c>
      <c r="U62" s="597">
        <v>4338</v>
      </c>
      <c r="V62" s="598">
        <v>129</v>
      </c>
      <c r="W62" s="599">
        <f t="shared" si="1"/>
        <v>2.9737206085753802E-2</v>
      </c>
      <c r="X62" s="597">
        <v>4445</v>
      </c>
      <c r="Y62" s="598">
        <v>176</v>
      </c>
      <c r="Z62" s="600">
        <f t="shared" si="16"/>
        <v>3.9595050618672668E-2</v>
      </c>
      <c r="AA62" s="597">
        <v>4397</v>
      </c>
      <c r="AB62" s="598">
        <v>140</v>
      </c>
      <c r="AC62" s="600">
        <f t="shared" si="17"/>
        <v>3.1839890834659997E-2</v>
      </c>
      <c r="AD62" s="597">
        <v>4371</v>
      </c>
      <c r="AE62" s="598">
        <v>130</v>
      </c>
      <c r="AF62" s="601">
        <f t="shared" si="18"/>
        <v>2.9741477922672156E-2</v>
      </c>
      <c r="AG62" s="597">
        <v>4439</v>
      </c>
      <c r="AH62" s="598">
        <v>131</v>
      </c>
      <c r="AI62" s="601">
        <f t="shared" si="19"/>
        <v>2.9511151160171209E-2</v>
      </c>
      <c r="AJ62" s="597">
        <v>4492</v>
      </c>
      <c r="AK62" s="598">
        <v>115</v>
      </c>
      <c r="AL62" s="601">
        <f t="shared" si="20"/>
        <v>2.560106856634016E-2</v>
      </c>
      <c r="AM62" s="597">
        <v>4459</v>
      </c>
      <c r="AN62" s="598">
        <v>112</v>
      </c>
      <c r="AO62" s="601">
        <f t="shared" si="21"/>
        <v>2.5117739403453691E-2</v>
      </c>
      <c r="AP62" s="597">
        <v>4497</v>
      </c>
      <c r="AQ62" s="598">
        <v>159</v>
      </c>
      <c r="AR62" s="601">
        <f t="shared" si="22"/>
        <v>3.5356904603068715E-2</v>
      </c>
      <c r="AS62" s="602">
        <v>4482</v>
      </c>
      <c r="AT62" s="598">
        <v>243</v>
      </c>
      <c r="AU62" s="603">
        <f t="shared" si="23"/>
        <v>5.4216867469879519E-2</v>
      </c>
      <c r="AV62" s="597">
        <v>4390</v>
      </c>
      <c r="AW62" s="598">
        <v>265</v>
      </c>
      <c r="AX62" s="601">
        <f t="shared" si="24"/>
        <v>6.0364464692482918E-2</v>
      </c>
      <c r="AY62" s="604">
        <v>4528</v>
      </c>
      <c r="AZ62" s="605">
        <v>272</v>
      </c>
      <c r="BA62" s="606">
        <f t="shared" si="12"/>
        <v>6.0070671378091869E-2</v>
      </c>
      <c r="BC62" s="607">
        <v>4528.181818181818</v>
      </c>
      <c r="BD62" s="608">
        <v>235.36363636363637</v>
      </c>
      <c r="BE62" s="606">
        <f t="shared" si="13"/>
        <v>5.1977514555310182E-2</v>
      </c>
    </row>
    <row r="63" spans="1:57" ht="15" customHeight="1">
      <c r="A63" s="587" t="s">
        <v>149</v>
      </c>
      <c r="B63" s="609" t="s">
        <v>150</v>
      </c>
      <c r="C63" s="196" t="s">
        <v>272</v>
      </c>
      <c r="D63" s="589">
        <f t="shared" si="2"/>
        <v>2.5461489497135583E-2</v>
      </c>
      <c r="E63" s="590">
        <f t="shared" si="25"/>
        <v>5.8173315382980234E-2</v>
      </c>
      <c r="F63" s="591">
        <f t="shared" si="14"/>
        <v>0.10162544169611308</v>
      </c>
      <c r="G63" s="591">
        <f t="shared" si="15"/>
        <v>9.3296575739988397E-2</v>
      </c>
      <c r="H63" s="591">
        <f t="shared" si="3"/>
        <v>6.651029055690072E-2</v>
      </c>
      <c r="I63" s="591">
        <f t="shared" si="4"/>
        <v>6.0612888688598467E-2</v>
      </c>
      <c r="J63" s="591">
        <f t="shared" si="5"/>
        <v>5.1600211848377091E-2</v>
      </c>
      <c r="K63" s="591">
        <f t="shared" si="6"/>
        <v>4.9849397590361444E-2</v>
      </c>
      <c r="L63" s="591">
        <f t="shared" si="7"/>
        <v>6.5180230397621705E-2</v>
      </c>
      <c r="M63" s="591">
        <f t="shared" si="8"/>
        <v>0.11194995685936152</v>
      </c>
      <c r="N63" s="591">
        <f t="shared" si="9"/>
        <v>0.11496220225360149</v>
      </c>
      <c r="O63" s="592">
        <f t="shared" si="10"/>
        <v>0.1056480811006517</v>
      </c>
      <c r="P63" s="593">
        <f t="shared" si="11"/>
        <v>9.5835507915479012E-2</v>
      </c>
      <c r="Q63" s="225"/>
      <c r="R63" s="594">
        <v>3142</v>
      </c>
      <c r="S63" s="595">
        <v>80</v>
      </c>
      <c r="T63" s="596">
        <f t="shared" si="0"/>
        <v>2.5461489497135583E-2</v>
      </c>
      <c r="U63" s="597">
        <v>14113</v>
      </c>
      <c r="V63" s="598">
        <v>821</v>
      </c>
      <c r="W63" s="599">
        <f t="shared" si="1"/>
        <v>5.8173315382980234E-2</v>
      </c>
      <c r="X63" s="597">
        <v>14150</v>
      </c>
      <c r="Y63" s="598">
        <v>1438</v>
      </c>
      <c r="Z63" s="600">
        <f t="shared" si="16"/>
        <v>0.10162544169611308</v>
      </c>
      <c r="AA63" s="597">
        <v>13784</v>
      </c>
      <c r="AB63" s="598">
        <v>1286</v>
      </c>
      <c r="AC63" s="600">
        <f t="shared" si="17"/>
        <v>9.3296575739988397E-2</v>
      </c>
      <c r="AD63" s="597">
        <v>13216</v>
      </c>
      <c r="AE63" s="598">
        <v>879</v>
      </c>
      <c r="AF63" s="601">
        <f t="shared" si="18"/>
        <v>6.651029055690072E-2</v>
      </c>
      <c r="AG63" s="597">
        <v>13314</v>
      </c>
      <c r="AH63" s="598">
        <v>807</v>
      </c>
      <c r="AI63" s="601">
        <f t="shared" si="19"/>
        <v>6.0612888688598467E-2</v>
      </c>
      <c r="AJ63" s="597">
        <v>13217</v>
      </c>
      <c r="AK63" s="598">
        <v>682</v>
      </c>
      <c r="AL63" s="601">
        <f t="shared" si="20"/>
        <v>5.1600211848377091E-2</v>
      </c>
      <c r="AM63" s="597">
        <v>13280</v>
      </c>
      <c r="AN63" s="598">
        <v>662</v>
      </c>
      <c r="AO63" s="601">
        <f t="shared" si="21"/>
        <v>4.9849397590361444E-2</v>
      </c>
      <c r="AP63" s="597">
        <v>13455</v>
      </c>
      <c r="AQ63" s="598">
        <v>877</v>
      </c>
      <c r="AR63" s="601">
        <f t="shared" si="22"/>
        <v>6.5180230397621705E-2</v>
      </c>
      <c r="AS63" s="602">
        <v>13908</v>
      </c>
      <c r="AT63" s="598">
        <v>1557</v>
      </c>
      <c r="AU63" s="603">
        <f t="shared" si="23"/>
        <v>0.11194995685936152</v>
      </c>
      <c r="AV63" s="597">
        <v>14022</v>
      </c>
      <c r="AW63" s="598">
        <v>1612</v>
      </c>
      <c r="AX63" s="601">
        <f t="shared" si="24"/>
        <v>0.11496220225360149</v>
      </c>
      <c r="AY63" s="604">
        <v>13810</v>
      </c>
      <c r="AZ63" s="605">
        <v>1459</v>
      </c>
      <c r="BA63" s="606">
        <f t="shared" si="12"/>
        <v>0.1056480811006517</v>
      </c>
      <c r="BC63" s="607">
        <v>13586.727272727272</v>
      </c>
      <c r="BD63" s="608">
        <v>1302.090909090909</v>
      </c>
      <c r="BE63" s="606">
        <f t="shared" si="13"/>
        <v>9.5835507915479012E-2</v>
      </c>
    </row>
    <row r="64" spans="1:57" ht="15" customHeight="1">
      <c r="A64" s="587" t="s">
        <v>151</v>
      </c>
      <c r="B64" s="609" t="s">
        <v>152</v>
      </c>
      <c r="C64" s="196" t="s">
        <v>273</v>
      </c>
      <c r="D64" s="589">
        <f t="shared" si="2"/>
        <v>1.9267592149353759E-2</v>
      </c>
      <c r="E64" s="590">
        <f t="shared" si="25"/>
        <v>2.6446997615434641E-2</v>
      </c>
      <c r="F64" s="591">
        <f t="shared" si="14"/>
        <v>3.2969340613187736E-2</v>
      </c>
      <c r="G64" s="591">
        <f t="shared" si="15"/>
        <v>3.4897959183673471E-2</v>
      </c>
      <c r="H64" s="591">
        <f t="shared" si="3"/>
        <v>3.3400809716599193E-2</v>
      </c>
      <c r="I64" s="591">
        <f t="shared" si="4"/>
        <v>3.4645669291338582E-2</v>
      </c>
      <c r="J64" s="591">
        <f t="shared" si="5"/>
        <v>3.1176470588235295E-2</v>
      </c>
      <c r="K64" s="591">
        <f t="shared" si="6"/>
        <v>2.955082742316785E-2</v>
      </c>
      <c r="L64" s="591">
        <f t="shared" si="7"/>
        <v>3.8214076818093197E-2</v>
      </c>
      <c r="M64" s="591">
        <f t="shared" si="8"/>
        <v>6.7776917118512775E-2</v>
      </c>
      <c r="N64" s="591">
        <f t="shared" si="9"/>
        <v>7.2575962841107025E-2</v>
      </c>
      <c r="O64" s="592">
        <f t="shared" si="10"/>
        <v>6.4478539522237324E-2</v>
      </c>
      <c r="P64" s="593">
        <f t="shared" si="11"/>
        <v>6.205898955687271E-2</v>
      </c>
      <c r="Q64" s="225"/>
      <c r="R64" s="594">
        <v>8356</v>
      </c>
      <c r="S64" s="595">
        <v>161</v>
      </c>
      <c r="T64" s="596">
        <f t="shared" si="0"/>
        <v>1.9267592149353759E-2</v>
      </c>
      <c r="U64" s="597">
        <v>4613</v>
      </c>
      <c r="V64" s="598">
        <v>122</v>
      </c>
      <c r="W64" s="599">
        <f t="shared" si="1"/>
        <v>2.6446997615434641E-2</v>
      </c>
      <c r="X64" s="597">
        <v>4762</v>
      </c>
      <c r="Y64" s="598">
        <v>157</v>
      </c>
      <c r="Z64" s="600">
        <f t="shared" si="16"/>
        <v>3.2969340613187736E-2</v>
      </c>
      <c r="AA64" s="597">
        <v>4900</v>
      </c>
      <c r="AB64" s="598">
        <v>171</v>
      </c>
      <c r="AC64" s="600">
        <f t="shared" si="17"/>
        <v>3.4897959183673471E-2</v>
      </c>
      <c r="AD64" s="597">
        <v>4940</v>
      </c>
      <c r="AE64" s="598">
        <v>165</v>
      </c>
      <c r="AF64" s="601">
        <f t="shared" si="18"/>
        <v>3.3400809716599193E-2</v>
      </c>
      <c r="AG64" s="597">
        <v>5080</v>
      </c>
      <c r="AH64" s="598">
        <v>176</v>
      </c>
      <c r="AI64" s="601">
        <f t="shared" si="19"/>
        <v>3.4645669291338582E-2</v>
      </c>
      <c r="AJ64" s="597">
        <v>5100</v>
      </c>
      <c r="AK64" s="598">
        <v>159</v>
      </c>
      <c r="AL64" s="601">
        <f t="shared" si="20"/>
        <v>3.1176470588235295E-2</v>
      </c>
      <c r="AM64" s="597">
        <v>5076</v>
      </c>
      <c r="AN64" s="598">
        <v>150</v>
      </c>
      <c r="AO64" s="601">
        <f t="shared" si="21"/>
        <v>2.955082742316785E-2</v>
      </c>
      <c r="AP64" s="597">
        <v>5129</v>
      </c>
      <c r="AQ64" s="598">
        <v>196</v>
      </c>
      <c r="AR64" s="601">
        <f t="shared" si="22"/>
        <v>3.8214076818093197E-2</v>
      </c>
      <c r="AS64" s="602">
        <v>5164</v>
      </c>
      <c r="AT64" s="598">
        <v>350</v>
      </c>
      <c r="AU64" s="603">
        <f t="shared" si="23"/>
        <v>6.7776917118512775E-2</v>
      </c>
      <c r="AV64" s="597">
        <v>5167</v>
      </c>
      <c r="AW64" s="598">
        <v>375</v>
      </c>
      <c r="AX64" s="601">
        <f t="shared" si="24"/>
        <v>7.2575962841107025E-2</v>
      </c>
      <c r="AY64" s="604">
        <v>5149</v>
      </c>
      <c r="AZ64" s="605">
        <v>332</v>
      </c>
      <c r="BA64" s="606">
        <f t="shared" si="12"/>
        <v>6.4478539522237324E-2</v>
      </c>
      <c r="BC64" s="607">
        <v>5153.454545454545</v>
      </c>
      <c r="BD64" s="608">
        <v>319.81818181818181</v>
      </c>
      <c r="BE64" s="606">
        <f t="shared" si="13"/>
        <v>6.205898955687271E-2</v>
      </c>
    </row>
    <row r="65" spans="1:57" ht="15" customHeight="1">
      <c r="A65" s="587" t="s">
        <v>153</v>
      </c>
      <c r="B65" s="609" t="s">
        <v>154</v>
      </c>
      <c r="C65" s="196" t="s">
        <v>275</v>
      </c>
      <c r="D65" s="589">
        <f t="shared" si="2"/>
        <v>1.8749105481608703E-2</v>
      </c>
      <c r="E65" s="590">
        <f t="shared" si="25"/>
        <v>3.2999901931940766E-2</v>
      </c>
      <c r="F65" s="591">
        <f t="shared" si="14"/>
        <v>3.9803629012850748E-2</v>
      </c>
      <c r="G65" s="591">
        <f t="shared" si="15"/>
        <v>3.7969689233411472E-2</v>
      </c>
      <c r="H65" s="591">
        <f t="shared" si="3"/>
        <v>3.6267025547021832E-2</v>
      </c>
      <c r="I65" s="591">
        <f t="shared" si="4"/>
        <v>3.5274664706963069E-2</v>
      </c>
      <c r="J65" s="591">
        <f t="shared" si="5"/>
        <v>3.0291297515202587E-2</v>
      </c>
      <c r="K65" s="591">
        <f t="shared" si="6"/>
        <v>3.1590511636249492E-2</v>
      </c>
      <c r="L65" s="591">
        <f t="shared" si="7"/>
        <v>4.0613344384583507E-2</v>
      </c>
      <c r="M65" s="591">
        <f t="shared" si="8"/>
        <v>6.8570192515682457E-2</v>
      </c>
      <c r="N65" s="591">
        <f t="shared" si="9"/>
        <v>7.4120137025157642E-2</v>
      </c>
      <c r="O65" s="592">
        <f t="shared" si="10"/>
        <v>6.3678667646338477E-2</v>
      </c>
      <c r="P65" s="593">
        <f t="shared" si="11"/>
        <v>5.803226724102898E-2</v>
      </c>
      <c r="Q65" s="225"/>
      <c r="R65" s="594">
        <v>6987</v>
      </c>
      <c r="S65" s="595">
        <v>131</v>
      </c>
      <c r="T65" s="596">
        <f t="shared" si="0"/>
        <v>1.8749105481608703E-2</v>
      </c>
      <c r="U65" s="597">
        <v>40788</v>
      </c>
      <c r="V65" s="598">
        <v>1346</v>
      </c>
      <c r="W65" s="599">
        <f t="shared" si="1"/>
        <v>3.2999901931940766E-2</v>
      </c>
      <c r="X65" s="597">
        <v>41554</v>
      </c>
      <c r="Y65" s="598">
        <v>1654</v>
      </c>
      <c r="Z65" s="600">
        <f t="shared" si="16"/>
        <v>3.9803629012850748E-2</v>
      </c>
      <c r="AA65" s="597">
        <v>43087</v>
      </c>
      <c r="AB65" s="598">
        <v>1636</v>
      </c>
      <c r="AC65" s="600">
        <f t="shared" si="17"/>
        <v>3.7969689233411472E-2</v>
      </c>
      <c r="AD65" s="597">
        <v>43097</v>
      </c>
      <c r="AE65" s="598">
        <v>1563</v>
      </c>
      <c r="AF65" s="601">
        <f t="shared" si="18"/>
        <v>3.6267025547021832E-2</v>
      </c>
      <c r="AG65" s="597">
        <v>43544</v>
      </c>
      <c r="AH65" s="598">
        <v>1536</v>
      </c>
      <c r="AI65" s="601">
        <f t="shared" si="19"/>
        <v>3.5274664706963069E-2</v>
      </c>
      <c r="AJ65" s="597">
        <v>43907</v>
      </c>
      <c r="AK65" s="598">
        <v>1330</v>
      </c>
      <c r="AL65" s="601">
        <f t="shared" si="20"/>
        <v>3.0291297515202587E-2</v>
      </c>
      <c r="AM65" s="597">
        <v>44602</v>
      </c>
      <c r="AN65" s="598">
        <v>1409</v>
      </c>
      <c r="AO65" s="601">
        <f t="shared" si="21"/>
        <v>3.1590511636249492E-2</v>
      </c>
      <c r="AP65" s="597">
        <v>45847</v>
      </c>
      <c r="AQ65" s="598">
        <v>1862</v>
      </c>
      <c r="AR65" s="601">
        <f t="shared" si="22"/>
        <v>4.0613344384583507E-2</v>
      </c>
      <c r="AS65" s="602">
        <v>46230</v>
      </c>
      <c r="AT65" s="598">
        <v>3170</v>
      </c>
      <c r="AU65" s="603">
        <f t="shared" si="23"/>
        <v>6.8570192515682457E-2</v>
      </c>
      <c r="AV65" s="597">
        <v>45831</v>
      </c>
      <c r="AW65" s="598">
        <v>3397</v>
      </c>
      <c r="AX65" s="601">
        <f t="shared" si="24"/>
        <v>7.4120137025157642E-2</v>
      </c>
      <c r="AY65" s="604">
        <v>48996</v>
      </c>
      <c r="AZ65" s="605">
        <v>3120</v>
      </c>
      <c r="BA65" s="606">
        <f t="shared" si="12"/>
        <v>6.3678667646338477E-2</v>
      </c>
      <c r="BC65" s="607">
        <v>51451</v>
      </c>
      <c r="BD65" s="608">
        <v>2985.818181818182</v>
      </c>
      <c r="BE65" s="606">
        <f t="shared" si="13"/>
        <v>5.803226724102898E-2</v>
      </c>
    </row>
    <row r="66" spans="1:57" ht="15" customHeight="1">
      <c r="A66" s="587" t="s">
        <v>155</v>
      </c>
      <c r="B66" s="609" t="s">
        <v>156</v>
      </c>
      <c r="C66" s="196" t="s">
        <v>272</v>
      </c>
      <c r="D66" s="589">
        <f t="shared" si="2"/>
        <v>5.73208722741433E-2</v>
      </c>
      <c r="E66" s="590">
        <f t="shared" si="25"/>
        <v>3.2717529262445352E-2</v>
      </c>
      <c r="F66" s="591">
        <f t="shared" si="14"/>
        <v>3.6289757601233014E-2</v>
      </c>
      <c r="G66" s="591">
        <f t="shared" si="15"/>
        <v>3.6341025286721014E-2</v>
      </c>
      <c r="H66" s="591">
        <f t="shared" si="3"/>
        <v>3.5563428259980927E-2</v>
      </c>
      <c r="I66" s="591">
        <f t="shared" si="4"/>
        <v>3.1875166711122969E-2</v>
      </c>
      <c r="J66" s="591">
        <f t="shared" si="5"/>
        <v>2.7127796348675751E-2</v>
      </c>
      <c r="K66" s="591">
        <f t="shared" si="6"/>
        <v>2.6504208014068584E-2</v>
      </c>
      <c r="L66" s="591">
        <f t="shared" si="7"/>
        <v>3.579834014616623E-2</v>
      </c>
      <c r="M66" s="591">
        <f t="shared" si="8"/>
        <v>6.3218390804597707E-2</v>
      </c>
      <c r="N66" s="591">
        <f t="shared" si="9"/>
        <v>6.2107208872458408E-2</v>
      </c>
      <c r="O66" s="592">
        <f t="shared" si="10"/>
        <v>5.4033676803216892E-2</v>
      </c>
      <c r="P66" s="593">
        <f t="shared" si="11"/>
        <v>5.1344414431580006E-2</v>
      </c>
      <c r="Q66" s="225"/>
      <c r="R66" s="594">
        <v>4815</v>
      </c>
      <c r="S66" s="595">
        <v>276</v>
      </c>
      <c r="T66" s="596">
        <f t="shared" si="0"/>
        <v>5.73208722741433E-2</v>
      </c>
      <c r="U66" s="597">
        <v>7091</v>
      </c>
      <c r="V66" s="598">
        <v>232</v>
      </c>
      <c r="W66" s="599">
        <f t="shared" si="1"/>
        <v>3.2717529262445352E-2</v>
      </c>
      <c r="X66" s="597">
        <v>7137</v>
      </c>
      <c r="Y66" s="598">
        <v>259</v>
      </c>
      <c r="Z66" s="600">
        <f t="shared" si="16"/>
        <v>3.6289757601233014E-2</v>
      </c>
      <c r="AA66" s="597">
        <v>7237</v>
      </c>
      <c r="AB66" s="598">
        <v>263</v>
      </c>
      <c r="AC66" s="600">
        <f t="shared" si="17"/>
        <v>3.6341025286721014E-2</v>
      </c>
      <c r="AD66" s="597">
        <v>7339</v>
      </c>
      <c r="AE66" s="598">
        <v>261</v>
      </c>
      <c r="AF66" s="601">
        <f t="shared" si="18"/>
        <v>3.5563428259980927E-2</v>
      </c>
      <c r="AG66" s="597">
        <v>7498</v>
      </c>
      <c r="AH66" s="598">
        <v>239</v>
      </c>
      <c r="AI66" s="601">
        <f t="shared" si="19"/>
        <v>3.1875166711122969E-2</v>
      </c>
      <c r="AJ66" s="597">
        <v>7778</v>
      </c>
      <c r="AK66" s="598">
        <v>211</v>
      </c>
      <c r="AL66" s="601">
        <f t="shared" si="20"/>
        <v>2.7127796348675751E-2</v>
      </c>
      <c r="AM66" s="597">
        <v>7961</v>
      </c>
      <c r="AN66" s="598">
        <v>211</v>
      </c>
      <c r="AO66" s="601">
        <f t="shared" si="21"/>
        <v>2.6504208014068584E-2</v>
      </c>
      <c r="AP66" s="597">
        <v>8073</v>
      </c>
      <c r="AQ66" s="598">
        <v>289</v>
      </c>
      <c r="AR66" s="601">
        <f t="shared" si="22"/>
        <v>3.579834014616623E-2</v>
      </c>
      <c r="AS66" s="602">
        <v>8178</v>
      </c>
      <c r="AT66" s="598">
        <v>517</v>
      </c>
      <c r="AU66" s="603">
        <f t="shared" si="23"/>
        <v>6.3218390804597707E-2</v>
      </c>
      <c r="AV66" s="597">
        <v>8115</v>
      </c>
      <c r="AW66" s="598">
        <v>504</v>
      </c>
      <c r="AX66" s="601">
        <f t="shared" si="24"/>
        <v>6.2107208872458408E-2</v>
      </c>
      <c r="AY66" s="604">
        <v>7958</v>
      </c>
      <c r="AZ66" s="605">
        <v>430</v>
      </c>
      <c r="BA66" s="606">
        <f t="shared" si="12"/>
        <v>5.4033676803216892E-2</v>
      </c>
      <c r="BC66" s="607">
        <v>8111</v>
      </c>
      <c r="BD66" s="608">
        <v>416.45454545454544</v>
      </c>
      <c r="BE66" s="606">
        <f t="shared" si="13"/>
        <v>5.1344414431580006E-2</v>
      </c>
    </row>
    <row r="67" spans="1:57" ht="15" customHeight="1">
      <c r="A67" s="587" t="s">
        <v>157</v>
      </c>
      <c r="B67" s="609" t="s">
        <v>158</v>
      </c>
      <c r="C67" s="196" t="s">
        <v>273</v>
      </c>
      <c r="D67" s="589">
        <f t="shared" si="2"/>
        <v>4.1828128561659447E-2</v>
      </c>
      <c r="E67" s="590">
        <f t="shared" si="25"/>
        <v>2.9976019184652279E-2</v>
      </c>
      <c r="F67" s="591">
        <f t="shared" si="14"/>
        <v>3.6105738233397806E-2</v>
      </c>
      <c r="G67" s="591">
        <f t="shared" si="15"/>
        <v>3.6813592711154891E-2</v>
      </c>
      <c r="H67" s="591">
        <f t="shared" si="3"/>
        <v>3.3721066854658678E-2</v>
      </c>
      <c r="I67" s="591">
        <f t="shared" si="4"/>
        <v>3.1880139686831135E-2</v>
      </c>
      <c r="J67" s="591">
        <f t="shared" si="5"/>
        <v>2.6974951830443159E-2</v>
      </c>
      <c r="K67" s="591">
        <f t="shared" si="6"/>
        <v>2.6687763713080168E-2</v>
      </c>
      <c r="L67" s="591">
        <f t="shared" si="7"/>
        <v>3.5681886906561835E-2</v>
      </c>
      <c r="M67" s="591">
        <f t="shared" si="8"/>
        <v>6.8692338547934217E-2</v>
      </c>
      <c r="N67" s="591">
        <f t="shared" si="9"/>
        <v>7.4044506536273827E-2</v>
      </c>
      <c r="O67" s="592">
        <f t="shared" si="10"/>
        <v>6.4100077579519008E-2</v>
      </c>
      <c r="P67" s="593">
        <f t="shared" si="11"/>
        <v>5.5326104149457808E-2</v>
      </c>
      <c r="Q67" s="225"/>
      <c r="R67" s="594">
        <v>8774</v>
      </c>
      <c r="S67" s="595">
        <v>367</v>
      </c>
      <c r="T67" s="596">
        <f t="shared" si="0"/>
        <v>4.1828128561659447E-2</v>
      </c>
      <c r="U67" s="597">
        <v>7506</v>
      </c>
      <c r="V67" s="598">
        <v>225</v>
      </c>
      <c r="W67" s="599">
        <f t="shared" si="1"/>
        <v>2.9976019184652279E-2</v>
      </c>
      <c r="X67" s="597">
        <v>7755</v>
      </c>
      <c r="Y67" s="598">
        <v>280</v>
      </c>
      <c r="Z67" s="600">
        <f t="shared" si="16"/>
        <v>3.6105738233397806E-2</v>
      </c>
      <c r="AA67" s="597">
        <v>8122</v>
      </c>
      <c r="AB67" s="598">
        <v>299</v>
      </c>
      <c r="AC67" s="600">
        <f t="shared" si="17"/>
        <v>3.6813592711154891E-2</v>
      </c>
      <c r="AD67" s="597">
        <v>8511</v>
      </c>
      <c r="AE67" s="598">
        <v>287</v>
      </c>
      <c r="AF67" s="601">
        <f t="shared" si="18"/>
        <v>3.3721066854658678E-2</v>
      </c>
      <c r="AG67" s="597">
        <v>8877</v>
      </c>
      <c r="AH67" s="598">
        <v>283</v>
      </c>
      <c r="AI67" s="601">
        <f t="shared" si="19"/>
        <v>3.1880139686831135E-2</v>
      </c>
      <c r="AJ67" s="597">
        <v>9342</v>
      </c>
      <c r="AK67" s="598">
        <v>252</v>
      </c>
      <c r="AL67" s="601">
        <f t="shared" si="20"/>
        <v>2.6974951830443159E-2</v>
      </c>
      <c r="AM67" s="597">
        <v>9480</v>
      </c>
      <c r="AN67" s="598">
        <v>253</v>
      </c>
      <c r="AO67" s="601">
        <f t="shared" si="21"/>
        <v>2.6687763713080168E-2</v>
      </c>
      <c r="AP67" s="597">
        <v>9921</v>
      </c>
      <c r="AQ67" s="598">
        <v>354</v>
      </c>
      <c r="AR67" s="601">
        <f t="shared" si="22"/>
        <v>3.5681886906561835E-2</v>
      </c>
      <c r="AS67" s="602">
        <v>9972</v>
      </c>
      <c r="AT67" s="598">
        <v>685</v>
      </c>
      <c r="AU67" s="603">
        <f t="shared" si="23"/>
        <v>6.8692338547934217E-2</v>
      </c>
      <c r="AV67" s="597">
        <v>10021</v>
      </c>
      <c r="AW67" s="598">
        <v>742</v>
      </c>
      <c r="AX67" s="601">
        <f t="shared" si="24"/>
        <v>7.4044506536273827E-2</v>
      </c>
      <c r="AY67" s="604">
        <v>10312</v>
      </c>
      <c r="AZ67" s="605">
        <v>661</v>
      </c>
      <c r="BA67" s="606">
        <f t="shared" si="12"/>
        <v>6.4100077579519008E-2</v>
      </c>
      <c r="BC67" s="607">
        <v>10345.272727272728</v>
      </c>
      <c r="BD67" s="608">
        <v>572.36363636363637</v>
      </c>
      <c r="BE67" s="606">
        <f t="shared" si="13"/>
        <v>5.5326104149457808E-2</v>
      </c>
    </row>
    <row r="68" spans="1:57" ht="15" customHeight="1">
      <c r="A68" s="587" t="s">
        <v>163</v>
      </c>
      <c r="B68" s="609" t="s">
        <v>164</v>
      </c>
      <c r="C68" s="196" t="s">
        <v>271</v>
      </c>
      <c r="D68" s="589">
        <f t="shared" si="2"/>
        <v>1.4113957135389441E-2</v>
      </c>
      <c r="E68" s="590">
        <f t="shared" si="25"/>
        <v>3.6663124335812966E-2</v>
      </c>
      <c r="F68" s="591">
        <f t="shared" si="14"/>
        <v>5.0643631436314361E-2</v>
      </c>
      <c r="G68" s="591">
        <f t="shared" si="15"/>
        <v>4.8395143854980872E-2</v>
      </c>
      <c r="H68" s="591">
        <f t="shared" si="3"/>
        <v>4.6182060686895635E-2</v>
      </c>
      <c r="I68" s="591">
        <f t="shared" si="4"/>
        <v>5.0594739487351312E-2</v>
      </c>
      <c r="J68" s="591">
        <f t="shared" si="5"/>
        <v>4.3154510069385685E-2</v>
      </c>
      <c r="K68" s="591">
        <f t="shared" si="6"/>
        <v>0.04</v>
      </c>
      <c r="L68" s="591">
        <f t="shared" si="7"/>
        <v>5.419122462344466E-2</v>
      </c>
      <c r="M68" s="591">
        <f t="shared" si="8"/>
        <v>7.8817733990147784E-2</v>
      </c>
      <c r="N68" s="591">
        <f t="shared" si="9"/>
        <v>8.0831408775981523E-2</v>
      </c>
      <c r="O68" s="592">
        <f t="shared" si="10"/>
        <v>8.010375343301801E-2</v>
      </c>
      <c r="P68" s="593">
        <f t="shared" si="11"/>
        <v>8.4049468407425776E-2</v>
      </c>
      <c r="Q68" s="225"/>
      <c r="R68" s="594">
        <v>99476</v>
      </c>
      <c r="S68" s="595">
        <v>1404</v>
      </c>
      <c r="T68" s="596">
        <f t="shared" si="0"/>
        <v>1.4113957135389441E-2</v>
      </c>
      <c r="U68" s="597">
        <v>5646</v>
      </c>
      <c r="V68" s="598">
        <v>207</v>
      </c>
      <c r="W68" s="599">
        <f t="shared" si="1"/>
        <v>3.6663124335812966E-2</v>
      </c>
      <c r="X68" s="597">
        <v>5904</v>
      </c>
      <c r="Y68" s="598">
        <v>299</v>
      </c>
      <c r="Z68" s="600">
        <f t="shared" si="16"/>
        <v>5.0643631436314361E-2</v>
      </c>
      <c r="AA68" s="597">
        <v>6013</v>
      </c>
      <c r="AB68" s="598">
        <v>291</v>
      </c>
      <c r="AC68" s="600">
        <f t="shared" si="17"/>
        <v>4.8395143854980872E-2</v>
      </c>
      <c r="AD68" s="597">
        <v>5998</v>
      </c>
      <c r="AE68" s="598">
        <v>277</v>
      </c>
      <c r="AF68" s="601">
        <f t="shared" si="18"/>
        <v>4.6182060686895635E-2</v>
      </c>
      <c r="AG68" s="597">
        <v>5969</v>
      </c>
      <c r="AH68" s="598">
        <v>302</v>
      </c>
      <c r="AI68" s="601">
        <f t="shared" si="19"/>
        <v>5.0594739487351312E-2</v>
      </c>
      <c r="AJ68" s="597">
        <v>5909</v>
      </c>
      <c r="AK68" s="598">
        <v>255</v>
      </c>
      <c r="AL68" s="601">
        <f t="shared" si="20"/>
        <v>4.3154510069385685E-2</v>
      </c>
      <c r="AM68" s="597">
        <v>6000</v>
      </c>
      <c r="AN68" s="598">
        <v>240</v>
      </c>
      <c r="AO68" s="601">
        <f t="shared" si="21"/>
        <v>0.04</v>
      </c>
      <c r="AP68" s="597">
        <v>6108</v>
      </c>
      <c r="AQ68" s="598">
        <v>331</v>
      </c>
      <c r="AR68" s="601">
        <f t="shared" si="22"/>
        <v>5.419122462344466E-2</v>
      </c>
      <c r="AS68" s="602">
        <v>6293</v>
      </c>
      <c r="AT68" s="598">
        <v>496</v>
      </c>
      <c r="AU68" s="603">
        <f t="shared" si="23"/>
        <v>7.8817733990147784E-2</v>
      </c>
      <c r="AV68" s="597">
        <v>6495</v>
      </c>
      <c r="AW68" s="598">
        <v>525</v>
      </c>
      <c r="AX68" s="601">
        <f t="shared" si="24"/>
        <v>8.0831408775981523E-2</v>
      </c>
      <c r="AY68" s="604">
        <v>6554</v>
      </c>
      <c r="AZ68" s="605">
        <v>525</v>
      </c>
      <c r="BA68" s="606">
        <f t="shared" si="12"/>
        <v>8.010375343301801E-2</v>
      </c>
      <c r="BC68" s="607">
        <v>6601.090909090909</v>
      </c>
      <c r="BD68" s="608">
        <v>554.81818181818187</v>
      </c>
      <c r="BE68" s="606">
        <f t="shared" si="13"/>
        <v>8.4049468407425776E-2</v>
      </c>
    </row>
    <row r="69" spans="1:57" ht="15" customHeight="1">
      <c r="A69" s="587" t="s">
        <v>165</v>
      </c>
      <c r="B69" s="609" t="s">
        <v>166</v>
      </c>
      <c r="C69" s="196" t="s">
        <v>273</v>
      </c>
      <c r="D69" s="589">
        <f t="shared" si="2"/>
        <v>2.3731459797033568E-2</v>
      </c>
      <c r="E69" s="590">
        <f t="shared" si="25"/>
        <v>5.0200803212851405E-2</v>
      </c>
      <c r="F69" s="591">
        <f t="shared" si="14"/>
        <v>5.9432446903444583E-2</v>
      </c>
      <c r="G69" s="591">
        <f t="shared" si="15"/>
        <v>5.576012624934245E-2</v>
      </c>
      <c r="H69" s="591">
        <f t="shared" si="3"/>
        <v>4.9319163068747923E-2</v>
      </c>
      <c r="I69" s="591">
        <f t="shared" si="4"/>
        <v>4.7587791270101737E-2</v>
      </c>
      <c r="J69" s="591">
        <f t="shared" si="5"/>
        <v>4.1050357320924047E-2</v>
      </c>
      <c r="K69" s="591">
        <f t="shared" si="6"/>
        <v>4.2759311842325037E-2</v>
      </c>
      <c r="L69" s="591">
        <f t="shared" si="7"/>
        <v>5.6562235393734124E-2</v>
      </c>
      <c r="M69" s="591">
        <f t="shared" si="8"/>
        <v>8.8055509664629106E-2</v>
      </c>
      <c r="N69" s="591">
        <f t="shared" si="9"/>
        <v>8.6879999999999999E-2</v>
      </c>
      <c r="O69" s="592">
        <f t="shared" si="10"/>
        <v>8.9650514941752496E-2</v>
      </c>
      <c r="P69" s="593">
        <f t="shared" si="11"/>
        <v>8.2089206589368705E-2</v>
      </c>
      <c r="Q69" s="225"/>
      <c r="R69" s="594">
        <v>12810</v>
      </c>
      <c r="S69" s="595">
        <v>304</v>
      </c>
      <c r="T69" s="596">
        <f t="shared" ref="T69:T125" si="26">+S69/R69</f>
        <v>2.3731459797033568E-2</v>
      </c>
      <c r="U69" s="597">
        <v>5478</v>
      </c>
      <c r="V69" s="598">
        <v>275</v>
      </c>
      <c r="W69" s="599">
        <f t="shared" ref="W69:W121" si="27">+V69/U69</f>
        <v>5.0200803212851405E-2</v>
      </c>
      <c r="X69" s="597">
        <v>5603</v>
      </c>
      <c r="Y69" s="598">
        <v>333</v>
      </c>
      <c r="Z69" s="600">
        <f t="shared" si="16"/>
        <v>5.9432446903444583E-2</v>
      </c>
      <c r="AA69" s="597">
        <v>5703</v>
      </c>
      <c r="AB69" s="598">
        <v>318</v>
      </c>
      <c r="AC69" s="600">
        <f t="shared" si="17"/>
        <v>5.576012624934245E-2</v>
      </c>
      <c r="AD69" s="597">
        <v>6022</v>
      </c>
      <c r="AE69" s="598">
        <v>297</v>
      </c>
      <c r="AF69" s="601">
        <f t="shared" si="18"/>
        <v>4.9319163068747923E-2</v>
      </c>
      <c r="AG69" s="597">
        <v>6094</v>
      </c>
      <c r="AH69" s="598">
        <v>290</v>
      </c>
      <c r="AI69" s="601">
        <f t="shared" si="19"/>
        <v>4.7587791270101737E-2</v>
      </c>
      <c r="AJ69" s="597">
        <v>6017</v>
      </c>
      <c r="AK69" s="598">
        <v>247</v>
      </c>
      <c r="AL69" s="601">
        <f t="shared" si="20"/>
        <v>4.1050357320924047E-2</v>
      </c>
      <c r="AM69" s="597">
        <v>5987</v>
      </c>
      <c r="AN69" s="598">
        <v>256</v>
      </c>
      <c r="AO69" s="601">
        <f t="shared" si="21"/>
        <v>4.2759311842325037E-2</v>
      </c>
      <c r="AP69" s="597">
        <v>5905</v>
      </c>
      <c r="AQ69" s="598">
        <v>334</v>
      </c>
      <c r="AR69" s="601">
        <f t="shared" si="22"/>
        <v>5.6562235393734124E-2</v>
      </c>
      <c r="AS69" s="602">
        <v>6053</v>
      </c>
      <c r="AT69" s="598">
        <v>533</v>
      </c>
      <c r="AU69" s="603">
        <f t="shared" si="23"/>
        <v>8.8055509664629106E-2</v>
      </c>
      <c r="AV69" s="597">
        <v>6250</v>
      </c>
      <c r="AW69" s="598">
        <v>543</v>
      </c>
      <c r="AX69" s="601">
        <f t="shared" si="24"/>
        <v>8.6879999999999999E-2</v>
      </c>
      <c r="AY69" s="604">
        <v>5923</v>
      </c>
      <c r="AZ69" s="605">
        <v>531</v>
      </c>
      <c r="BA69" s="606">
        <f t="shared" si="12"/>
        <v>8.9650514941752496E-2</v>
      </c>
      <c r="BC69" s="607">
        <v>5888.272727272727</v>
      </c>
      <c r="BD69" s="608">
        <v>483.36363636363637</v>
      </c>
      <c r="BE69" s="606">
        <f t="shared" si="13"/>
        <v>8.2089206589368705E-2</v>
      </c>
    </row>
    <row r="70" spans="1:57" ht="15" customHeight="1">
      <c r="A70" s="587" t="s">
        <v>169</v>
      </c>
      <c r="B70" s="609" t="s">
        <v>170</v>
      </c>
      <c r="C70" s="196" t="s">
        <v>273</v>
      </c>
      <c r="D70" s="589">
        <f t="shared" ref="D70:D125" si="28">T70</f>
        <v>3.4450477438681897E-2</v>
      </c>
      <c r="E70" s="590">
        <f t="shared" si="25"/>
        <v>3.9743589743589741E-2</v>
      </c>
      <c r="F70" s="591">
        <f t="shared" si="14"/>
        <v>4.3866520444931847E-2</v>
      </c>
      <c r="G70" s="591">
        <f t="shared" si="15"/>
        <v>4.4307692307692305E-2</v>
      </c>
      <c r="H70" s="591">
        <f t="shared" ref="H70:H121" si="29">+AF70</f>
        <v>4.3662635464111824E-2</v>
      </c>
      <c r="I70" s="591">
        <f t="shared" ref="I70:I121" si="30">+AI70</f>
        <v>4.5113955666562601E-2</v>
      </c>
      <c r="J70" s="591">
        <f t="shared" ref="J70:J121" si="31">+AL70</f>
        <v>4.0450825999691215E-2</v>
      </c>
      <c r="K70" s="591">
        <f t="shared" ref="K70:K121" si="32">+AO70</f>
        <v>3.8200211384568923E-2</v>
      </c>
      <c r="L70" s="591">
        <f t="shared" ref="L70:L121" si="33">+AR70</f>
        <v>5.4526123936816523E-2</v>
      </c>
      <c r="M70" s="591">
        <f t="shared" ref="M70:M121" si="34">+AU70</f>
        <v>8.1595372202770591E-2</v>
      </c>
      <c r="N70" s="591">
        <f t="shared" ref="N70:N121" si="35">+AX70</f>
        <v>8.3421330517423439E-2</v>
      </c>
      <c r="O70" s="592">
        <f t="shared" ref="O70:O125" si="36">+BA70</f>
        <v>7.6865448007192083E-2</v>
      </c>
      <c r="P70" s="593">
        <f t="shared" ref="P70:P125" si="37">BE70</f>
        <v>7.1130058005451108E-2</v>
      </c>
      <c r="Q70" s="225"/>
      <c r="R70" s="594">
        <v>5341</v>
      </c>
      <c r="S70" s="595">
        <v>184</v>
      </c>
      <c r="T70" s="596">
        <f t="shared" si="26"/>
        <v>3.4450477438681897E-2</v>
      </c>
      <c r="U70" s="597">
        <v>6240</v>
      </c>
      <c r="V70" s="598">
        <v>248</v>
      </c>
      <c r="W70" s="599">
        <f t="shared" si="27"/>
        <v>3.9743589743589741E-2</v>
      </c>
      <c r="X70" s="597">
        <v>6383</v>
      </c>
      <c r="Y70" s="598">
        <v>280</v>
      </c>
      <c r="Z70" s="600">
        <f t="shared" si="16"/>
        <v>4.3866520444931847E-2</v>
      </c>
      <c r="AA70" s="597">
        <v>6500</v>
      </c>
      <c r="AB70" s="598">
        <v>288</v>
      </c>
      <c r="AC70" s="600">
        <f t="shared" si="17"/>
        <v>4.4307692307692305E-2</v>
      </c>
      <c r="AD70" s="597">
        <v>6367</v>
      </c>
      <c r="AE70" s="598">
        <v>278</v>
      </c>
      <c r="AF70" s="601">
        <f t="shared" si="18"/>
        <v>4.3662635464111824E-2</v>
      </c>
      <c r="AG70" s="597">
        <v>6406</v>
      </c>
      <c r="AH70" s="598">
        <v>289</v>
      </c>
      <c r="AI70" s="601">
        <f t="shared" si="19"/>
        <v>4.5113955666562601E-2</v>
      </c>
      <c r="AJ70" s="597">
        <v>6477</v>
      </c>
      <c r="AK70" s="598">
        <v>262</v>
      </c>
      <c r="AL70" s="601">
        <f t="shared" si="20"/>
        <v>4.0450825999691215E-2</v>
      </c>
      <c r="AM70" s="597">
        <v>6623</v>
      </c>
      <c r="AN70" s="598">
        <v>253</v>
      </c>
      <c r="AO70" s="601">
        <f t="shared" si="21"/>
        <v>3.8200211384568923E-2</v>
      </c>
      <c r="AP70" s="597">
        <v>6584</v>
      </c>
      <c r="AQ70" s="598">
        <v>359</v>
      </c>
      <c r="AR70" s="601">
        <f t="shared" si="22"/>
        <v>5.4526123936816523E-2</v>
      </c>
      <c r="AS70" s="602">
        <v>6569</v>
      </c>
      <c r="AT70" s="598">
        <v>536</v>
      </c>
      <c r="AU70" s="603">
        <f t="shared" si="23"/>
        <v>8.1595372202770591E-2</v>
      </c>
      <c r="AV70" s="597">
        <v>6629</v>
      </c>
      <c r="AW70" s="598">
        <v>553</v>
      </c>
      <c r="AX70" s="601">
        <f t="shared" si="24"/>
        <v>8.3421330517423439E-2</v>
      </c>
      <c r="AY70" s="604">
        <v>6674</v>
      </c>
      <c r="AZ70" s="605">
        <v>513</v>
      </c>
      <c r="BA70" s="606">
        <f t="shared" ref="BA70:BA125" si="38">+AZ70/AY70</f>
        <v>7.6865448007192083E-2</v>
      </c>
      <c r="BC70" s="607">
        <v>6504.090909090909</v>
      </c>
      <c r="BD70" s="608">
        <v>462.63636363636363</v>
      </c>
      <c r="BE70" s="606">
        <f t="shared" ref="BE70:BE125" si="39">BD70/BC70</f>
        <v>7.1130058005451108E-2</v>
      </c>
    </row>
    <row r="71" spans="1:57" ht="15" customHeight="1">
      <c r="A71" s="587" t="s">
        <v>171</v>
      </c>
      <c r="B71" s="609" t="s">
        <v>172</v>
      </c>
      <c r="C71" s="196" t="s">
        <v>274</v>
      </c>
      <c r="D71" s="589">
        <f t="shared" si="28"/>
        <v>2.4182216267442241E-2</v>
      </c>
      <c r="E71" s="590">
        <f t="shared" si="25"/>
        <v>2.6861268535051625E-2</v>
      </c>
      <c r="F71" s="591">
        <f t="shared" ref="F71:F121" si="40">+Z71</f>
        <v>4.4787297783103655E-2</v>
      </c>
      <c r="G71" s="591">
        <f t="shared" ref="G71:G121" si="41">+AC71</f>
        <v>3.9910829857615418E-2</v>
      </c>
      <c r="H71" s="591">
        <f t="shared" si="29"/>
        <v>3.3084386124101348E-2</v>
      </c>
      <c r="I71" s="591">
        <f t="shared" si="30"/>
        <v>3.1562584482292509E-2</v>
      </c>
      <c r="J71" s="591">
        <f t="shared" si="31"/>
        <v>2.974345446151817E-2</v>
      </c>
      <c r="K71" s="591">
        <f t="shared" si="32"/>
        <v>3.154228213894085E-2</v>
      </c>
      <c r="L71" s="591">
        <f t="shared" si="33"/>
        <v>4.5576407506702415E-2</v>
      </c>
      <c r="M71" s="591">
        <f t="shared" si="34"/>
        <v>7.7632248219735508E-2</v>
      </c>
      <c r="N71" s="591">
        <f t="shared" si="35"/>
        <v>7.6975816504612313E-2</v>
      </c>
      <c r="O71" s="592">
        <f t="shared" si="36"/>
        <v>7.2042258002927517E-2</v>
      </c>
      <c r="P71" s="593">
        <f t="shared" si="37"/>
        <v>6.4630243788910233E-2</v>
      </c>
      <c r="Q71" s="225"/>
      <c r="R71" s="594">
        <v>30601</v>
      </c>
      <c r="S71" s="595">
        <v>740</v>
      </c>
      <c r="T71" s="596">
        <f t="shared" si="26"/>
        <v>2.4182216267442241E-2</v>
      </c>
      <c r="U71" s="597">
        <v>12881</v>
      </c>
      <c r="V71" s="598">
        <v>346</v>
      </c>
      <c r="W71" s="599">
        <f t="shared" si="27"/>
        <v>2.6861268535051625E-2</v>
      </c>
      <c r="X71" s="597">
        <v>13352</v>
      </c>
      <c r="Y71" s="598">
        <v>598</v>
      </c>
      <c r="Z71" s="600">
        <f t="shared" ref="Z71:Z121" si="42">+Y71/X71</f>
        <v>4.4787297783103655E-2</v>
      </c>
      <c r="AA71" s="597">
        <v>13906</v>
      </c>
      <c r="AB71" s="598">
        <v>555</v>
      </c>
      <c r="AC71" s="600">
        <f t="shared" ref="AC71:AC121" si="43">+AB71/AA71</f>
        <v>3.9910829857615418E-2</v>
      </c>
      <c r="AD71" s="597">
        <v>14327</v>
      </c>
      <c r="AE71" s="598">
        <v>474</v>
      </c>
      <c r="AF71" s="601">
        <f t="shared" ref="AF71:AF121" si="44">+AE71/AD71</f>
        <v>3.3084386124101348E-2</v>
      </c>
      <c r="AG71" s="597">
        <v>14796</v>
      </c>
      <c r="AH71" s="598">
        <v>467</v>
      </c>
      <c r="AI71" s="601">
        <f t="shared" ref="AI71:AI121" si="45">+AH71/AG71</f>
        <v>3.1562584482292509E-2</v>
      </c>
      <c r="AJ71" s="597">
        <v>15163</v>
      </c>
      <c r="AK71" s="598">
        <v>451</v>
      </c>
      <c r="AL71" s="601">
        <f t="shared" ref="AL71:AL121" si="46">+AK71/AJ71</f>
        <v>2.974345446151817E-2</v>
      </c>
      <c r="AM71" s="597">
        <v>15503</v>
      </c>
      <c r="AN71" s="598">
        <v>489</v>
      </c>
      <c r="AO71" s="601">
        <f t="shared" ref="AO71:AO121" si="47">+AN71/AM71</f>
        <v>3.154228213894085E-2</v>
      </c>
      <c r="AP71" s="597">
        <v>15666</v>
      </c>
      <c r="AQ71" s="598">
        <v>714</v>
      </c>
      <c r="AR71" s="601">
        <f t="shared" ref="AR71:AR121" si="48">+AQ71/AP71</f>
        <v>4.5576407506702415E-2</v>
      </c>
      <c r="AS71" s="602">
        <v>15728</v>
      </c>
      <c r="AT71" s="598">
        <v>1221</v>
      </c>
      <c r="AU71" s="603">
        <f t="shared" ref="AU71:AU121" si="49">+AT71/AS71</f>
        <v>7.7632248219735508E-2</v>
      </c>
      <c r="AV71" s="597">
        <v>16044</v>
      </c>
      <c r="AW71" s="598">
        <v>1235</v>
      </c>
      <c r="AX71" s="601">
        <f t="shared" ref="AX71:AX121" si="50">+AW71/AV71</f>
        <v>7.6975816504612313E-2</v>
      </c>
      <c r="AY71" s="604">
        <v>15713</v>
      </c>
      <c r="AZ71" s="605">
        <v>1132</v>
      </c>
      <c r="BA71" s="606">
        <f t="shared" si="38"/>
        <v>7.2042258002927517E-2</v>
      </c>
      <c r="BC71" s="607">
        <v>15624.545454545454</v>
      </c>
      <c r="BD71" s="608">
        <v>1009.8181818181819</v>
      </c>
      <c r="BE71" s="606">
        <f t="shared" si="39"/>
        <v>6.4630243788910233E-2</v>
      </c>
    </row>
    <row r="72" spans="1:57" ht="15" customHeight="1">
      <c r="A72" s="587" t="s">
        <v>173</v>
      </c>
      <c r="B72" s="609" t="s">
        <v>174</v>
      </c>
      <c r="C72" s="196" t="s">
        <v>274</v>
      </c>
      <c r="D72" s="589">
        <f t="shared" si="28"/>
        <v>1.763803680981595E-2</v>
      </c>
      <c r="E72" s="590">
        <f t="shared" ref="E72:E122" si="51">+W72</f>
        <v>3.3432392273402674E-2</v>
      </c>
      <c r="F72" s="591">
        <f t="shared" si="40"/>
        <v>6.1209618654359969E-2</v>
      </c>
      <c r="G72" s="591">
        <f t="shared" si="41"/>
        <v>6.9630245118404654E-2</v>
      </c>
      <c r="H72" s="591">
        <f t="shared" si="29"/>
        <v>5.4213727193744572E-2</v>
      </c>
      <c r="I72" s="591">
        <f t="shared" si="30"/>
        <v>5.0515553244952778E-2</v>
      </c>
      <c r="J72" s="591">
        <f t="shared" si="31"/>
        <v>4.5821863067223162E-2</v>
      </c>
      <c r="K72" s="591">
        <f t="shared" si="32"/>
        <v>4.9811453126370253E-2</v>
      </c>
      <c r="L72" s="591">
        <f t="shared" si="33"/>
        <v>6.8558321298105518E-2</v>
      </c>
      <c r="M72" s="591">
        <f t="shared" si="34"/>
        <v>0.11863281898125104</v>
      </c>
      <c r="N72" s="591">
        <f t="shared" si="35"/>
        <v>0.11559602920666175</v>
      </c>
      <c r="O72" s="592">
        <f t="shared" si="36"/>
        <v>0.10879272550133962</v>
      </c>
      <c r="P72" s="593">
        <f t="shared" si="37"/>
        <v>9.657330222018802E-2</v>
      </c>
      <c r="Q72" s="196"/>
      <c r="R72" s="610">
        <v>6520</v>
      </c>
      <c r="S72" s="611">
        <v>115</v>
      </c>
      <c r="T72" s="612">
        <f t="shared" si="26"/>
        <v>1.763803680981595E-2</v>
      </c>
      <c r="U72" s="597">
        <v>12114</v>
      </c>
      <c r="V72" s="598">
        <v>405</v>
      </c>
      <c r="W72" s="599">
        <f t="shared" si="27"/>
        <v>3.3432392273402674E-2</v>
      </c>
      <c r="X72" s="597">
        <v>12351</v>
      </c>
      <c r="Y72" s="598">
        <v>756</v>
      </c>
      <c r="Z72" s="600">
        <f t="shared" si="42"/>
        <v>6.1209618654359969E-2</v>
      </c>
      <c r="AA72" s="597">
        <v>12035</v>
      </c>
      <c r="AB72" s="598">
        <v>838</v>
      </c>
      <c r="AC72" s="600">
        <f t="shared" si="43"/>
        <v>6.9630245118404654E-2</v>
      </c>
      <c r="AD72" s="604">
        <v>11510</v>
      </c>
      <c r="AE72" s="605">
        <v>624</v>
      </c>
      <c r="AF72" s="601">
        <f t="shared" si="44"/>
        <v>5.4213727193744572E-2</v>
      </c>
      <c r="AG72" s="604">
        <v>11541</v>
      </c>
      <c r="AH72" s="605">
        <v>583</v>
      </c>
      <c r="AI72" s="601">
        <f t="shared" si="45"/>
        <v>5.0515553244952778E-2</v>
      </c>
      <c r="AJ72" s="604">
        <v>11261</v>
      </c>
      <c r="AK72" s="605">
        <v>516</v>
      </c>
      <c r="AL72" s="601">
        <f t="shared" si="46"/>
        <v>4.5821863067223162E-2</v>
      </c>
      <c r="AM72" s="604">
        <v>11403</v>
      </c>
      <c r="AN72" s="605">
        <v>568</v>
      </c>
      <c r="AO72" s="601">
        <f t="shared" si="47"/>
        <v>4.9811453126370253E-2</v>
      </c>
      <c r="AP72" s="604">
        <v>11771</v>
      </c>
      <c r="AQ72" s="605">
        <v>807</v>
      </c>
      <c r="AR72" s="601">
        <f t="shared" si="48"/>
        <v>6.8558321298105518E-2</v>
      </c>
      <c r="AS72" s="617">
        <v>12054</v>
      </c>
      <c r="AT72" s="605">
        <v>1430</v>
      </c>
      <c r="AU72" s="603">
        <f t="shared" si="49"/>
        <v>0.11863281898125104</v>
      </c>
      <c r="AV72" s="597">
        <v>12189</v>
      </c>
      <c r="AW72" s="598">
        <v>1409</v>
      </c>
      <c r="AX72" s="601">
        <f t="shared" si="50"/>
        <v>0.11559602920666175</v>
      </c>
      <c r="AY72" s="604">
        <v>12317</v>
      </c>
      <c r="AZ72" s="605">
        <v>1340</v>
      </c>
      <c r="BA72" s="606">
        <f t="shared" si="38"/>
        <v>0.10879272550133962</v>
      </c>
      <c r="BC72" s="607">
        <v>12116.09090909091</v>
      </c>
      <c r="BD72" s="608">
        <v>1170.090909090909</v>
      </c>
      <c r="BE72" s="606">
        <f t="shared" si="39"/>
        <v>9.657330222018802E-2</v>
      </c>
    </row>
    <row r="73" spans="1:57" ht="15" customHeight="1">
      <c r="A73" s="587" t="s">
        <v>175</v>
      </c>
      <c r="B73" s="609" t="s">
        <v>176</v>
      </c>
      <c r="C73" s="196" t="s">
        <v>275</v>
      </c>
      <c r="D73" s="589">
        <f t="shared" si="28"/>
        <v>1.6701461377870562E-2</v>
      </c>
      <c r="E73" s="590">
        <f t="shared" si="51"/>
        <v>5.2559941367396085E-2</v>
      </c>
      <c r="F73" s="591">
        <f t="shared" si="40"/>
        <v>8.3877656817003626E-2</v>
      </c>
      <c r="G73" s="591">
        <f t="shared" si="41"/>
        <v>7.6378351036924627E-2</v>
      </c>
      <c r="H73" s="591">
        <f t="shared" si="29"/>
        <v>7.5663282017687516E-2</v>
      </c>
      <c r="I73" s="591">
        <f t="shared" si="30"/>
        <v>6.5131504684501643E-2</v>
      </c>
      <c r="J73" s="591">
        <f t="shared" si="31"/>
        <v>4.5408450704225355E-2</v>
      </c>
      <c r="K73" s="591">
        <f t="shared" si="32"/>
        <v>3.995170672813083E-2</v>
      </c>
      <c r="L73" s="591">
        <f t="shared" si="33"/>
        <v>6.4586754241926655E-2</v>
      </c>
      <c r="M73" s="591">
        <f t="shared" si="34"/>
        <v>0.11432325886990802</v>
      </c>
      <c r="N73" s="591">
        <f t="shared" si="35"/>
        <v>0.11223404255319148</v>
      </c>
      <c r="O73" s="592">
        <f t="shared" si="36"/>
        <v>9.5042697127647777E-2</v>
      </c>
      <c r="P73" s="593">
        <f t="shared" si="37"/>
        <v>7.8231189166742626E-2</v>
      </c>
      <c r="Q73" s="225"/>
      <c r="R73" s="594">
        <v>19160</v>
      </c>
      <c r="S73" s="595">
        <v>320</v>
      </c>
      <c r="T73" s="596">
        <f t="shared" si="26"/>
        <v>1.6701461377870562E-2</v>
      </c>
      <c r="U73" s="597">
        <v>9551</v>
      </c>
      <c r="V73" s="598">
        <v>502</v>
      </c>
      <c r="W73" s="599">
        <f t="shared" si="27"/>
        <v>5.2559941367396085E-2</v>
      </c>
      <c r="X73" s="597">
        <v>9645</v>
      </c>
      <c r="Y73" s="598">
        <v>809</v>
      </c>
      <c r="Z73" s="600">
        <f t="shared" si="42"/>
        <v>8.3877656817003626E-2</v>
      </c>
      <c r="AA73" s="597">
        <v>9885</v>
      </c>
      <c r="AB73" s="598">
        <v>755</v>
      </c>
      <c r="AC73" s="600">
        <f t="shared" si="43"/>
        <v>7.6378351036924627E-2</v>
      </c>
      <c r="AD73" s="597">
        <v>9159</v>
      </c>
      <c r="AE73" s="598">
        <v>693</v>
      </c>
      <c r="AF73" s="601">
        <f t="shared" si="44"/>
        <v>7.5663282017687516E-2</v>
      </c>
      <c r="AG73" s="597">
        <v>8859</v>
      </c>
      <c r="AH73" s="598">
        <v>577</v>
      </c>
      <c r="AI73" s="601">
        <f t="shared" si="45"/>
        <v>6.5131504684501643E-2</v>
      </c>
      <c r="AJ73" s="597">
        <v>8875</v>
      </c>
      <c r="AK73" s="598">
        <v>403</v>
      </c>
      <c r="AL73" s="601">
        <f t="shared" si="46"/>
        <v>4.5408450704225355E-2</v>
      </c>
      <c r="AM73" s="597">
        <v>9111</v>
      </c>
      <c r="AN73" s="598">
        <v>364</v>
      </c>
      <c r="AO73" s="601">
        <f t="shared" si="47"/>
        <v>3.995170672813083E-2</v>
      </c>
      <c r="AP73" s="597">
        <v>9135</v>
      </c>
      <c r="AQ73" s="598">
        <v>590</v>
      </c>
      <c r="AR73" s="601">
        <f t="shared" si="48"/>
        <v>6.4586754241926655E-2</v>
      </c>
      <c r="AS73" s="602">
        <v>9132</v>
      </c>
      <c r="AT73" s="598">
        <v>1044</v>
      </c>
      <c r="AU73" s="603">
        <f t="shared" si="49"/>
        <v>0.11432325886990802</v>
      </c>
      <c r="AV73" s="597">
        <v>9400</v>
      </c>
      <c r="AW73" s="598">
        <v>1055</v>
      </c>
      <c r="AX73" s="601">
        <f t="shared" si="50"/>
        <v>0.11223404255319148</v>
      </c>
      <c r="AY73" s="604">
        <v>9017</v>
      </c>
      <c r="AZ73" s="605">
        <v>857</v>
      </c>
      <c r="BA73" s="606">
        <f t="shared" si="38"/>
        <v>9.5042697127647777E-2</v>
      </c>
      <c r="BC73" s="607">
        <v>8975.7272727272721</v>
      </c>
      <c r="BD73" s="608">
        <v>702.18181818181813</v>
      </c>
      <c r="BE73" s="606">
        <f t="shared" si="39"/>
        <v>7.8231189166742626E-2</v>
      </c>
    </row>
    <row r="74" spans="1:57" ht="15" customHeight="1">
      <c r="A74" s="587" t="s">
        <v>179</v>
      </c>
      <c r="B74" s="609" t="s">
        <v>180</v>
      </c>
      <c r="C74" s="196" t="s">
        <v>272</v>
      </c>
      <c r="D74" s="589">
        <f t="shared" si="28"/>
        <v>1.3898540653231411E-2</v>
      </c>
      <c r="E74" s="590">
        <f t="shared" si="51"/>
        <v>5.8485494485123739E-2</v>
      </c>
      <c r="F74" s="591">
        <f t="shared" si="40"/>
        <v>7.0014851635195344E-2</v>
      </c>
      <c r="G74" s="591">
        <f t="shared" si="41"/>
        <v>6.5173301044346904E-2</v>
      </c>
      <c r="H74" s="591">
        <f t="shared" si="29"/>
        <v>6.1639997509495052E-2</v>
      </c>
      <c r="I74" s="591">
        <f t="shared" si="30"/>
        <v>6.2685078395311872E-2</v>
      </c>
      <c r="J74" s="591">
        <f t="shared" si="31"/>
        <v>5.3564004988647627E-2</v>
      </c>
      <c r="K74" s="591">
        <f t="shared" si="32"/>
        <v>5.639001219590474E-2</v>
      </c>
      <c r="L74" s="591">
        <f t="shared" si="33"/>
        <v>6.6266961186494167E-2</v>
      </c>
      <c r="M74" s="591">
        <f t="shared" si="34"/>
        <v>0.10570922976622893</v>
      </c>
      <c r="N74" s="591">
        <f t="shared" si="35"/>
        <v>0.1037747759121323</v>
      </c>
      <c r="O74" s="592">
        <f t="shared" si="36"/>
        <v>8.3197635848260051E-2</v>
      </c>
      <c r="P74" s="593">
        <f t="shared" si="37"/>
        <v>7.1161416249577461E-2</v>
      </c>
      <c r="Q74" s="225"/>
      <c r="R74" s="594">
        <v>5756</v>
      </c>
      <c r="S74" s="595">
        <v>80</v>
      </c>
      <c r="T74" s="596">
        <f t="shared" si="26"/>
        <v>1.3898540653231411E-2</v>
      </c>
      <c r="U74" s="597">
        <v>32367</v>
      </c>
      <c r="V74" s="598">
        <v>1893</v>
      </c>
      <c r="W74" s="599">
        <f t="shared" si="27"/>
        <v>5.8485494485123739E-2</v>
      </c>
      <c r="X74" s="597">
        <v>32993</v>
      </c>
      <c r="Y74" s="598">
        <v>2310</v>
      </c>
      <c r="Z74" s="600">
        <f t="shared" si="42"/>
        <v>7.0014851635195344E-2</v>
      </c>
      <c r="AA74" s="597">
        <v>33035</v>
      </c>
      <c r="AB74" s="598">
        <v>2153</v>
      </c>
      <c r="AC74" s="600">
        <f t="shared" si="43"/>
        <v>6.5173301044346904E-2</v>
      </c>
      <c r="AD74" s="597">
        <v>32122</v>
      </c>
      <c r="AE74" s="598">
        <v>1980</v>
      </c>
      <c r="AF74" s="601">
        <f t="shared" si="44"/>
        <v>6.1639997509495052E-2</v>
      </c>
      <c r="AG74" s="597">
        <v>32081</v>
      </c>
      <c r="AH74" s="598">
        <v>2011</v>
      </c>
      <c r="AI74" s="601">
        <f t="shared" si="45"/>
        <v>6.2685078395311872E-2</v>
      </c>
      <c r="AJ74" s="597">
        <v>31271</v>
      </c>
      <c r="AK74" s="598">
        <v>1675</v>
      </c>
      <c r="AL74" s="601">
        <f t="shared" si="46"/>
        <v>5.3564004988647627E-2</v>
      </c>
      <c r="AM74" s="597">
        <v>31158</v>
      </c>
      <c r="AN74" s="598">
        <v>1757</v>
      </c>
      <c r="AO74" s="601">
        <f t="shared" si="47"/>
        <v>5.639001219590474E-2</v>
      </c>
      <c r="AP74" s="597">
        <v>31690</v>
      </c>
      <c r="AQ74" s="598">
        <v>2100</v>
      </c>
      <c r="AR74" s="601">
        <f t="shared" si="48"/>
        <v>6.6266961186494167E-2</v>
      </c>
      <c r="AS74" s="602">
        <v>32211</v>
      </c>
      <c r="AT74" s="598">
        <v>3405</v>
      </c>
      <c r="AU74" s="603">
        <f t="shared" si="49"/>
        <v>0.10570922976622893</v>
      </c>
      <c r="AV74" s="597">
        <v>31684</v>
      </c>
      <c r="AW74" s="598">
        <v>3288</v>
      </c>
      <c r="AX74" s="601">
        <f t="shared" si="50"/>
        <v>0.1037747759121323</v>
      </c>
      <c r="AY74" s="604">
        <v>33162</v>
      </c>
      <c r="AZ74" s="605">
        <v>2759</v>
      </c>
      <c r="BA74" s="606">
        <f t="shared" si="38"/>
        <v>8.3197635848260051E-2</v>
      </c>
      <c r="BC74" s="607">
        <v>33348</v>
      </c>
      <c r="BD74" s="608">
        <v>2373.090909090909</v>
      </c>
      <c r="BE74" s="606">
        <f t="shared" si="39"/>
        <v>7.1161416249577461E-2</v>
      </c>
    </row>
    <row r="75" spans="1:57" ht="15" customHeight="1">
      <c r="A75" s="587" t="s">
        <v>183</v>
      </c>
      <c r="B75" s="609" t="s">
        <v>184</v>
      </c>
      <c r="C75" s="196" t="s">
        <v>273</v>
      </c>
      <c r="D75" s="589">
        <f t="shared" si="28"/>
        <v>2.1733994802740374E-2</v>
      </c>
      <c r="E75" s="590">
        <f t="shared" si="51"/>
        <v>2.5097698653929659E-2</v>
      </c>
      <c r="F75" s="591">
        <f t="shared" si="40"/>
        <v>3.1296205027106949E-2</v>
      </c>
      <c r="G75" s="591">
        <f t="shared" si="41"/>
        <v>3.150977753147019E-2</v>
      </c>
      <c r="H75" s="591">
        <f t="shared" si="29"/>
        <v>2.8658304827061953E-2</v>
      </c>
      <c r="I75" s="591">
        <f t="shared" si="30"/>
        <v>2.8150428854189575E-2</v>
      </c>
      <c r="J75" s="591">
        <f t="shared" si="31"/>
        <v>2.5395939440452105E-2</v>
      </c>
      <c r="K75" s="591">
        <f t="shared" si="32"/>
        <v>2.321378926883514E-2</v>
      </c>
      <c r="L75" s="591">
        <f t="shared" si="33"/>
        <v>3.3372244729794685E-2</v>
      </c>
      <c r="M75" s="591">
        <f t="shared" si="34"/>
        <v>6.1474002335325226E-2</v>
      </c>
      <c r="N75" s="591">
        <f t="shared" si="35"/>
        <v>6.597464121499233E-2</v>
      </c>
      <c r="O75" s="592">
        <f t="shared" si="36"/>
        <v>5.7665935271530445E-2</v>
      </c>
      <c r="P75" s="593">
        <f t="shared" si="37"/>
        <v>5.3055139735992379E-2</v>
      </c>
      <c r="Q75" s="225"/>
      <c r="R75" s="594">
        <v>4233</v>
      </c>
      <c r="S75" s="595">
        <v>92</v>
      </c>
      <c r="T75" s="596">
        <f t="shared" si="26"/>
        <v>2.1733994802740374E-2</v>
      </c>
      <c r="U75" s="597">
        <v>11515</v>
      </c>
      <c r="V75" s="598">
        <v>289</v>
      </c>
      <c r="W75" s="599">
        <f t="shared" si="27"/>
        <v>2.5097698653929659E-2</v>
      </c>
      <c r="X75" s="597">
        <v>12174</v>
      </c>
      <c r="Y75" s="598">
        <v>381</v>
      </c>
      <c r="Z75" s="600">
        <f t="shared" si="42"/>
        <v>3.1296205027106949E-2</v>
      </c>
      <c r="AA75" s="597">
        <v>12631</v>
      </c>
      <c r="AB75" s="598">
        <v>398</v>
      </c>
      <c r="AC75" s="600">
        <f t="shared" si="43"/>
        <v>3.150977753147019E-2</v>
      </c>
      <c r="AD75" s="597">
        <v>13155</v>
      </c>
      <c r="AE75" s="598">
        <v>377</v>
      </c>
      <c r="AF75" s="601">
        <f t="shared" si="44"/>
        <v>2.8658304827061953E-2</v>
      </c>
      <c r="AG75" s="597">
        <v>13641</v>
      </c>
      <c r="AH75" s="598">
        <v>384</v>
      </c>
      <c r="AI75" s="601">
        <f t="shared" si="45"/>
        <v>2.8150428854189575E-2</v>
      </c>
      <c r="AJ75" s="597">
        <v>14333</v>
      </c>
      <c r="AK75" s="598">
        <v>364</v>
      </c>
      <c r="AL75" s="601">
        <f t="shared" si="46"/>
        <v>2.5395939440452105E-2</v>
      </c>
      <c r="AM75" s="597">
        <v>14388</v>
      </c>
      <c r="AN75" s="598">
        <v>334</v>
      </c>
      <c r="AO75" s="601">
        <f t="shared" si="47"/>
        <v>2.321378926883514E-2</v>
      </c>
      <c r="AP75" s="597">
        <v>14563</v>
      </c>
      <c r="AQ75" s="598">
        <v>486</v>
      </c>
      <c r="AR75" s="601">
        <f t="shared" si="48"/>
        <v>3.3372244729794685E-2</v>
      </c>
      <c r="AS75" s="602">
        <v>14559</v>
      </c>
      <c r="AT75" s="598">
        <v>895</v>
      </c>
      <c r="AU75" s="603">
        <f t="shared" si="49"/>
        <v>6.1474002335325226E-2</v>
      </c>
      <c r="AV75" s="597">
        <v>14354</v>
      </c>
      <c r="AW75" s="598">
        <v>947</v>
      </c>
      <c r="AX75" s="601">
        <f t="shared" si="50"/>
        <v>6.597464121499233E-2</v>
      </c>
      <c r="AY75" s="604">
        <v>14584</v>
      </c>
      <c r="AZ75" s="605">
        <v>841</v>
      </c>
      <c r="BA75" s="606">
        <f t="shared" si="38"/>
        <v>5.7665935271530445E-2</v>
      </c>
      <c r="BC75" s="607">
        <v>14696.545454545454</v>
      </c>
      <c r="BD75" s="608">
        <v>779.72727272727275</v>
      </c>
      <c r="BE75" s="606">
        <f t="shared" si="39"/>
        <v>5.3055139735992379E-2</v>
      </c>
    </row>
    <row r="76" spans="1:57" ht="15" customHeight="1">
      <c r="A76" s="587" t="s">
        <v>185</v>
      </c>
      <c r="B76" s="609" t="s">
        <v>186</v>
      </c>
      <c r="C76" s="196" t="s">
        <v>273</v>
      </c>
      <c r="D76" s="589">
        <f t="shared" si="28"/>
        <v>3.340631400522636E-2</v>
      </c>
      <c r="E76" s="590">
        <f t="shared" si="51"/>
        <v>4.1839473042205415E-2</v>
      </c>
      <c r="F76" s="591">
        <f t="shared" si="40"/>
        <v>5.8405587668593446E-2</v>
      </c>
      <c r="G76" s="591">
        <f t="shared" si="41"/>
        <v>5.6962764094782306E-2</v>
      </c>
      <c r="H76" s="591">
        <f t="shared" si="29"/>
        <v>5.5450011873664211E-2</v>
      </c>
      <c r="I76" s="591">
        <f t="shared" si="30"/>
        <v>5.6432884347422205E-2</v>
      </c>
      <c r="J76" s="591">
        <f t="shared" si="31"/>
        <v>4.6997097566421078E-2</v>
      </c>
      <c r="K76" s="591">
        <f t="shared" si="32"/>
        <v>4.5314900153609831E-2</v>
      </c>
      <c r="L76" s="591">
        <f t="shared" si="33"/>
        <v>5.4777466542172422E-2</v>
      </c>
      <c r="M76" s="591">
        <f t="shared" si="34"/>
        <v>8.9734459253230231E-2</v>
      </c>
      <c r="N76" s="591">
        <f t="shared" si="35"/>
        <v>9.80142815220581E-2</v>
      </c>
      <c r="O76" s="592">
        <f t="shared" si="36"/>
        <v>9.1567661547377568E-2</v>
      </c>
      <c r="P76" s="593">
        <f t="shared" si="37"/>
        <v>8.5843386785042927E-2</v>
      </c>
      <c r="Q76" s="225"/>
      <c r="R76" s="594">
        <v>14159</v>
      </c>
      <c r="S76" s="595">
        <v>473</v>
      </c>
      <c r="T76" s="596">
        <f t="shared" si="26"/>
        <v>3.340631400522636E-2</v>
      </c>
      <c r="U76" s="597">
        <v>8198</v>
      </c>
      <c r="V76" s="598">
        <v>343</v>
      </c>
      <c r="W76" s="599">
        <f t="shared" si="27"/>
        <v>4.1839473042205415E-2</v>
      </c>
      <c r="X76" s="597">
        <v>8304</v>
      </c>
      <c r="Y76" s="598">
        <v>485</v>
      </c>
      <c r="Z76" s="600">
        <f t="shared" si="42"/>
        <v>5.8405587668593446E-2</v>
      </c>
      <c r="AA76" s="597">
        <v>8567</v>
      </c>
      <c r="AB76" s="598">
        <v>488</v>
      </c>
      <c r="AC76" s="600">
        <f t="shared" si="43"/>
        <v>5.6962764094782306E-2</v>
      </c>
      <c r="AD76" s="597">
        <v>8422</v>
      </c>
      <c r="AE76" s="598">
        <v>467</v>
      </c>
      <c r="AF76" s="601">
        <f t="shared" si="44"/>
        <v>5.5450011873664211E-2</v>
      </c>
      <c r="AG76" s="597">
        <v>8612</v>
      </c>
      <c r="AH76" s="598">
        <v>486</v>
      </c>
      <c r="AI76" s="601">
        <f t="shared" si="45"/>
        <v>5.6432884347422205E-2</v>
      </c>
      <c r="AJ76" s="597">
        <v>8958</v>
      </c>
      <c r="AK76" s="598">
        <v>421</v>
      </c>
      <c r="AL76" s="601">
        <f t="shared" si="46"/>
        <v>4.6997097566421078E-2</v>
      </c>
      <c r="AM76" s="597">
        <v>9114</v>
      </c>
      <c r="AN76" s="598">
        <v>413</v>
      </c>
      <c r="AO76" s="601">
        <f t="shared" si="47"/>
        <v>4.5314900153609831E-2</v>
      </c>
      <c r="AP76" s="597">
        <v>9639</v>
      </c>
      <c r="AQ76" s="598">
        <v>528</v>
      </c>
      <c r="AR76" s="601">
        <f t="shared" si="48"/>
        <v>5.4777466542172422E-2</v>
      </c>
      <c r="AS76" s="602">
        <v>9829</v>
      </c>
      <c r="AT76" s="598">
        <v>882</v>
      </c>
      <c r="AU76" s="603">
        <f t="shared" si="49"/>
        <v>8.9734459253230231E-2</v>
      </c>
      <c r="AV76" s="597">
        <v>10223</v>
      </c>
      <c r="AW76" s="598">
        <v>1002</v>
      </c>
      <c r="AX76" s="601">
        <f t="shared" si="50"/>
        <v>9.80142815220581E-2</v>
      </c>
      <c r="AY76" s="604">
        <v>10353</v>
      </c>
      <c r="AZ76" s="605">
        <v>948</v>
      </c>
      <c r="BA76" s="606">
        <f t="shared" si="38"/>
        <v>9.1567661547377568E-2</v>
      </c>
      <c r="BC76" s="607">
        <v>10301</v>
      </c>
      <c r="BD76" s="608">
        <v>884.27272727272725</v>
      </c>
      <c r="BE76" s="606">
        <f t="shared" si="39"/>
        <v>8.5843386785042927E-2</v>
      </c>
    </row>
    <row r="77" spans="1:57" ht="15" customHeight="1">
      <c r="A77" s="587" t="s">
        <v>187</v>
      </c>
      <c r="B77" s="609" t="s">
        <v>188</v>
      </c>
      <c r="C77" s="196" t="s">
        <v>271</v>
      </c>
      <c r="D77" s="589">
        <f t="shared" si="28"/>
        <v>2.0810272304626964E-2</v>
      </c>
      <c r="E77" s="590">
        <f t="shared" si="51"/>
        <v>3.4864824937213768E-2</v>
      </c>
      <c r="F77" s="591">
        <f t="shared" si="40"/>
        <v>3.8423575860124085E-2</v>
      </c>
      <c r="G77" s="591">
        <f t="shared" si="41"/>
        <v>4.1530944625407164E-2</v>
      </c>
      <c r="H77" s="591">
        <f t="shared" si="29"/>
        <v>3.6058335563286061E-2</v>
      </c>
      <c r="I77" s="591">
        <f t="shared" si="30"/>
        <v>3.8028076187965464E-2</v>
      </c>
      <c r="J77" s="591">
        <f t="shared" si="31"/>
        <v>3.299712778037539E-2</v>
      </c>
      <c r="K77" s="591">
        <f t="shared" si="32"/>
        <v>3.1767489016559645E-2</v>
      </c>
      <c r="L77" s="591">
        <f t="shared" si="33"/>
        <v>4.2470784641068446E-2</v>
      </c>
      <c r="M77" s="591">
        <f t="shared" si="34"/>
        <v>6.9963247577681256E-2</v>
      </c>
      <c r="N77" s="591">
        <f t="shared" si="35"/>
        <v>7.3225045847524234E-2</v>
      </c>
      <c r="O77" s="592">
        <f t="shared" si="36"/>
        <v>6.8474667746070292E-2</v>
      </c>
      <c r="P77" s="593">
        <f t="shared" si="37"/>
        <v>6.4761325630890848E-2</v>
      </c>
      <c r="Q77" s="225"/>
      <c r="R77" s="594">
        <v>4517</v>
      </c>
      <c r="S77" s="595">
        <v>94</v>
      </c>
      <c r="T77" s="596">
        <f t="shared" si="26"/>
        <v>2.0810272304626964E-2</v>
      </c>
      <c r="U77" s="597">
        <v>13538</v>
      </c>
      <c r="V77" s="598">
        <v>472</v>
      </c>
      <c r="W77" s="599">
        <f t="shared" si="27"/>
        <v>3.4864824937213768E-2</v>
      </c>
      <c r="X77" s="597">
        <v>14184</v>
      </c>
      <c r="Y77" s="598">
        <v>545</v>
      </c>
      <c r="Z77" s="600">
        <f t="shared" si="42"/>
        <v>3.8423575860124085E-2</v>
      </c>
      <c r="AA77" s="597">
        <v>14736</v>
      </c>
      <c r="AB77" s="598">
        <v>612</v>
      </c>
      <c r="AC77" s="600">
        <f t="shared" si="43"/>
        <v>4.1530944625407164E-2</v>
      </c>
      <c r="AD77" s="597">
        <v>14948</v>
      </c>
      <c r="AE77" s="598">
        <v>539</v>
      </c>
      <c r="AF77" s="601">
        <f t="shared" si="44"/>
        <v>3.6058335563286061E-2</v>
      </c>
      <c r="AG77" s="597">
        <v>15173</v>
      </c>
      <c r="AH77" s="598">
        <v>577</v>
      </c>
      <c r="AI77" s="601">
        <f t="shared" si="45"/>
        <v>3.8028076187965464E-2</v>
      </c>
      <c r="AJ77" s="597">
        <v>14971</v>
      </c>
      <c r="AK77" s="598">
        <v>494</v>
      </c>
      <c r="AL77" s="601">
        <f t="shared" si="46"/>
        <v>3.299712778037539E-2</v>
      </c>
      <c r="AM77" s="597">
        <v>14795</v>
      </c>
      <c r="AN77" s="598">
        <v>470</v>
      </c>
      <c r="AO77" s="601">
        <f t="shared" si="47"/>
        <v>3.1767489016559645E-2</v>
      </c>
      <c r="AP77" s="597">
        <v>14975</v>
      </c>
      <c r="AQ77" s="598">
        <v>636</v>
      </c>
      <c r="AR77" s="601">
        <f t="shared" si="48"/>
        <v>4.2470784641068446E-2</v>
      </c>
      <c r="AS77" s="602">
        <v>14965</v>
      </c>
      <c r="AT77" s="598">
        <v>1047</v>
      </c>
      <c r="AU77" s="603">
        <f t="shared" si="49"/>
        <v>6.9963247577681256E-2</v>
      </c>
      <c r="AV77" s="597">
        <v>15268</v>
      </c>
      <c r="AW77" s="598">
        <v>1118</v>
      </c>
      <c r="AX77" s="601">
        <f t="shared" si="50"/>
        <v>7.3225045847524234E-2</v>
      </c>
      <c r="AY77" s="604">
        <v>14823</v>
      </c>
      <c r="AZ77" s="605">
        <v>1015</v>
      </c>
      <c r="BA77" s="606">
        <f t="shared" si="38"/>
        <v>6.8474667746070292E-2</v>
      </c>
      <c r="BC77" s="607">
        <v>14950</v>
      </c>
      <c r="BD77" s="608">
        <v>968.18181818181813</v>
      </c>
      <c r="BE77" s="606">
        <f t="shared" si="39"/>
        <v>6.4761325630890848E-2</v>
      </c>
    </row>
    <row r="78" spans="1:57" ht="15" customHeight="1">
      <c r="A78" s="587" t="s">
        <v>189</v>
      </c>
      <c r="B78" s="609" t="s">
        <v>190</v>
      </c>
      <c r="C78" s="196" t="s">
        <v>274</v>
      </c>
      <c r="D78" s="589">
        <f t="shared" si="28"/>
        <v>2.5115224410322136E-2</v>
      </c>
      <c r="E78" s="590">
        <f t="shared" si="51"/>
        <v>2.4553752725591509E-2</v>
      </c>
      <c r="F78" s="591">
        <f t="shared" si="40"/>
        <v>3.4000934321957763E-2</v>
      </c>
      <c r="G78" s="591">
        <f t="shared" si="41"/>
        <v>3.3842542267039803E-2</v>
      </c>
      <c r="H78" s="591">
        <f t="shared" si="29"/>
        <v>2.8726171270536331E-2</v>
      </c>
      <c r="I78" s="591">
        <f t="shared" si="30"/>
        <v>2.6834845621325872E-2</v>
      </c>
      <c r="J78" s="591">
        <f t="shared" si="31"/>
        <v>2.3587730555345864E-2</v>
      </c>
      <c r="K78" s="591">
        <f t="shared" si="32"/>
        <v>2.4319635155901454E-2</v>
      </c>
      <c r="L78" s="591">
        <f t="shared" si="33"/>
        <v>3.2808137699983003E-2</v>
      </c>
      <c r="M78" s="591">
        <f t="shared" si="34"/>
        <v>5.372401296967385E-2</v>
      </c>
      <c r="N78" s="591">
        <f t="shared" si="35"/>
        <v>5.7733085481023419E-2</v>
      </c>
      <c r="O78" s="592">
        <f t="shared" si="36"/>
        <v>5.117123047407876E-2</v>
      </c>
      <c r="P78" s="593">
        <f t="shared" si="37"/>
        <v>4.7202721257301551E-2</v>
      </c>
      <c r="Q78" s="225"/>
      <c r="R78" s="594">
        <v>40573</v>
      </c>
      <c r="S78" s="595">
        <v>1019</v>
      </c>
      <c r="T78" s="596">
        <f t="shared" si="26"/>
        <v>2.5115224410322136E-2</v>
      </c>
      <c r="U78" s="597">
        <v>160057</v>
      </c>
      <c r="V78" s="598">
        <v>3930</v>
      </c>
      <c r="W78" s="599">
        <f t="shared" si="27"/>
        <v>2.4553752725591509E-2</v>
      </c>
      <c r="X78" s="597">
        <v>166966</v>
      </c>
      <c r="Y78" s="598">
        <v>5677</v>
      </c>
      <c r="Z78" s="600">
        <f t="shared" si="42"/>
        <v>3.4000934321957763E-2</v>
      </c>
      <c r="AA78" s="597">
        <v>172948</v>
      </c>
      <c r="AB78" s="598">
        <v>5853</v>
      </c>
      <c r="AC78" s="600">
        <f t="shared" si="43"/>
        <v>3.3842542267039803E-2</v>
      </c>
      <c r="AD78" s="597">
        <v>182238</v>
      </c>
      <c r="AE78" s="598">
        <v>5235</v>
      </c>
      <c r="AF78" s="601">
        <f t="shared" si="44"/>
        <v>2.8726171270536331E-2</v>
      </c>
      <c r="AG78" s="597">
        <v>191542</v>
      </c>
      <c r="AH78" s="598">
        <v>5140</v>
      </c>
      <c r="AI78" s="601">
        <f t="shared" si="45"/>
        <v>2.6834845621325872E-2</v>
      </c>
      <c r="AJ78" s="597">
        <v>198705</v>
      </c>
      <c r="AK78" s="598">
        <v>4687</v>
      </c>
      <c r="AL78" s="601">
        <f t="shared" si="46"/>
        <v>2.3587730555345864E-2</v>
      </c>
      <c r="AM78" s="597">
        <v>201730</v>
      </c>
      <c r="AN78" s="598">
        <v>4906</v>
      </c>
      <c r="AO78" s="601">
        <f t="shared" si="47"/>
        <v>2.4319635155901454E-2</v>
      </c>
      <c r="AP78" s="597">
        <v>205955</v>
      </c>
      <c r="AQ78" s="598">
        <v>6757</v>
      </c>
      <c r="AR78" s="601">
        <f t="shared" si="48"/>
        <v>3.2808137699983003E-2</v>
      </c>
      <c r="AS78" s="602">
        <v>209720</v>
      </c>
      <c r="AT78" s="598">
        <v>11267</v>
      </c>
      <c r="AU78" s="603">
        <f t="shared" si="49"/>
        <v>5.372401296967385E-2</v>
      </c>
      <c r="AV78" s="597">
        <v>214106</v>
      </c>
      <c r="AW78" s="598">
        <v>12361</v>
      </c>
      <c r="AX78" s="601">
        <f t="shared" si="50"/>
        <v>5.7733085481023419E-2</v>
      </c>
      <c r="AY78" s="604">
        <v>230911</v>
      </c>
      <c r="AZ78" s="605">
        <v>11816</v>
      </c>
      <c r="BA78" s="606">
        <f t="shared" si="38"/>
        <v>5.117123047407876E-2</v>
      </c>
      <c r="BC78" s="607">
        <v>234383.63636363635</v>
      </c>
      <c r="BD78" s="608">
        <v>11063.545454545454</v>
      </c>
      <c r="BE78" s="606">
        <f t="shared" si="39"/>
        <v>4.7202721257301551E-2</v>
      </c>
    </row>
    <row r="79" spans="1:57" ht="15" customHeight="1">
      <c r="A79" s="587" t="s">
        <v>191</v>
      </c>
      <c r="B79" s="609" t="s">
        <v>192</v>
      </c>
      <c r="C79" s="196" t="s">
        <v>275</v>
      </c>
      <c r="D79" s="589">
        <f t="shared" si="28"/>
        <v>2.3172650550708052E-2</v>
      </c>
      <c r="E79" s="590">
        <f t="shared" si="51"/>
        <v>7.0724801812004537E-2</v>
      </c>
      <c r="F79" s="591">
        <f t="shared" si="40"/>
        <v>6.2953309156844967E-2</v>
      </c>
      <c r="G79" s="591">
        <f t="shared" si="41"/>
        <v>6.0844823812650474E-2</v>
      </c>
      <c r="H79" s="591">
        <f t="shared" si="29"/>
        <v>5.8065924470639602E-2</v>
      </c>
      <c r="I79" s="591">
        <f t="shared" si="30"/>
        <v>4.4418758256274768E-2</v>
      </c>
      <c r="J79" s="591">
        <f t="shared" si="31"/>
        <v>3.8130246337850442E-2</v>
      </c>
      <c r="K79" s="591">
        <f t="shared" si="32"/>
        <v>5.4311844246198733E-2</v>
      </c>
      <c r="L79" s="591">
        <f t="shared" si="33"/>
        <v>6.3644385616589458E-2</v>
      </c>
      <c r="M79" s="591">
        <f t="shared" si="34"/>
        <v>0.10706994735145589</v>
      </c>
      <c r="N79" s="591">
        <f t="shared" si="35"/>
        <v>9.3330349149507608E-2</v>
      </c>
      <c r="O79" s="592">
        <f t="shared" si="36"/>
        <v>6.9867787796647679E-2</v>
      </c>
      <c r="P79" s="593">
        <f t="shared" si="37"/>
        <v>6.2348842565933441E-2</v>
      </c>
      <c r="Q79" s="225"/>
      <c r="R79" s="594">
        <v>6991</v>
      </c>
      <c r="S79" s="595">
        <v>162</v>
      </c>
      <c r="T79" s="596">
        <f t="shared" si="26"/>
        <v>2.3172650550708052E-2</v>
      </c>
      <c r="U79" s="597">
        <v>17660</v>
      </c>
      <c r="V79" s="598">
        <v>1249</v>
      </c>
      <c r="W79" s="599">
        <f t="shared" si="27"/>
        <v>7.0724801812004537E-2</v>
      </c>
      <c r="X79" s="597">
        <v>17648</v>
      </c>
      <c r="Y79" s="598">
        <v>1111</v>
      </c>
      <c r="Z79" s="600">
        <f t="shared" si="42"/>
        <v>6.2953309156844967E-2</v>
      </c>
      <c r="AA79" s="597">
        <v>18276</v>
      </c>
      <c r="AB79" s="598">
        <v>1112</v>
      </c>
      <c r="AC79" s="600">
        <f t="shared" si="43"/>
        <v>6.0844823812650474E-2</v>
      </c>
      <c r="AD79" s="597">
        <v>18324</v>
      </c>
      <c r="AE79" s="598">
        <v>1064</v>
      </c>
      <c r="AF79" s="601">
        <f t="shared" si="44"/>
        <v>5.8065924470639602E-2</v>
      </c>
      <c r="AG79" s="597">
        <v>18168</v>
      </c>
      <c r="AH79" s="598">
        <v>807</v>
      </c>
      <c r="AI79" s="601">
        <f t="shared" si="45"/>
        <v>4.4418758256274768E-2</v>
      </c>
      <c r="AJ79" s="597">
        <v>18227</v>
      </c>
      <c r="AK79" s="598">
        <v>695</v>
      </c>
      <c r="AL79" s="601">
        <f t="shared" si="46"/>
        <v>3.8130246337850442E-2</v>
      </c>
      <c r="AM79" s="597">
        <v>17823</v>
      </c>
      <c r="AN79" s="598">
        <v>968</v>
      </c>
      <c r="AO79" s="601">
        <f t="shared" si="47"/>
        <v>5.4311844246198733E-2</v>
      </c>
      <c r="AP79" s="597">
        <v>18132</v>
      </c>
      <c r="AQ79" s="598">
        <v>1154</v>
      </c>
      <c r="AR79" s="601">
        <f t="shared" si="48"/>
        <v>6.3644385616589458E-2</v>
      </c>
      <c r="AS79" s="602">
        <v>18614</v>
      </c>
      <c r="AT79" s="598">
        <v>1993</v>
      </c>
      <c r="AU79" s="603">
        <f t="shared" si="49"/>
        <v>0.10706994735145589</v>
      </c>
      <c r="AV79" s="597">
        <v>17872</v>
      </c>
      <c r="AW79" s="598">
        <v>1668</v>
      </c>
      <c r="AX79" s="601">
        <f t="shared" si="50"/>
        <v>9.3330349149507608E-2</v>
      </c>
      <c r="AY79" s="604">
        <v>18077</v>
      </c>
      <c r="AZ79" s="605">
        <v>1263</v>
      </c>
      <c r="BA79" s="606">
        <f t="shared" si="38"/>
        <v>6.9867787796647679E-2</v>
      </c>
      <c r="BC79" s="607">
        <v>18944.727272727272</v>
      </c>
      <c r="BD79" s="608">
        <v>1181.1818181818182</v>
      </c>
      <c r="BE79" s="606">
        <f t="shared" si="39"/>
        <v>6.2348842565933441E-2</v>
      </c>
    </row>
    <row r="80" spans="1:57" ht="15" customHeight="1">
      <c r="A80" s="587" t="s">
        <v>195</v>
      </c>
      <c r="B80" s="609" t="s">
        <v>196</v>
      </c>
      <c r="C80" s="196" t="s">
        <v>274</v>
      </c>
      <c r="D80" s="589">
        <f t="shared" si="28"/>
        <v>1.8191841234840134E-2</v>
      </c>
      <c r="E80" s="590">
        <f t="shared" si="51"/>
        <v>2.3624161073825502E-2</v>
      </c>
      <c r="F80" s="591">
        <f t="shared" si="40"/>
        <v>3.3893781692020286E-2</v>
      </c>
      <c r="G80" s="591">
        <f t="shared" si="41"/>
        <v>3.0272704528396296E-2</v>
      </c>
      <c r="H80" s="591">
        <f t="shared" si="29"/>
        <v>2.5740650801359885E-2</v>
      </c>
      <c r="I80" s="591">
        <f t="shared" si="30"/>
        <v>2.5764507584878402E-2</v>
      </c>
      <c r="J80" s="591">
        <f t="shared" si="31"/>
        <v>2.3023255813953487E-2</v>
      </c>
      <c r="K80" s="591">
        <f t="shared" si="32"/>
        <v>2.4850437183617118E-2</v>
      </c>
      <c r="L80" s="591">
        <f t="shared" si="33"/>
        <v>3.4821219911194204E-2</v>
      </c>
      <c r="M80" s="591">
        <f t="shared" si="34"/>
        <v>5.8949880668257758E-2</v>
      </c>
      <c r="N80" s="591">
        <f t="shared" si="35"/>
        <v>5.6453501991098616E-2</v>
      </c>
      <c r="O80" s="592">
        <f t="shared" si="36"/>
        <v>5.1565811160819403E-2</v>
      </c>
      <c r="P80" s="593">
        <f t="shared" si="37"/>
        <v>4.9238347545326605E-2</v>
      </c>
      <c r="Q80" s="225"/>
      <c r="R80" s="594">
        <v>7256</v>
      </c>
      <c r="S80" s="595">
        <v>132</v>
      </c>
      <c r="T80" s="596">
        <f t="shared" si="26"/>
        <v>1.8191841234840134E-2</v>
      </c>
      <c r="U80" s="597">
        <v>3725</v>
      </c>
      <c r="V80" s="598">
        <v>88</v>
      </c>
      <c r="W80" s="599">
        <f t="shared" si="27"/>
        <v>2.3624161073825502E-2</v>
      </c>
      <c r="X80" s="597">
        <v>3747</v>
      </c>
      <c r="Y80" s="598">
        <v>127</v>
      </c>
      <c r="Z80" s="600">
        <f t="shared" si="42"/>
        <v>3.3893781692020286E-2</v>
      </c>
      <c r="AA80" s="597">
        <v>3997</v>
      </c>
      <c r="AB80" s="598">
        <v>121</v>
      </c>
      <c r="AC80" s="600">
        <f t="shared" si="43"/>
        <v>3.0272704528396296E-2</v>
      </c>
      <c r="AD80" s="597">
        <v>4118</v>
      </c>
      <c r="AE80" s="598">
        <v>106</v>
      </c>
      <c r="AF80" s="601">
        <f t="shared" si="44"/>
        <v>2.5740650801359885E-2</v>
      </c>
      <c r="AG80" s="597">
        <v>4153</v>
      </c>
      <c r="AH80" s="598">
        <v>107</v>
      </c>
      <c r="AI80" s="601">
        <f t="shared" si="45"/>
        <v>2.5764507584878402E-2</v>
      </c>
      <c r="AJ80" s="597">
        <v>4300</v>
      </c>
      <c r="AK80" s="598">
        <v>99</v>
      </c>
      <c r="AL80" s="601">
        <f t="shared" si="46"/>
        <v>2.3023255813953487E-2</v>
      </c>
      <c r="AM80" s="597">
        <v>4346</v>
      </c>
      <c r="AN80" s="598">
        <v>108</v>
      </c>
      <c r="AO80" s="601">
        <f t="shared" si="47"/>
        <v>2.4850437183617118E-2</v>
      </c>
      <c r="AP80" s="597">
        <v>4279</v>
      </c>
      <c r="AQ80" s="598">
        <v>149</v>
      </c>
      <c r="AR80" s="601">
        <f t="shared" si="48"/>
        <v>3.4821219911194204E-2</v>
      </c>
      <c r="AS80" s="602">
        <v>4190</v>
      </c>
      <c r="AT80" s="598">
        <v>247</v>
      </c>
      <c r="AU80" s="603">
        <f t="shared" si="49"/>
        <v>5.8949880668257758E-2</v>
      </c>
      <c r="AV80" s="597">
        <v>4269</v>
      </c>
      <c r="AW80" s="598">
        <v>241</v>
      </c>
      <c r="AX80" s="601">
        <f t="shared" si="50"/>
        <v>5.6453501991098616E-2</v>
      </c>
      <c r="AY80" s="604">
        <v>4247</v>
      </c>
      <c r="AZ80" s="605">
        <v>219</v>
      </c>
      <c r="BA80" s="606">
        <f t="shared" si="38"/>
        <v>5.1565811160819403E-2</v>
      </c>
      <c r="BC80" s="607">
        <v>4392.363636363636</v>
      </c>
      <c r="BD80" s="608">
        <v>216.27272727272728</v>
      </c>
      <c r="BE80" s="606">
        <f t="shared" si="39"/>
        <v>4.9238347545326605E-2</v>
      </c>
    </row>
    <row r="81" spans="1:57" ht="15" customHeight="1">
      <c r="A81" s="587" t="s">
        <v>199</v>
      </c>
      <c r="B81" s="609" t="s">
        <v>200</v>
      </c>
      <c r="C81" s="196" t="s">
        <v>273</v>
      </c>
      <c r="D81" s="589">
        <f t="shared" si="28"/>
        <v>2.5916484583636806E-2</v>
      </c>
      <c r="E81" s="590">
        <f t="shared" si="51"/>
        <v>4.1143857601400644E-2</v>
      </c>
      <c r="F81" s="591">
        <f t="shared" si="40"/>
        <v>5.6469920544835413E-2</v>
      </c>
      <c r="G81" s="591">
        <f t="shared" si="41"/>
        <v>6.2309609526446964E-2</v>
      </c>
      <c r="H81" s="591">
        <f t="shared" si="29"/>
        <v>5.1719238420005684E-2</v>
      </c>
      <c r="I81" s="591">
        <f t="shared" si="30"/>
        <v>4.6372688477951639E-2</v>
      </c>
      <c r="J81" s="591">
        <f t="shared" si="31"/>
        <v>4.7132311186825669E-2</v>
      </c>
      <c r="K81" s="591">
        <f t="shared" si="32"/>
        <v>4.2577348850411582E-2</v>
      </c>
      <c r="L81" s="591">
        <f t="shared" si="33"/>
        <v>5.002578648788035E-2</v>
      </c>
      <c r="M81" s="591">
        <f t="shared" si="34"/>
        <v>7.8566167444144366E-2</v>
      </c>
      <c r="N81" s="591">
        <f t="shared" si="35"/>
        <v>8.0325125508008605E-2</v>
      </c>
      <c r="O81" s="592">
        <f t="shared" si="36"/>
        <v>8.0817916260954234E-2</v>
      </c>
      <c r="P81" s="593">
        <f t="shared" si="37"/>
        <v>7.9315671762237444E-2</v>
      </c>
      <c r="Q81" s="225"/>
      <c r="R81" s="594">
        <v>82380</v>
      </c>
      <c r="S81" s="595">
        <v>2135</v>
      </c>
      <c r="T81" s="596">
        <f t="shared" si="26"/>
        <v>2.5916484583636806E-2</v>
      </c>
      <c r="U81" s="597">
        <v>3427</v>
      </c>
      <c r="V81" s="598">
        <v>141</v>
      </c>
      <c r="W81" s="599">
        <f t="shared" si="27"/>
        <v>4.1143857601400644E-2</v>
      </c>
      <c r="X81" s="597">
        <v>3524</v>
      </c>
      <c r="Y81" s="598">
        <v>199</v>
      </c>
      <c r="Z81" s="600">
        <f t="shared" si="42"/>
        <v>5.6469920544835413E-2</v>
      </c>
      <c r="AA81" s="597">
        <v>3611</v>
      </c>
      <c r="AB81" s="598">
        <v>225</v>
      </c>
      <c r="AC81" s="600">
        <f t="shared" si="43"/>
        <v>6.2309609526446964E-2</v>
      </c>
      <c r="AD81" s="597">
        <v>3519</v>
      </c>
      <c r="AE81" s="598">
        <v>182</v>
      </c>
      <c r="AF81" s="601">
        <f t="shared" si="44"/>
        <v>5.1719238420005684E-2</v>
      </c>
      <c r="AG81" s="597">
        <v>3515</v>
      </c>
      <c r="AH81" s="598">
        <v>163</v>
      </c>
      <c r="AI81" s="601">
        <f t="shared" si="45"/>
        <v>4.6372688477951639E-2</v>
      </c>
      <c r="AJ81" s="597">
        <v>3522</v>
      </c>
      <c r="AK81" s="598">
        <v>166</v>
      </c>
      <c r="AL81" s="601">
        <f t="shared" si="46"/>
        <v>4.7132311186825669E-2</v>
      </c>
      <c r="AM81" s="597">
        <v>3523</v>
      </c>
      <c r="AN81" s="598">
        <v>150</v>
      </c>
      <c r="AO81" s="601">
        <f t="shared" si="47"/>
        <v>4.2577348850411582E-2</v>
      </c>
      <c r="AP81" s="597">
        <v>3878</v>
      </c>
      <c r="AQ81" s="598">
        <v>194</v>
      </c>
      <c r="AR81" s="601">
        <f t="shared" si="48"/>
        <v>5.002578648788035E-2</v>
      </c>
      <c r="AS81" s="602">
        <v>4073</v>
      </c>
      <c r="AT81" s="598">
        <v>320</v>
      </c>
      <c r="AU81" s="603">
        <f t="shared" si="49"/>
        <v>7.8566167444144366E-2</v>
      </c>
      <c r="AV81" s="597">
        <v>4183</v>
      </c>
      <c r="AW81" s="598">
        <v>336</v>
      </c>
      <c r="AX81" s="601">
        <f t="shared" si="50"/>
        <v>8.0325125508008605E-2</v>
      </c>
      <c r="AY81" s="604">
        <v>4108</v>
      </c>
      <c r="AZ81" s="605">
        <v>332</v>
      </c>
      <c r="BA81" s="606">
        <f t="shared" si="38"/>
        <v>8.0817916260954234E-2</v>
      </c>
      <c r="BC81" s="607">
        <v>3942.818181818182</v>
      </c>
      <c r="BD81" s="608">
        <v>312.72727272727275</v>
      </c>
      <c r="BE81" s="606">
        <f t="shared" si="39"/>
        <v>7.9315671762237444E-2</v>
      </c>
    </row>
    <row r="82" spans="1:57" ht="15" customHeight="1">
      <c r="A82" s="587" t="s">
        <v>203</v>
      </c>
      <c r="B82" s="609" t="s">
        <v>204</v>
      </c>
      <c r="C82" s="196" t="s">
        <v>272</v>
      </c>
      <c r="D82" s="589">
        <f t="shared" si="28"/>
        <v>3.2619985285844116E-2</v>
      </c>
      <c r="E82" s="590">
        <f t="shared" si="51"/>
        <v>2.5326921454484098E-2</v>
      </c>
      <c r="F82" s="591">
        <f t="shared" si="40"/>
        <v>3.3697677102395435E-2</v>
      </c>
      <c r="G82" s="591">
        <f t="shared" si="41"/>
        <v>3.466009984253024E-2</v>
      </c>
      <c r="H82" s="591">
        <f t="shared" si="29"/>
        <v>3.2426583712319733E-2</v>
      </c>
      <c r="I82" s="591">
        <f t="shared" si="30"/>
        <v>2.9843525839922596E-2</v>
      </c>
      <c r="J82" s="591">
        <f t="shared" si="31"/>
        <v>2.6151550642558037E-2</v>
      </c>
      <c r="K82" s="591">
        <f t="shared" si="32"/>
        <v>2.5768844861361065E-2</v>
      </c>
      <c r="L82" s="591">
        <f t="shared" si="33"/>
        <v>3.2711901832749753E-2</v>
      </c>
      <c r="M82" s="591">
        <f t="shared" si="34"/>
        <v>5.9402805484310185E-2</v>
      </c>
      <c r="N82" s="591">
        <f t="shared" si="35"/>
        <v>6.37334868694623E-2</v>
      </c>
      <c r="O82" s="592">
        <f t="shared" si="36"/>
        <v>5.6886180023173499E-2</v>
      </c>
      <c r="P82" s="593">
        <f t="shared" si="37"/>
        <v>5.3470593847853048E-2</v>
      </c>
      <c r="Q82" s="225"/>
      <c r="R82" s="610">
        <v>92428</v>
      </c>
      <c r="S82" s="611">
        <v>3015</v>
      </c>
      <c r="T82" s="612">
        <f t="shared" si="26"/>
        <v>3.2619985285844116E-2</v>
      </c>
      <c r="U82" s="613">
        <v>59265</v>
      </c>
      <c r="V82" s="614">
        <v>1501</v>
      </c>
      <c r="W82" s="599">
        <f t="shared" si="27"/>
        <v>2.5326921454484098E-2</v>
      </c>
      <c r="X82" s="613">
        <v>60657</v>
      </c>
      <c r="Y82" s="614">
        <v>2044</v>
      </c>
      <c r="Z82" s="600">
        <f t="shared" si="42"/>
        <v>3.3697677102395435E-2</v>
      </c>
      <c r="AA82" s="613">
        <v>59694</v>
      </c>
      <c r="AB82" s="614">
        <v>2069</v>
      </c>
      <c r="AC82" s="600">
        <f t="shared" si="43"/>
        <v>3.466009984253024E-2</v>
      </c>
      <c r="AD82" s="613">
        <v>59149</v>
      </c>
      <c r="AE82" s="614">
        <v>1918</v>
      </c>
      <c r="AF82" s="601">
        <f t="shared" si="44"/>
        <v>3.2426583712319733E-2</v>
      </c>
      <c r="AG82" s="613">
        <v>59946</v>
      </c>
      <c r="AH82" s="614">
        <v>1789</v>
      </c>
      <c r="AI82" s="601">
        <f t="shared" si="45"/>
        <v>2.9843525839922596E-2</v>
      </c>
      <c r="AJ82" s="613">
        <v>62329</v>
      </c>
      <c r="AK82" s="614">
        <v>1630</v>
      </c>
      <c r="AL82" s="601">
        <f t="shared" si="46"/>
        <v>2.6151550642558037E-2</v>
      </c>
      <c r="AM82" s="613">
        <v>62789</v>
      </c>
      <c r="AN82" s="614">
        <v>1618</v>
      </c>
      <c r="AO82" s="601">
        <f t="shared" si="47"/>
        <v>2.5768844861361065E-2</v>
      </c>
      <c r="AP82" s="613">
        <v>63402</v>
      </c>
      <c r="AQ82" s="614">
        <v>2074</v>
      </c>
      <c r="AR82" s="601">
        <f t="shared" si="48"/>
        <v>3.2711901832749753E-2</v>
      </c>
      <c r="AS82" s="615">
        <v>63162</v>
      </c>
      <c r="AT82" s="614">
        <v>3752</v>
      </c>
      <c r="AU82" s="603">
        <f t="shared" si="49"/>
        <v>5.9402805484310185E-2</v>
      </c>
      <c r="AV82" s="613">
        <v>62526</v>
      </c>
      <c r="AW82" s="614">
        <v>3985</v>
      </c>
      <c r="AX82" s="601">
        <f t="shared" si="50"/>
        <v>6.37334868694623E-2</v>
      </c>
      <c r="AY82" s="604">
        <v>63003</v>
      </c>
      <c r="AZ82" s="605">
        <v>3584</v>
      </c>
      <c r="BA82" s="606">
        <f t="shared" si="38"/>
        <v>5.6886180023173499E-2</v>
      </c>
      <c r="BC82" s="607">
        <v>62884.181818181823</v>
      </c>
      <c r="BD82" s="608">
        <v>3362.4545454545455</v>
      </c>
      <c r="BE82" s="606">
        <f t="shared" si="39"/>
        <v>5.3470593847853048E-2</v>
      </c>
    </row>
    <row r="83" spans="1:57" ht="31.5">
      <c r="A83" s="587" t="s">
        <v>205</v>
      </c>
      <c r="B83" s="618" t="s">
        <v>206</v>
      </c>
      <c r="C83" s="196" t="s">
        <v>272</v>
      </c>
      <c r="D83" s="589">
        <f t="shared" si="28"/>
        <v>2.6400862068965518E-2</v>
      </c>
      <c r="E83" s="590">
        <f t="shared" si="51"/>
        <v>3.1662911770078551E-2</v>
      </c>
      <c r="F83" s="591">
        <f t="shared" si="40"/>
        <v>3.9747709151493511E-2</v>
      </c>
      <c r="G83" s="591">
        <f t="shared" si="41"/>
        <v>4.1165479388064932E-2</v>
      </c>
      <c r="H83" s="591">
        <f t="shared" si="29"/>
        <v>3.6937742031575814E-2</v>
      </c>
      <c r="I83" s="591">
        <f t="shared" si="30"/>
        <v>3.4666198994504849E-2</v>
      </c>
      <c r="J83" s="591">
        <f t="shared" si="31"/>
        <v>3.0724127821753152E-2</v>
      </c>
      <c r="K83" s="591">
        <f t="shared" si="32"/>
        <v>3.2393872061747167E-2</v>
      </c>
      <c r="L83" s="591">
        <f t="shared" si="33"/>
        <v>4.6184854592571267E-2</v>
      </c>
      <c r="M83" s="591">
        <f t="shared" si="34"/>
        <v>7.5912324994262106E-2</v>
      </c>
      <c r="N83" s="591">
        <f t="shared" si="35"/>
        <v>8.0828361633776963E-2</v>
      </c>
      <c r="O83" s="592">
        <f t="shared" si="36"/>
        <v>7.4582408597126504E-2</v>
      </c>
      <c r="P83" s="593">
        <f t="shared" si="37"/>
        <v>6.807113104774111E-2</v>
      </c>
      <c r="Q83" s="225"/>
      <c r="R83" s="610">
        <v>5568</v>
      </c>
      <c r="S83" s="611">
        <v>147</v>
      </c>
      <c r="T83" s="612">
        <f t="shared" si="26"/>
        <v>2.6400862068965518E-2</v>
      </c>
      <c r="U83" s="613">
        <v>16423</v>
      </c>
      <c r="V83" s="614">
        <v>520</v>
      </c>
      <c r="W83" s="599">
        <f t="shared" si="27"/>
        <v>3.1662911770078551E-2</v>
      </c>
      <c r="X83" s="613">
        <v>16806</v>
      </c>
      <c r="Y83" s="614">
        <v>668</v>
      </c>
      <c r="Z83" s="600">
        <f t="shared" si="42"/>
        <v>3.9747709151493511E-2</v>
      </c>
      <c r="AA83" s="613">
        <v>17126</v>
      </c>
      <c r="AB83" s="614">
        <v>705</v>
      </c>
      <c r="AC83" s="600">
        <f t="shared" si="43"/>
        <v>4.1165479388064932E-2</v>
      </c>
      <c r="AD83" s="613">
        <v>16785</v>
      </c>
      <c r="AE83" s="614">
        <v>620</v>
      </c>
      <c r="AF83" s="601">
        <f t="shared" si="44"/>
        <v>3.6937742031575814E-2</v>
      </c>
      <c r="AG83" s="613">
        <v>17106</v>
      </c>
      <c r="AH83" s="614">
        <v>593</v>
      </c>
      <c r="AI83" s="601">
        <f t="shared" si="45"/>
        <v>3.4666198994504849E-2</v>
      </c>
      <c r="AJ83" s="613">
        <v>17055</v>
      </c>
      <c r="AK83" s="614">
        <v>524</v>
      </c>
      <c r="AL83" s="601">
        <f t="shared" si="46"/>
        <v>3.0724127821753152E-2</v>
      </c>
      <c r="AM83" s="613">
        <v>17102</v>
      </c>
      <c r="AN83" s="614">
        <v>554</v>
      </c>
      <c r="AO83" s="601">
        <f t="shared" si="47"/>
        <v>3.2393872061747167E-2</v>
      </c>
      <c r="AP83" s="613">
        <v>17365</v>
      </c>
      <c r="AQ83" s="614">
        <v>802</v>
      </c>
      <c r="AR83" s="601">
        <f t="shared" si="48"/>
        <v>4.6184854592571267E-2</v>
      </c>
      <c r="AS83" s="615">
        <v>17428</v>
      </c>
      <c r="AT83" s="614">
        <v>1323</v>
      </c>
      <c r="AU83" s="603">
        <f t="shared" si="49"/>
        <v>7.5912324994262106E-2</v>
      </c>
      <c r="AV83" s="613">
        <v>17432</v>
      </c>
      <c r="AW83" s="614">
        <v>1409</v>
      </c>
      <c r="AX83" s="601">
        <f t="shared" si="50"/>
        <v>8.0828361633776963E-2</v>
      </c>
      <c r="AY83" s="604">
        <v>17122</v>
      </c>
      <c r="AZ83" s="605">
        <v>1277</v>
      </c>
      <c r="BA83" s="606">
        <f t="shared" si="38"/>
        <v>7.4582408597126504E-2</v>
      </c>
      <c r="BC83" s="607">
        <v>17023.636363636364</v>
      </c>
      <c r="BD83" s="608">
        <v>1158.8181818181818</v>
      </c>
      <c r="BE83" s="606">
        <f t="shared" si="39"/>
        <v>6.807113104774111E-2</v>
      </c>
    </row>
    <row r="84" spans="1:57">
      <c r="A84" s="587" t="s">
        <v>207</v>
      </c>
      <c r="B84" s="609" t="s">
        <v>208</v>
      </c>
      <c r="C84" s="196" t="s">
        <v>274</v>
      </c>
      <c r="D84" s="589">
        <f t="shared" si="28"/>
        <v>4.4781643227239085E-2</v>
      </c>
      <c r="E84" s="590">
        <f t="shared" si="51"/>
        <v>2.5413409102941955E-2</v>
      </c>
      <c r="F84" s="591">
        <f t="shared" si="40"/>
        <v>3.5456493784826404E-2</v>
      </c>
      <c r="G84" s="591">
        <f t="shared" si="41"/>
        <v>3.4176214934808373E-2</v>
      </c>
      <c r="H84" s="591">
        <f t="shared" si="29"/>
        <v>3.2957066740084535E-2</v>
      </c>
      <c r="I84" s="591">
        <f t="shared" si="30"/>
        <v>3.2279464112355188E-2</v>
      </c>
      <c r="J84" s="591">
        <f t="shared" si="31"/>
        <v>2.5438610122608816E-2</v>
      </c>
      <c r="K84" s="591">
        <f t="shared" si="32"/>
        <v>2.5994285272994053E-2</v>
      </c>
      <c r="L84" s="591">
        <f t="shared" si="33"/>
        <v>3.6176542755490121E-2</v>
      </c>
      <c r="M84" s="591">
        <f t="shared" si="34"/>
        <v>6.0736504266613936E-2</v>
      </c>
      <c r="N84" s="591">
        <f t="shared" si="35"/>
        <v>6.6070810574940936E-2</v>
      </c>
      <c r="O84" s="592">
        <f t="shared" si="36"/>
        <v>6.1482349876253742E-2</v>
      </c>
      <c r="P84" s="593">
        <f t="shared" si="37"/>
        <v>5.7606024159389216E-2</v>
      </c>
      <c r="Q84" s="225"/>
      <c r="R84" s="610">
        <v>5404</v>
      </c>
      <c r="S84" s="611">
        <v>242</v>
      </c>
      <c r="T84" s="612">
        <f t="shared" si="26"/>
        <v>4.4781643227239085E-2</v>
      </c>
      <c r="U84" s="613">
        <v>56663</v>
      </c>
      <c r="V84" s="614">
        <v>1440</v>
      </c>
      <c r="W84" s="599">
        <f t="shared" si="27"/>
        <v>2.5413409102941955E-2</v>
      </c>
      <c r="X84" s="613">
        <v>58325</v>
      </c>
      <c r="Y84" s="614">
        <v>2068</v>
      </c>
      <c r="Z84" s="600">
        <f t="shared" si="42"/>
        <v>3.5456493784826404E-2</v>
      </c>
      <c r="AA84" s="613">
        <v>60744</v>
      </c>
      <c r="AB84" s="614">
        <v>2076</v>
      </c>
      <c r="AC84" s="600">
        <f t="shared" si="43"/>
        <v>3.4176214934808373E-2</v>
      </c>
      <c r="AD84" s="613">
        <v>61747</v>
      </c>
      <c r="AE84" s="614">
        <v>2035</v>
      </c>
      <c r="AF84" s="601">
        <f t="shared" si="44"/>
        <v>3.2957066740084535E-2</v>
      </c>
      <c r="AG84" s="613">
        <v>61804</v>
      </c>
      <c r="AH84" s="614">
        <v>1995</v>
      </c>
      <c r="AI84" s="601">
        <f t="shared" si="45"/>
        <v>3.2279464112355188E-2</v>
      </c>
      <c r="AJ84" s="613">
        <v>64351</v>
      </c>
      <c r="AK84" s="614">
        <v>1637</v>
      </c>
      <c r="AL84" s="601">
        <f t="shared" si="46"/>
        <v>2.5438610122608816E-2</v>
      </c>
      <c r="AM84" s="613">
        <v>64745</v>
      </c>
      <c r="AN84" s="614">
        <v>1683</v>
      </c>
      <c r="AO84" s="601">
        <f t="shared" si="47"/>
        <v>2.5994285272994053E-2</v>
      </c>
      <c r="AP84" s="613">
        <v>65208</v>
      </c>
      <c r="AQ84" s="614">
        <v>2359</v>
      </c>
      <c r="AR84" s="601">
        <f t="shared" si="48"/>
        <v>3.6176542755490121E-2</v>
      </c>
      <c r="AS84" s="615">
        <v>65743</v>
      </c>
      <c r="AT84" s="614">
        <v>3993</v>
      </c>
      <c r="AU84" s="603">
        <f t="shared" si="49"/>
        <v>6.0736504266613936E-2</v>
      </c>
      <c r="AV84" s="613">
        <v>66459</v>
      </c>
      <c r="AW84" s="614">
        <v>4391</v>
      </c>
      <c r="AX84" s="601">
        <f t="shared" si="50"/>
        <v>6.6070810574940936E-2</v>
      </c>
      <c r="AY84" s="604">
        <v>69093</v>
      </c>
      <c r="AZ84" s="605">
        <v>4248</v>
      </c>
      <c r="BA84" s="606">
        <f t="shared" si="38"/>
        <v>6.1482349876253742E-2</v>
      </c>
      <c r="BC84" s="607">
        <v>69538.181818181823</v>
      </c>
      <c r="BD84" s="608">
        <v>4005.818181818182</v>
      </c>
      <c r="BE84" s="606">
        <f t="shared" si="39"/>
        <v>5.7606024159389216E-2</v>
      </c>
    </row>
    <row r="85" spans="1:57" ht="15" customHeight="1">
      <c r="A85" s="587" t="s">
        <v>209</v>
      </c>
      <c r="B85" s="609" t="s">
        <v>210</v>
      </c>
      <c r="C85" s="196" t="s">
        <v>275</v>
      </c>
      <c r="D85" s="589">
        <f t="shared" si="28"/>
        <v>4.1244083840432724E-2</v>
      </c>
      <c r="E85" s="590">
        <f t="shared" si="51"/>
        <v>6.3865688011473895E-2</v>
      </c>
      <c r="F85" s="591">
        <f t="shared" si="40"/>
        <v>6.3125102475815709E-2</v>
      </c>
      <c r="G85" s="591">
        <f t="shared" si="41"/>
        <v>6.1736334405144692E-2</v>
      </c>
      <c r="H85" s="591">
        <f t="shared" si="29"/>
        <v>5.7250277706570964E-2</v>
      </c>
      <c r="I85" s="591">
        <f t="shared" si="30"/>
        <v>5.6517775752051046E-2</v>
      </c>
      <c r="J85" s="591">
        <f t="shared" si="31"/>
        <v>5.8675184936112977E-2</v>
      </c>
      <c r="K85" s="591">
        <f t="shared" si="32"/>
        <v>5.0801687763713077E-2</v>
      </c>
      <c r="L85" s="591">
        <f t="shared" si="33"/>
        <v>5.7138041463003539E-2</v>
      </c>
      <c r="M85" s="591">
        <f t="shared" si="34"/>
        <v>0.10764201062525541</v>
      </c>
      <c r="N85" s="591">
        <f t="shared" si="35"/>
        <v>0.1009878357416932</v>
      </c>
      <c r="O85" s="592">
        <f t="shared" si="36"/>
        <v>9.304635761589404E-2</v>
      </c>
      <c r="P85" s="593">
        <f t="shared" si="37"/>
        <v>8.7209347045204569E-2</v>
      </c>
      <c r="Q85" s="225"/>
      <c r="R85" s="594">
        <v>1479</v>
      </c>
      <c r="S85" s="595">
        <v>61</v>
      </c>
      <c r="T85" s="596">
        <f t="shared" si="26"/>
        <v>4.1244083840432724E-2</v>
      </c>
      <c r="U85" s="597">
        <v>11853</v>
      </c>
      <c r="V85" s="598">
        <v>757</v>
      </c>
      <c r="W85" s="599">
        <f t="shared" si="27"/>
        <v>6.3865688011473895E-2</v>
      </c>
      <c r="X85" s="597">
        <v>12198</v>
      </c>
      <c r="Y85" s="598">
        <v>770</v>
      </c>
      <c r="Z85" s="600">
        <f t="shared" si="42"/>
        <v>6.3125102475815709E-2</v>
      </c>
      <c r="AA85" s="597">
        <v>12440</v>
      </c>
      <c r="AB85" s="598">
        <v>768</v>
      </c>
      <c r="AC85" s="600">
        <f t="shared" si="43"/>
        <v>6.1736334405144692E-2</v>
      </c>
      <c r="AD85" s="597">
        <v>11703</v>
      </c>
      <c r="AE85" s="598">
        <v>670</v>
      </c>
      <c r="AF85" s="601">
        <f t="shared" si="44"/>
        <v>5.7250277706570964E-2</v>
      </c>
      <c r="AG85" s="597">
        <v>12067</v>
      </c>
      <c r="AH85" s="598">
        <v>682</v>
      </c>
      <c r="AI85" s="601">
        <f t="shared" si="45"/>
        <v>5.6517775752051046E-2</v>
      </c>
      <c r="AJ85" s="597">
        <v>11896</v>
      </c>
      <c r="AK85" s="598">
        <v>698</v>
      </c>
      <c r="AL85" s="601">
        <f t="shared" si="46"/>
        <v>5.8675184936112977E-2</v>
      </c>
      <c r="AM85" s="597">
        <v>11850</v>
      </c>
      <c r="AN85" s="598">
        <v>602</v>
      </c>
      <c r="AO85" s="601">
        <f t="shared" si="47"/>
        <v>5.0801687763713077E-2</v>
      </c>
      <c r="AP85" s="597">
        <v>11866</v>
      </c>
      <c r="AQ85" s="598">
        <v>678</v>
      </c>
      <c r="AR85" s="601">
        <f t="shared" si="48"/>
        <v>5.7138041463003539E-2</v>
      </c>
      <c r="AS85" s="602">
        <v>12235</v>
      </c>
      <c r="AT85" s="598">
        <v>1317</v>
      </c>
      <c r="AU85" s="603">
        <f t="shared" si="49"/>
        <v>0.10764201062525541</v>
      </c>
      <c r="AV85" s="597">
        <v>12249</v>
      </c>
      <c r="AW85" s="598">
        <v>1237</v>
      </c>
      <c r="AX85" s="601">
        <f t="shared" si="50"/>
        <v>0.1009878357416932</v>
      </c>
      <c r="AY85" s="604">
        <v>12080</v>
      </c>
      <c r="AZ85" s="605">
        <v>1124</v>
      </c>
      <c r="BA85" s="606">
        <f t="shared" si="38"/>
        <v>9.304635761589404E-2</v>
      </c>
      <c r="BC85" s="607">
        <v>11819</v>
      </c>
      <c r="BD85" s="608">
        <v>1030.7272727272727</v>
      </c>
      <c r="BE85" s="606">
        <f t="shared" si="39"/>
        <v>8.7209347045204569E-2</v>
      </c>
    </row>
    <row r="86" spans="1:57" ht="15" customHeight="1">
      <c r="A86" s="587" t="s">
        <v>211</v>
      </c>
      <c r="B86" s="609" t="s">
        <v>212</v>
      </c>
      <c r="C86" s="196" t="s">
        <v>275</v>
      </c>
      <c r="D86" s="589">
        <f t="shared" si="28"/>
        <v>2.9176854115729421E-2</v>
      </c>
      <c r="E86" s="590">
        <f t="shared" si="51"/>
        <v>4.6062101583384744E-2</v>
      </c>
      <c r="F86" s="591">
        <f t="shared" si="40"/>
        <v>5.2930440073007505E-2</v>
      </c>
      <c r="G86" s="591">
        <f t="shared" si="41"/>
        <v>5.4459905896486131E-2</v>
      </c>
      <c r="H86" s="591">
        <f t="shared" si="29"/>
        <v>5.5223426892288985E-2</v>
      </c>
      <c r="I86" s="591">
        <f t="shared" si="30"/>
        <v>5.1419878296146047E-2</v>
      </c>
      <c r="J86" s="591">
        <f t="shared" si="31"/>
        <v>4.8009601920384073E-2</v>
      </c>
      <c r="K86" s="591">
        <f t="shared" si="32"/>
        <v>4.5592705167173252E-2</v>
      </c>
      <c r="L86" s="591">
        <f t="shared" si="33"/>
        <v>5.3987122337790988E-2</v>
      </c>
      <c r="M86" s="591">
        <f t="shared" si="34"/>
        <v>9.4586614173228348E-2</v>
      </c>
      <c r="N86" s="591">
        <f t="shared" si="35"/>
        <v>9.5204584296772893E-2</v>
      </c>
      <c r="O86" s="592">
        <f t="shared" si="36"/>
        <v>8.0928237129485173E-2</v>
      </c>
      <c r="P86" s="593">
        <f t="shared" si="37"/>
        <v>8.2525423877789592E-2</v>
      </c>
      <c r="Q86" s="225"/>
      <c r="R86" s="594">
        <v>6135</v>
      </c>
      <c r="S86" s="595">
        <v>179</v>
      </c>
      <c r="T86" s="596">
        <f t="shared" si="26"/>
        <v>2.9176854115729421E-2</v>
      </c>
      <c r="U86" s="597">
        <v>9726</v>
      </c>
      <c r="V86" s="598">
        <v>448</v>
      </c>
      <c r="W86" s="599">
        <f t="shared" si="27"/>
        <v>4.6062101583384744E-2</v>
      </c>
      <c r="X86" s="597">
        <v>9862</v>
      </c>
      <c r="Y86" s="598">
        <v>522</v>
      </c>
      <c r="Z86" s="600">
        <f t="shared" si="42"/>
        <v>5.2930440073007505E-2</v>
      </c>
      <c r="AA86" s="597">
        <v>9989</v>
      </c>
      <c r="AB86" s="598">
        <v>544</v>
      </c>
      <c r="AC86" s="600">
        <f t="shared" si="43"/>
        <v>5.4459905896486131E-2</v>
      </c>
      <c r="AD86" s="597">
        <v>9869</v>
      </c>
      <c r="AE86" s="598">
        <v>545</v>
      </c>
      <c r="AF86" s="601">
        <f t="shared" si="44"/>
        <v>5.5223426892288985E-2</v>
      </c>
      <c r="AG86" s="597">
        <v>9860</v>
      </c>
      <c r="AH86" s="598">
        <v>507</v>
      </c>
      <c r="AI86" s="601">
        <f t="shared" si="45"/>
        <v>5.1419878296146047E-2</v>
      </c>
      <c r="AJ86" s="597">
        <v>9998</v>
      </c>
      <c r="AK86" s="598">
        <v>480</v>
      </c>
      <c r="AL86" s="601">
        <f t="shared" si="46"/>
        <v>4.8009601920384073E-2</v>
      </c>
      <c r="AM86" s="597">
        <v>9870</v>
      </c>
      <c r="AN86" s="598">
        <v>450</v>
      </c>
      <c r="AO86" s="601">
        <f t="shared" si="47"/>
        <v>4.5592705167173252E-2</v>
      </c>
      <c r="AP86" s="597">
        <v>10095</v>
      </c>
      <c r="AQ86" s="598">
        <v>545</v>
      </c>
      <c r="AR86" s="601">
        <f t="shared" si="48"/>
        <v>5.3987122337790988E-2</v>
      </c>
      <c r="AS86" s="602">
        <v>10160</v>
      </c>
      <c r="AT86" s="598">
        <v>961</v>
      </c>
      <c r="AU86" s="603">
        <f t="shared" si="49"/>
        <v>9.4586614173228348E-2</v>
      </c>
      <c r="AV86" s="597">
        <v>9947</v>
      </c>
      <c r="AW86" s="598">
        <v>947</v>
      </c>
      <c r="AX86" s="601">
        <f t="shared" si="50"/>
        <v>9.5204584296772893E-2</v>
      </c>
      <c r="AY86" s="604">
        <v>10256</v>
      </c>
      <c r="AZ86" s="605">
        <v>830</v>
      </c>
      <c r="BA86" s="606">
        <f t="shared" si="38"/>
        <v>8.0928237129485173E-2</v>
      </c>
      <c r="BC86" s="607">
        <v>10342.818181818182</v>
      </c>
      <c r="BD86" s="608">
        <v>853.5454545454545</v>
      </c>
      <c r="BE86" s="606">
        <f t="shared" si="39"/>
        <v>8.2525423877789592E-2</v>
      </c>
    </row>
    <row r="87" spans="1:57" ht="15" customHeight="1">
      <c r="A87" s="587" t="s">
        <v>213</v>
      </c>
      <c r="B87" s="609" t="s">
        <v>214</v>
      </c>
      <c r="C87" s="196" t="s">
        <v>274</v>
      </c>
      <c r="D87" s="589">
        <f t="shared" si="28"/>
        <v>2.0456520022115156E-2</v>
      </c>
      <c r="E87" s="590">
        <f t="shared" si="51"/>
        <v>2.4315946985891408E-2</v>
      </c>
      <c r="F87" s="591">
        <f t="shared" si="40"/>
        <v>3.1119465329991644E-2</v>
      </c>
      <c r="G87" s="591">
        <f t="shared" si="41"/>
        <v>3.8794882377218322E-2</v>
      </c>
      <c r="H87" s="591">
        <f t="shared" si="29"/>
        <v>3.2581712867190735E-2</v>
      </c>
      <c r="I87" s="591">
        <f t="shared" si="30"/>
        <v>3.0080146089073754E-2</v>
      </c>
      <c r="J87" s="591">
        <f t="shared" si="31"/>
        <v>2.9429459540760053E-2</v>
      </c>
      <c r="K87" s="591">
        <f t="shared" si="32"/>
        <v>3.1366320909226267E-2</v>
      </c>
      <c r="L87" s="591">
        <f t="shared" si="33"/>
        <v>4.631090944959558E-2</v>
      </c>
      <c r="M87" s="591">
        <f t="shared" si="34"/>
        <v>8.3108983946554985E-2</v>
      </c>
      <c r="N87" s="591">
        <f t="shared" si="35"/>
        <v>8.1317600786627336E-2</v>
      </c>
      <c r="O87" s="592">
        <f t="shared" si="36"/>
        <v>6.9730201863354033E-2</v>
      </c>
      <c r="P87" s="593">
        <f t="shared" si="37"/>
        <v>6.3723487405407328E-2</v>
      </c>
      <c r="Q87" s="225"/>
      <c r="R87" s="594">
        <v>12661</v>
      </c>
      <c r="S87" s="595">
        <v>259</v>
      </c>
      <c r="T87" s="596">
        <f t="shared" si="26"/>
        <v>2.0456520022115156E-2</v>
      </c>
      <c r="U87" s="597">
        <v>18712</v>
      </c>
      <c r="V87" s="598">
        <v>455</v>
      </c>
      <c r="W87" s="599">
        <f t="shared" si="27"/>
        <v>2.4315946985891408E-2</v>
      </c>
      <c r="X87" s="597">
        <v>19152</v>
      </c>
      <c r="Y87" s="598">
        <v>596</v>
      </c>
      <c r="Z87" s="600">
        <f t="shared" si="42"/>
        <v>3.1119465329991644E-2</v>
      </c>
      <c r="AA87" s="597">
        <v>19384</v>
      </c>
      <c r="AB87" s="598">
        <v>752</v>
      </c>
      <c r="AC87" s="600">
        <f t="shared" si="43"/>
        <v>3.8794882377218322E-2</v>
      </c>
      <c r="AD87" s="597">
        <v>19336</v>
      </c>
      <c r="AE87" s="598">
        <v>630</v>
      </c>
      <c r="AF87" s="601">
        <f t="shared" si="44"/>
        <v>3.2581712867190735E-2</v>
      </c>
      <c r="AG87" s="597">
        <v>19714</v>
      </c>
      <c r="AH87" s="598">
        <v>593</v>
      </c>
      <c r="AI87" s="601">
        <f t="shared" si="45"/>
        <v>3.0080146089073754E-2</v>
      </c>
      <c r="AJ87" s="597">
        <v>19946</v>
      </c>
      <c r="AK87" s="598">
        <v>587</v>
      </c>
      <c r="AL87" s="601">
        <f t="shared" si="46"/>
        <v>2.9429459540760053E-2</v>
      </c>
      <c r="AM87" s="597">
        <v>20149</v>
      </c>
      <c r="AN87" s="598">
        <v>632</v>
      </c>
      <c r="AO87" s="601">
        <f t="shared" si="47"/>
        <v>3.1366320909226267E-2</v>
      </c>
      <c r="AP87" s="597">
        <v>20276</v>
      </c>
      <c r="AQ87" s="598">
        <v>939</v>
      </c>
      <c r="AR87" s="601">
        <f t="shared" si="48"/>
        <v>4.631090944959558E-2</v>
      </c>
      <c r="AS87" s="602">
        <v>20058</v>
      </c>
      <c r="AT87" s="598">
        <v>1667</v>
      </c>
      <c r="AU87" s="603">
        <f t="shared" si="49"/>
        <v>8.3108983946554985E-2</v>
      </c>
      <c r="AV87" s="597">
        <v>20340</v>
      </c>
      <c r="AW87" s="598">
        <v>1654</v>
      </c>
      <c r="AX87" s="601">
        <f t="shared" si="50"/>
        <v>8.1317600786627336E-2</v>
      </c>
      <c r="AY87" s="604">
        <v>20608</v>
      </c>
      <c r="AZ87" s="605">
        <v>1437</v>
      </c>
      <c r="BA87" s="606">
        <f t="shared" si="38"/>
        <v>6.9730201863354033E-2</v>
      </c>
      <c r="BC87" s="607">
        <v>20470.545454545456</v>
      </c>
      <c r="BD87" s="608">
        <v>1304.4545454545455</v>
      </c>
      <c r="BE87" s="606">
        <f t="shared" si="39"/>
        <v>6.3723487405407328E-2</v>
      </c>
    </row>
    <row r="88" spans="1:57" ht="15" customHeight="1">
      <c r="A88" s="587" t="s">
        <v>215</v>
      </c>
      <c r="B88" s="609" t="s">
        <v>216</v>
      </c>
      <c r="C88" s="196" t="s">
        <v>275</v>
      </c>
      <c r="D88" s="589">
        <f t="shared" si="28"/>
        <v>2.5956284153005466E-2</v>
      </c>
      <c r="E88" s="590">
        <f t="shared" si="51"/>
        <v>6.3496160547202682E-2</v>
      </c>
      <c r="F88" s="591">
        <f t="shared" si="40"/>
        <v>8.028304921196526E-2</v>
      </c>
      <c r="G88" s="591">
        <f t="shared" si="41"/>
        <v>7.5430359937402186E-2</v>
      </c>
      <c r="H88" s="591">
        <f t="shared" si="29"/>
        <v>5.1024327784891167E-2</v>
      </c>
      <c r="I88" s="591">
        <f t="shared" si="30"/>
        <v>4.5622061253018174E-2</v>
      </c>
      <c r="J88" s="591">
        <f t="shared" si="31"/>
        <v>4.5616305402782269E-2</v>
      </c>
      <c r="K88" s="591">
        <f t="shared" si="32"/>
        <v>5.3742169469172436E-2</v>
      </c>
      <c r="L88" s="591">
        <f t="shared" si="33"/>
        <v>6.0535891498511414E-2</v>
      </c>
      <c r="M88" s="591">
        <f t="shared" si="34"/>
        <v>0.11446910938753678</v>
      </c>
      <c r="N88" s="591">
        <f t="shared" si="35"/>
        <v>0.10482070143176146</v>
      </c>
      <c r="O88" s="592">
        <f t="shared" si="36"/>
        <v>9.7306977978243572E-2</v>
      </c>
      <c r="P88" s="593">
        <f t="shared" si="37"/>
        <v>8.7093266826790181E-2</v>
      </c>
      <c r="Q88" s="225"/>
      <c r="R88" s="594">
        <v>11712</v>
      </c>
      <c r="S88" s="595">
        <v>304</v>
      </c>
      <c r="T88" s="596">
        <f t="shared" si="26"/>
        <v>2.5956284153005466E-2</v>
      </c>
      <c r="U88" s="597">
        <v>15497</v>
      </c>
      <c r="V88" s="598">
        <v>984</v>
      </c>
      <c r="W88" s="599">
        <f t="shared" si="27"/>
        <v>6.3496160547202682E-2</v>
      </c>
      <c r="X88" s="597">
        <v>15545</v>
      </c>
      <c r="Y88" s="598">
        <v>1248</v>
      </c>
      <c r="Z88" s="600">
        <f t="shared" si="42"/>
        <v>8.028304921196526E-2</v>
      </c>
      <c r="AA88" s="597">
        <v>15975</v>
      </c>
      <c r="AB88" s="598">
        <v>1205</v>
      </c>
      <c r="AC88" s="600">
        <f t="shared" si="43"/>
        <v>7.5430359937402186E-2</v>
      </c>
      <c r="AD88" s="597">
        <v>15620</v>
      </c>
      <c r="AE88" s="598">
        <v>797</v>
      </c>
      <c r="AF88" s="601">
        <f t="shared" si="44"/>
        <v>5.1024327784891167E-2</v>
      </c>
      <c r="AG88" s="597">
        <v>15738</v>
      </c>
      <c r="AH88" s="598">
        <v>718</v>
      </c>
      <c r="AI88" s="601">
        <f t="shared" si="45"/>
        <v>4.5622061253018174E-2</v>
      </c>
      <c r="AJ88" s="597">
        <v>15455</v>
      </c>
      <c r="AK88" s="598">
        <v>705</v>
      </c>
      <c r="AL88" s="601">
        <f t="shared" si="46"/>
        <v>4.5616305402782269E-2</v>
      </c>
      <c r="AM88" s="597">
        <v>15165</v>
      </c>
      <c r="AN88" s="598">
        <v>815</v>
      </c>
      <c r="AO88" s="601">
        <f t="shared" si="47"/>
        <v>5.3742169469172436E-2</v>
      </c>
      <c r="AP88" s="597">
        <v>15115</v>
      </c>
      <c r="AQ88" s="598">
        <v>915</v>
      </c>
      <c r="AR88" s="601">
        <f t="shared" si="48"/>
        <v>6.0535891498511414E-2</v>
      </c>
      <c r="AS88" s="602">
        <v>14956</v>
      </c>
      <c r="AT88" s="598">
        <v>1712</v>
      </c>
      <c r="AU88" s="603">
        <f t="shared" si="49"/>
        <v>0.11446910938753678</v>
      </c>
      <c r="AV88" s="597">
        <v>15226</v>
      </c>
      <c r="AW88" s="598">
        <v>1596</v>
      </c>
      <c r="AX88" s="601">
        <f t="shared" si="50"/>
        <v>0.10482070143176146</v>
      </c>
      <c r="AY88" s="604">
        <v>15076</v>
      </c>
      <c r="AZ88" s="605">
        <v>1467</v>
      </c>
      <c r="BA88" s="606">
        <f t="shared" si="38"/>
        <v>9.7306977978243572E-2</v>
      </c>
      <c r="BC88" s="607">
        <v>14799.181818181818</v>
      </c>
      <c r="BD88" s="608">
        <v>1288.909090909091</v>
      </c>
      <c r="BE88" s="606">
        <f t="shared" si="39"/>
        <v>8.7093266826790181E-2</v>
      </c>
    </row>
    <row r="89" spans="1:57" ht="15" customHeight="1">
      <c r="A89" s="587" t="s">
        <v>217</v>
      </c>
      <c r="B89" s="609" t="s">
        <v>218</v>
      </c>
      <c r="C89" s="196" t="s">
        <v>271</v>
      </c>
      <c r="D89" s="589">
        <f t="shared" si="28"/>
        <v>3.2804232804232801E-2</v>
      </c>
      <c r="E89" s="590">
        <f t="shared" si="51"/>
        <v>3.2240585207260905E-2</v>
      </c>
      <c r="F89" s="591">
        <f t="shared" si="40"/>
        <v>4.1750301083902049E-2</v>
      </c>
      <c r="G89" s="591">
        <f t="shared" si="41"/>
        <v>4.3705153294194388E-2</v>
      </c>
      <c r="H89" s="591">
        <f t="shared" si="29"/>
        <v>4.1904256729876674E-2</v>
      </c>
      <c r="I89" s="591">
        <f t="shared" si="30"/>
        <v>4.1074249605055291E-2</v>
      </c>
      <c r="J89" s="591">
        <f t="shared" si="31"/>
        <v>3.5826359832635983E-2</v>
      </c>
      <c r="K89" s="591">
        <f t="shared" si="32"/>
        <v>3.5339805825242716E-2</v>
      </c>
      <c r="L89" s="591">
        <f t="shared" si="33"/>
        <v>4.7865778435726619E-2</v>
      </c>
      <c r="M89" s="591">
        <f t="shared" si="34"/>
        <v>8.1326049168115228E-2</v>
      </c>
      <c r="N89" s="591">
        <f t="shared" si="35"/>
        <v>9.6464585105090511E-2</v>
      </c>
      <c r="O89" s="592">
        <f t="shared" si="36"/>
        <v>8.5509534798979714E-2</v>
      </c>
      <c r="P89" s="593">
        <f t="shared" si="37"/>
        <v>7.1604009470493224E-2</v>
      </c>
      <c r="Q89" s="225"/>
      <c r="R89" s="594">
        <v>9450</v>
      </c>
      <c r="S89" s="595">
        <v>310</v>
      </c>
      <c r="T89" s="596">
        <f t="shared" si="26"/>
        <v>3.2804232804232801E-2</v>
      </c>
      <c r="U89" s="597">
        <v>7382</v>
      </c>
      <c r="V89" s="598">
        <v>238</v>
      </c>
      <c r="W89" s="599">
        <f t="shared" si="27"/>
        <v>3.2240585207260905E-2</v>
      </c>
      <c r="X89" s="597">
        <v>7473</v>
      </c>
      <c r="Y89" s="598">
        <v>312</v>
      </c>
      <c r="Z89" s="600">
        <f t="shared" si="42"/>
        <v>4.1750301083902049E-2</v>
      </c>
      <c r="AA89" s="597">
        <v>7665</v>
      </c>
      <c r="AB89" s="598">
        <v>335</v>
      </c>
      <c r="AC89" s="600">
        <f t="shared" si="43"/>
        <v>4.3705153294194388E-2</v>
      </c>
      <c r="AD89" s="597">
        <v>7541</v>
      </c>
      <c r="AE89" s="598">
        <v>316</v>
      </c>
      <c r="AF89" s="601">
        <f t="shared" si="44"/>
        <v>4.1904256729876674E-2</v>
      </c>
      <c r="AG89" s="597">
        <v>7596</v>
      </c>
      <c r="AH89" s="598">
        <v>312</v>
      </c>
      <c r="AI89" s="601">
        <f t="shared" si="45"/>
        <v>4.1074249605055291E-2</v>
      </c>
      <c r="AJ89" s="597">
        <v>7648</v>
      </c>
      <c r="AK89" s="598">
        <v>274</v>
      </c>
      <c r="AL89" s="601">
        <f t="shared" si="46"/>
        <v>3.5826359832635983E-2</v>
      </c>
      <c r="AM89" s="597">
        <v>7725</v>
      </c>
      <c r="AN89" s="598">
        <v>273</v>
      </c>
      <c r="AO89" s="601">
        <f t="shared" si="47"/>
        <v>3.5339805825242716E-2</v>
      </c>
      <c r="AP89" s="597">
        <v>8106</v>
      </c>
      <c r="AQ89" s="598">
        <v>388</v>
      </c>
      <c r="AR89" s="601">
        <f t="shared" si="48"/>
        <v>4.7865778435726619E-2</v>
      </c>
      <c r="AS89" s="602">
        <v>8054</v>
      </c>
      <c r="AT89" s="598">
        <v>655</v>
      </c>
      <c r="AU89" s="603">
        <f t="shared" si="49"/>
        <v>8.1326049168115228E-2</v>
      </c>
      <c r="AV89" s="597">
        <v>8231</v>
      </c>
      <c r="AW89" s="598">
        <v>794</v>
      </c>
      <c r="AX89" s="601">
        <f t="shared" si="50"/>
        <v>9.6464585105090511E-2</v>
      </c>
      <c r="AY89" s="604">
        <v>8233</v>
      </c>
      <c r="AZ89" s="605">
        <v>704</v>
      </c>
      <c r="BA89" s="606">
        <f t="shared" si="38"/>
        <v>8.5509534798979714E-2</v>
      </c>
      <c r="BC89" s="607">
        <v>8216.9090909090901</v>
      </c>
      <c r="BD89" s="608">
        <v>588.36363636363637</v>
      </c>
      <c r="BE89" s="606">
        <f t="shared" si="39"/>
        <v>7.1604009470493224E-2</v>
      </c>
    </row>
    <row r="90" spans="1:57" ht="15" customHeight="1">
      <c r="A90" s="587" t="s">
        <v>219</v>
      </c>
      <c r="B90" s="609" t="s">
        <v>220</v>
      </c>
      <c r="C90" s="196" t="s">
        <v>274</v>
      </c>
      <c r="D90" s="589">
        <f t="shared" si="28"/>
        <v>3.3979178716020825E-2</v>
      </c>
      <c r="E90" s="590">
        <f t="shared" si="51"/>
        <v>2.0994322662040689E-2</v>
      </c>
      <c r="F90" s="591">
        <f t="shared" si="40"/>
        <v>2.8757511290262383E-2</v>
      </c>
      <c r="G90" s="591">
        <f t="shared" si="41"/>
        <v>3.0428129114915121E-2</v>
      </c>
      <c r="H90" s="591">
        <f t="shared" si="29"/>
        <v>2.8156144774023249E-2</v>
      </c>
      <c r="I90" s="591">
        <f t="shared" si="30"/>
        <v>2.6592850971231079E-2</v>
      </c>
      <c r="J90" s="591">
        <f t="shared" si="31"/>
        <v>2.3842938881263397E-2</v>
      </c>
      <c r="K90" s="591">
        <f t="shared" si="32"/>
        <v>2.4967370441458733E-2</v>
      </c>
      <c r="L90" s="591">
        <f t="shared" si="33"/>
        <v>3.4010213640346898E-2</v>
      </c>
      <c r="M90" s="591">
        <f t="shared" si="34"/>
        <v>5.4141546137625847E-2</v>
      </c>
      <c r="N90" s="591">
        <f t="shared" si="35"/>
        <v>5.8452670449428083E-2</v>
      </c>
      <c r="O90" s="592">
        <f t="shared" si="36"/>
        <v>5.3697927294988776E-2</v>
      </c>
      <c r="P90" s="593">
        <f t="shared" si="37"/>
        <v>4.781712940253114E-2</v>
      </c>
      <c r="Q90" s="225"/>
      <c r="R90" s="594">
        <v>13832</v>
      </c>
      <c r="S90" s="595">
        <v>470</v>
      </c>
      <c r="T90" s="596">
        <f t="shared" si="26"/>
        <v>3.3979178716020825E-2</v>
      </c>
      <c r="U90" s="597">
        <v>50728</v>
      </c>
      <c r="V90" s="598">
        <v>1065</v>
      </c>
      <c r="W90" s="599">
        <f t="shared" si="27"/>
        <v>2.0994322662040689E-2</v>
      </c>
      <c r="X90" s="597">
        <v>53586</v>
      </c>
      <c r="Y90" s="598">
        <v>1541</v>
      </c>
      <c r="Z90" s="600">
        <f t="shared" si="42"/>
        <v>2.8757511290262383E-2</v>
      </c>
      <c r="AA90" s="597">
        <v>56198</v>
      </c>
      <c r="AB90" s="598">
        <v>1710</v>
      </c>
      <c r="AC90" s="600">
        <f t="shared" si="43"/>
        <v>3.0428129114915121E-2</v>
      </c>
      <c r="AD90" s="597">
        <v>59099</v>
      </c>
      <c r="AE90" s="598">
        <v>1664</v>
      </c>
      <c r="AF90" s="601">
        <f t="shared" si="44"/>
        <v>2.8156144774023249E-2</v>
      </c>
      <c r="AG90" s="597">
        <v>62498</v>
      </c>
      <c r="AH90" s="598">
        <v>1662</v>
      </c>
      <c r="AI90" s="601">
        <f t="shared" si="45"/>
        <v>2.6592850971231079E-2</v>
      </c>
      <c r="AJ90" s="597">
        <v>64841</v>
      </c>
      <c r="AK90" s="598">
        <v>1546</v>
      </c>
      <c r="AL90" s="601">
        <f t="shared" si="46"/>
        <v>2.3842938881263397E-2</v>
      </c>
      <c r="AM90" s="597">
        <v>65125</v>
      </c>
      <c r="AN90" s="598">
        <v>1626</v>
      </c>
      <c r="AO90" s="601">
        <f t="shared" si="47"/>
        <v>2.4967370441458733E-2</v>
      </c>
      <c r="AP90" s="597">
        <v>66186</v>
      </c>
      <c r="AQ90" s="598">
        <v>2251</v>
      </c>
      <c r="AR90" s="601">
        <f t="shared" si="48"/>
        <v>3.4010213640346898E-2</v>
      </c>
      <c r="AS90" s="602">
        <v>67342</v>
      </c>
      <c r="AT90" s="598">
        <v>3646</v>
      </c>
      <c r="AU90" s="603">
        <f t="shared" si="49"/>
        <v>5.4141546137625847E-2</v>
      </c>
      <c r="AV90" s="597">
        <v>66618</v>
      </c>
      <c r="AW90" s="598">
        <v>3894</v>
      </c>
      <c r="AX90" s="601">
        <f t="shared" si="50"/>
        <v>5.8452670449428083E-2</v>
      </c>
      <c r="AY90" s="604">
        <v>68606</v>
      </c>
      <c r="AZ90" s="605">
        <v>3684</v>
      </c>
      <c r="BA90" s="606">
        <f t="shared" si="38"/>
        <v>5.3697927294988776E-2</v>
      </c>
      <c r="BC90" s="607">
        <v>69497.727272727279</v>
      </c>
      <c r="BD90" s="608">
        <v>3323.181818181818</v>
      </c>
      <c r="BE90" s="606">
        <f t="shared" si="39"/>
        <v>4.781712940253114E-2</v>
      </c>
    </row>
    <row r="91" spans="1:57" ht="15" customHeight="1">
      <c r="A91" s="587" t="s">
        <v>221</v>
      </c>
      <c r="B91" s="609" t="s">
        <v>222</v>
      </c>
      <c r="C91" s="196" t="s">
        <v>274</v>
      </c>
      <c r="D91" s="589">
        <f t="shared" si="28"/>
        <v>3.2901986713264698E-2</v>
      </c>
      <c r="E91" s="590">
        <f t="shared" si="51"/>
        <v>2.2063042919049411E-2</v>
      </c>
      <c r="F91" s="591">
        <f t="shared" si="40"/>
        <v>3.0037781019713463E-2</v>
      </c>
      <c r="G91" s="591">
        <f t="shared" si="41"/>
        <v>3.0942911665566869E-2</v>
      </c>
      <c r="H91" s="591">
        <f t="shared" si="29"/>
        <v>2.7699759498141577E-2</v>
      </c>
      <c r="I91" s="591">
        <f t="shared" si="30"/>
        <v>2.6828366010969391E-2</v>
      </c>
      <c r="J91" s="591">
        <f t="shared" si="31"/>
        <v>2.4190657293826082E-2</v>
      </c>
      <c r="K91" s="591">
        <f t="shared" si="32"/>
        <v>2.577010114071953E-2</v>
      </c>
      <c r="L91" s="591">
        <f t="shared" si="33"/>
        <v>3.4289173034728004E-2</v>
      </c>
      <c r="M91" s="591">
        <f t="shared" si="34"/>
        <v>5.310736146067583E-2</v>
      </c>
      <c r="N91" s="591">
        <f t="shared" si="35"/>
        <v>5.8146271893987786E-2</v>
      </c>
      <c r="O91" s="592">
        <f t="shared" si="36"/>
        <v>5.162351816174713E-2</v>
      </c>
      <c r="P91" s="593">
        <f t="shared" si="37"/>
        <v>4.6398389783803749E-2</v>
      </c>
      <c r="Q91" s="225"/>
      <c r="R91" s="594">
        <v>31761</v>
      </c>
      <c r="S91" s="595">
        <v>1045</v>
      </c>
      <c r="T91" s="596">
        <f t="shared" si="26"/>
        <v>3.2901986713264698E-2</v>
      </c>
      <c r="U91" s="597">
        <v>50537</v>
      </c>
      <c r="V91" s="598">
        <v>1115</v>
      </c>
      <c r="W91" s="599">
        <f t="shared" si="27"/>
        <v>2.2063042919049411E-2</v>
      </c>
      <c r="X91" s="597">
        <v>53466</v>
      </c>
      <c r="Y91" s="598">
        <v>1606</v>
      </c>
      <c r="Z91" s="600">
        <f t="shared" si="42"/>
        <v>3.0037781019713463E-2</v>
      </c>
      <c r="AA91" s="597">
        <v>56071</v>
      </c>
      <c r="AB91" s="598">
        <v>1735</v>
      </c>
      <c r="AC91" s="600">
        <f t="shared" si="43"/>
        <v>3.0942911665566869E-2</v>
      </c>
      <c r="AD91" s="597">
        <v>59459</v>
      </c>
      <c r="AE91" s="598">
        <v>1647</v>
      </c>
      <c r="AF91" s="601">
        <f t="shared" si="44"/>
        <v>2.7699759498141577E-2</v>
      </c>
      <c r="AG91" s="597">
        <v>62173</v>
      </c>
      <c r="AH91" s="598">
        <v>1668</v>
      </c>
      <c r="AI91" s="601">
        <f t="shared" si="45"/>
        <v>2.6828366010969391E-2</v>
      </c>
      <c r="AJ91" s="597">
        <v>64157</v>
      </c>
      <c r="AK91" s="598">
        <v>1552</v>
      </c>
      <c r="AL91" s="601">
        <f t="shared" si="46"/>
        <v>2.4190657293826082E-2</v>
      </c>
      <c r="AM91" s="597">
        <v>64959</v>
      </c>
      <c r="AN91" s="598">
        <v>1674</v>
      </c>
      <c r="AO91" s="601">
        <f t="shared" si="47"/>
        <v>2.577010114071953E-2</v>
      </c>
      <c r="AP91" s="597">
        <v>66085</v>
      </c>
      <c r="AQ91" s="598">
        <v>2266</v>
      </c>
      <c r="AR91" s="601">
        <f t="shared" si="48"/>
        <v>3.4289173034728004E-2</v>
      </c>
      <c r="AS91" s="602">
        <v>67147</v>
      </c>
      <c r="AT91" s="598">
        <v>3566</v>
      </c>
      <c r="AU91" s="603">
        <f t="shared" si="49"/>
        <v>5.310736146067583E-2</v>
      </c>
      <c r="AV91" s="597">
        <v>67313</v>
      </c>
      <c r="AW91" s="598">
        <v>3914</v>
      </c>
      <c r="AX91" s="601">
        <f t="shared" si="50"/>
        <v>5.8146271893987786E-2</v>
      </c>
      <c r="AY91" s="604">
        <v>71111</v>
      </c>
      <c r="AZ91" s="605">
        <v>3671</v>
      </c>
      <c r="BA91" s="606">
        <f t="shared" si="38"/>
        <v>5.162351816174713E-2</v>
      </c>
      <c r="BC91" s="607">
        <v>72085.181818181823</v>
      </c>
      <c r="BD91" s="608">
        <v>3344.6363636363635</v>
      </c>
      <c r="BE91" s="606">
        <f t="shared" si="39"/>
        <v>4.6398389783803749E-2</v>
      </c>
    </row>
    <row r="92" spans="1:57" ht="15" customHeight="1">
      <c r="A92" s="587" t="s">
        <v>225</v>
      </c>
      <c r="B92" s="609" t="s">
        <v>226</v>
      </c>
      <c r="C92" s="196" t="s">
        <v>271</v>
      </c>
      <c r="D92" s="589">
        <f t="shared" si="28"/>
        <v>3.3869721031550837E-2</v>
      </c>
      <c r="E92" s="590">
        <f t="shared" si="51"/>
        <v>3.3101045296167246E-2</v>
      </c>
      <c r="F92" s="591">
        <f t="shared" si="40"/>
        <v>4.5022371364653244E-2</v>
      </c>
      <c r="G92" s="591">
        <f t="shared" si="41"/>
        <v>4.5618915159944366E-2</v>
      </c>
      <c r="H92" s="591">
        <f t="shared" si="29"/>
        <v>4.1179744017807454E-2</v>
      </c>
      <c r="I92" s="591">
        <f t="shared" si="30"/>
        <v>4.7372719847536077E-2</v>
      </c>
      <c r="J92" s="591">
        <f t="shared" si="31"/>
        <v>3.3190578158458245E-2</v>
      </c>
      <c r="K92" s="591">
        <f t="shared" si="32"/>
        <v>3.3546325878594248E-2</v>
      </c>
      <c r="L92" s="591">
        <f t="shared" si="33"/>
        <v>4.4333683105981112E-2</v>
      </c>
      <c r="M92" s="591">
        <f t="shared" si="34"/>
        <v>7.3640385115794946E-2</v>
      </c>
      <c r="N92" s="591">
        <f t="shared" si="35"/>
        <v>8.0169896469339003E-2</v>
      </c>
      <c r="O92" s="592">
        <f t="shared" si="36"/>
        <v>7.789855072463768E-2</v>
      </c>
      <c r="P92" s="593">
        <f t="shared" si="37"/>
        <v>7.1292664020107588E-2</v>
      </c>
      <c r="Q92" s="225"/>
      <c r="R92" s="594">
        <v>42693</v>
      </c>
      <c r="S92" s="595">
        <v>1446</v>
      </c>
      <c r="T92" s="596">
        <f t="shared" si="26"/>
        <v>3.3869721031550837E-2</v>
      </c>
      <c r="U92" s="597">
        <v>3444</v>
      </c>
      <c r="V92" s="598">
        <v>114</v>
      </c>
      <c r="W92" s="599">
        <f t="shared" si="27"/>
        <v>3.3101045296167246E-2</v>
      </c>
      <c r="X92" s="597">
        <v>3576</v>
      </c>
      <c r="Y92" s="598">
        <v>161</v>
      </c>
      <c r="Z92" s="600">
        <f t="shared" si="42"/>
        <v>4.5022371364653244E-2</v>
      </c>
      <c r="AA92" s="597">
        <v>3595</v>
      </c>
      <c r="AB92" s="598">
        <v>164</v>
      </c>
      <c r="AC92" s="600">
        <f t="shared" si="43"/>
        <v>4.5618915159944366E-2</v>
      </c>
      <c r="AD92" s="597">
        <v>3594</v>
      </c>
      <c r="AE92" s="598">
        <v>148</v>
      </c>
      <c r="AF92" s="601">
        <f t="shared" si="44"/>
        <v>4.1179744017807454E-2</v>
      </c>
      <c r="AG92" s="597">
        <v>3673</v>
      </c>
      <c r="AH92" s="598">
        <v>174</v>
      </c>
      <c r="AI92" s="601">
        <f t="shared" si="45"/>
        <v>4.7372719847536077E-2</v>
      </c>
      <c r="AJ92" s="597">
        <v>3736</v>
      </c>
      <c r="AK92" s="598">
        <v>124</v>
      </c>
      <c r="AL92" s="601">
        <f t="shared" si="46"/>
        <v>3.3190578158458245E-2</v>
      </c>
      <c r="AM92" s="597">
        <v>3756</v>
      </c>
      <c r="AN92" s="598">
        <v>126</v>
      </c>
      <c r="AO92" s="601">
        <f t="shared" si="47"/>
        <v>3.3546325878594248E-2</v>
      </c>
      <c r="AP92" s="597">
        <v>3812</v>
      </c>
      <c r="AQ92" s="598">
        <v>169</v>
      </c>
      <c r="AR92" s="601">
        <f t="shared" si="48"/>
        <v>4.4333683105981112E-2</v>
      </c>
      <c r="AS92" s="602">
        <v>3843</v>
      </c>
      <c r="AT92" s="598">
        <v>283</v>
      </c>
      <c r="AU92" s="603">
        <f t="shared" si="49"/>
        <v>7.3640385115794946E-2</v>
      </c>
      <c r="AV92" s="597">
        <v>3767</v>
      </c>
      <c r="AW92" s="598">
        <v>302</v>
      </c>
      <c r="AX92" s="601">
        <f t="shared" si="50"/>
        <v>8.0169896469339003E-2</v>
      </c>
      <c r="AY92" s="604">
        <v>3864</v>
      </c>
      <c r="AZ92" s="605">
        <v>301</v>
      </c>
      <c r="BA92" s="606">
        <f t="shared" si="38"/>
        <v>7.789855072463768E-2</v>
      </c>
      <c r="BC92" s="607">
        <v>3870.090909090909</v>
      </c>
      <c r="BD92" s="608">
        <v>275.90909090909093</v>
      </c>
      <c r="BE92" s="606">
        <f t="shared" si="39"/>
        <v>7.1292664020107588E-2</v>
      </c>
    </row>
    <row r="93" spans="1:57" ht="15" customHeight="1">
      <c r="A93" s="587" t="s">
        <v>227</v>
      </c>
      <c r="B93" s="609" t="s">
        <v>228</v>
      </c>
      <c r="C93" s="196" t="s">
        <v>271</v>
      </c>
      <c r="D93" s="589">
        <f t="shared" si="28"/>
        <v>1.8063131538943039E-2</v>
      </c>
      <c r="E93" s="590">
        <f t="shared" si="51"/>
        <v>4.7159218504379069E-2</v>
      </c>
      <c r="F93" s="591">
        <f t="shared" si="40"/>
        <v>5.7648660916931459E-2</v>
      </c>
      <c r="G93" s="591">
        <f t="shared" si="41"/>
        <v>6.9079673361288896E-2</v>
      </c>
      <c r="H93" s="591">
        <f t="shared" si="29"/>
        <v>5.8521331248603974E-2</v>
      </c>
      <c r="I93" s="591">
        <f t="shared" si="30"/>
        <v>5.7553956834532377E-2</v>
      </c>
      <c r="J93" s="591">
        <f t="shared" si="31"/>
        <v>4.4124168514412414E-2</v>
      </c>
      <c r="K93" s="591">
        <f t="shared" si="32"/>
        <v>4.4058744993324434E-2</v>
      </c>
      <c r="L93" s="591">
        <f t="shared" si="33"/>
        <v>5.8000000000000003E-2</v>
      </c>
      <c r="M93" s="591">
        <f t="shared" si="34"/>
        <v>9.9759352439291182E-2</v>
      </c>
      <c r="N93" s="591">
        <f t="shared" si="35"/>
        <v>0.1050177619893428</v>
      </c>
      <c r="O93" s="592">
        <f t="shared" si="36"/>
        <v>9.0586932447397558E-2</v>
      </c>
      <c r="P93" s="593">
        <f t="shared" si="37"/>
        <v>8.1101713642847101E-2</v>
      </c>
      <c r="Q93" s="225"/>
      <c r="R93" s="594">
        <v>11183</v>
      </c>
      <c r="S93" s="595">
        <v>202</v>
      </c>
      <c r="T93" s="596">
        <f t="shared" si="26"/>
        <v>1.8063131538943039E-2</v>
      </c>
      <c r="U93" s="597">
        <v>4453</v>
      </c>
      <c r="V93" s="598">
        <v>210</v>
      </c>
      <c r="W93" s="599">
        <f t="shared" si="27"/>
        <v>4.7159218504379069E-2</v>
      </c>
      <c r="X93" s="597">
        <v>4406</v>
      </c>
      <c r="Y93" s="598">
        <v>254</v>
      </c>
      <c r="Z93" s="600">
        <f t="shared" si="42"/>
        <v>5.7648660916931459E-2</v>
      </c>
      <c r="AA93" s="597">
        <v>4531</v>
      </c>
      <c r="AB93" s="598">
        <v>313</v>
      </c>
      <c r="AC93" s="600">
        <f t="shared" si="43"/>
        <v>6.9079673361288896E-2</v>
      </c>
      <c r="AD93" s="597">
        <v>4477</v>
      </c>
      <c r="AE93" s="598">
        <v>262</v>
      </c>
      <c r="AF93" s="601">
        <f t="shared" si="44"/>
        <v>5.8521331248603974E-2</v>
      </c>
      <c r="AG93" s="597">
        <v>4448</v>
      </c>
      <c r="AH93" s="598">
        <v>256</v>
      </c>
      <c r="AI93" s="601">
        <f t="shared" si="45"/>
        <v>5.7553956834532377E-2</v>
      </c>
      <c r="AJ93" s="597">
        <v>4510</v>
      </c>
      <c r="AK93" s="598">
        <v>199</v>
      </c>
      <c r="AL93" s="601">
        <f t="shared" si="46"/>
        <v>4.4124168514412414E-2</v>
      </c>
      <c r="AM93" s="597">
        <v>4494</v>
      </c>
      <c r="AN93" s="598">
        <v>198</v>
      </c>
      <c r="AO93" s="601">
        <f t="shared" si="47"/>
        <v>4.4058744993324434E-2</v>
      </c>
      <c r="AP93" s="597">
        <v>4500</v>
      </c>
      <c r="AQ93" s="598">
        <v>261</v>
      </c>
      <c r="AR93" s="601">
        <f t="shared" si="48"/>
        <v>5.8000000000000003E-2</v>
      </c>
      <c r="AS93" s="602">
        <v>4571</v>
      </c>
      <c r="AT93" s="598">
        <v>456</v>
      </c>
      <c r="AU93" s="603">
        <f t="shared" si="49"/>
        <v>9.9759352439291182E-2</v>
      </c>
      <c r="AV93" s="597">
        <v>4504</v>
      </c>
      <c r="AW93" s="598">
        <v>473</v>
      </c>
      <c r="AX93" s="601">
        <f t="shared" si="50"/>
        <v>0.1050177619893428</v>
      </c>
      <c r="AY93" s="604">
        <v>4515</v>
      </c>
      <c r="AZ93" s="605">
        <v>409</v>
      </c>
      <c r="BA93" s="606">
        <f t="shared" si="38"/>
        <v>9.0586932447397558E-2</v>
      </c>
      <c r="BC93" s="607">
        <v>4525.181818181818</v>
      </c>
      <c r="BD93" s="608">
        <v>367</v>
      </c>
      <c r="BE93" s="606">
        <f t="shared" si="39"/>
        <v>8.1101713642847101E-2</v>
      </c>
    </row>
    <row r="94" spans="1:57" ht="15" customHeight="1">
      <c r="A94" s="587" t="s">
        <v>229</v>
      </c>
      <c r="B94" s="609" t="s">
        <v>230</v>
      </c>
      <c r="C94" s="196" t="s">
        <v>275</v>
      </c>
      <c r="D94" s="589">
        <f t="shared" si="28"/>
        <v>3.3399307273626916E-2</v>
      </c>
      <c r="E94" s="590">
        <f t="shared" si="51"/>
        <v>4.9108992954828012E-2</v>
      </c>
      <c r="F94" s="591">
        <f t="shared" si="40"/>
        <v>5.7536145771439888E-2</v>
      </c>
      <c r="G94" s="591">
        <f t="shared" si="41"/>
        <v>5.3863703997619285E-2</v>
      </c>
      <c r="H94" s="591">
        <f t="shared" si="29"/>
        <v>4.6371482559624123E-2</v>
      </c>
      <c r="I94" s="591">
        <f t="shared" si="30"/>
        <v>4.47245375076235E-2</v>
      </c>
      <c r="J94" s="591">
        <f t="shared" si="31"/>
        <v>3.8830130592382939E-2</v>
      </c>
      <c r="K94" s="591">
        <f t="shared" si="32"/>
        <v>4.4431395576433746E-2</v>
      </c>
      <c r="L94" s="591">
        <f t="shared" si="33"/>
        <v>4.3740354938271608E-2</v>
      </c>
      <c r="M94" s="591">
        <f t="shared" si="34"/>
        <v>7.5846247483496415E-2</v>
      </c>
      <c r="N94" s="591">
        <f t="shared" si="35"/>
        <v>6.7981124141475488E-2</v>
      </c>
      <c r="O94" s="592">
        <f t="shared" si="36"/>
        <v>6.5248822349703833E-2</v>
      </c>
      <c r="P94" s="593">
        <f t="shared" si="37"/>
        <v>6.7221586318340965E-2</v>
      </c>
      <c r="Q94" s="225"/>
      <c r="R94" s="594">
        <v>8084</v>
      </c>
      <c r="S94" s="595">
        <v>270</v>
      </c>
      <c r="T94" s="596">
        <f t="shared" si="26"/>
        <v>3.3399307273626916E-2</v>
      </c>
      <c r="U94" s="597">
        <v>19304</v>
      </c>
      <c r="V94" s="598">
        <v>948</v>
      </c>
      <c r="W94" s="599">
        <f t="shared" si="27"/>
        <v>4.9108992954828012E-2</v>
      </c>
      <c r="X94" s="597">
        <v>20196</v>
      </c>
      <c r="Y94" s="598">
        <v>1162</v>
      </c>
      <c r="Z94" s="600">
        <f t="shared" si="42"/>
        <v>5.7536145771439888E-2</v>
      </c>
      <c r="AA94" s="597">
        <v>20162</v>
      </c>
      <c r="AB94" s="598">
        <v>1086</v>
      </c>
      <c r="AC94" s="600">
        <f t="shared" si="43"/>
        <v>5.3863703997619285E-2</v>
      </c>
      <c r="AD94" s="597">
        <v>19581</v>
      </c>
      <c r="AE94" s="598">
        <v>908</v>
      </c>
      <c r="AF94" s="601">
        <f t="shared" si="44"/>
        <v>4.6371482559624123E-2</v>
      </c>
      <c r="AG94" s="597">
        <v>19676</v>
      </c>
      <c r="AH94" s="598">
        <v>880</v>
      </c>
      <c r="AI94" s="601">
        <f t="shared" si="45"/>
        <v>4.47245375076235E-2</v>
      </c>
      <c r="AJ94" s="597">
        <v>20139</v>
      </c>
      <c r="AK94" s="598">
        <v>782</v>
      </c>
      <c r="AL94" s="601">
        <f t="shared" si="46"/>
        <v>3.8830130592382939E-2</v>
      </c>
      <c r="AM94" s="597">
        <v>20436</v>
      </c>
      <c r="AN94" s="598">
        <v>908</v>
      </c>
      <c r="AO94" s="601">
        <f t="shared" si="47"/>
        <v>4.4431395576433746E-2</v>
      </c>
      <c r="AP94" s="597">
        <v>20736</v>
      </c>
      <c r="AQ94" s="598">
        <v>907</v>
      </c>
      <c r="AR94" s="601">
        <f t="shared" si="48"/>
        <v>4.3740354938271608E-2</v>
      </c>
      <c r="AS94" s="602">
        <v>21359</v>
      </c>
      <c r="AT94" s="598">
        <v>1620</v>
      </c>
      <c r="AU94" s="603">
        <f t="shared" si="49"/>
        <v>7.5846247483496415E-2</v>
      </c>
      <c r="AV94" s="597">
        <v>21403</v>
      </c>
      <c r="AW94" s="598">
        <v>1455</v>
      </c>
      <c r="AX94" s="601">
        <f t="shared" si="50"/>
        <v>6.7981124141475488E-2</v>
      </c>
      <c r="AY94" s="604">
        <v>21441</v>
      </c>
      <c r="AZ94" s="605">
        <v>1399</v>
      </c>
      <c r="BA94" s="606">
        <f t="shared" si="38"/>
        <v>6.5248822349703833E-2</v>
      </c>
      <c r="BC94" s="607">
        <v>21602.909090909092</v>
      </c>
      <c r="BD94" s="608">
        <v>1452.1818181818182</v>
      </c>
      <c r="BE94" s="606">
        <f t="shared" si="39"/>
        <v>6.7221586318340965E-2</v>
      </c>
    </row>
    <row r="95" spans="1:57" ht="15" customHeight="1">
      <c r="A95" s="587" t="s">
        <v>233</v>
      </c>
      <c r="B95" s="609" t="s">
        <v>234</v>
      </c>
      <c r="C95" s="196" t="s">
        <v>274</v>
      </c>
      <c r="D95" s="589">
        <f t="shared" si="28"/>
        <v>2.5486914181375532E-2</v>
      </c>
      <c r="E95" s="590">
        <f t="shared" si="51"/>
        <v>2.7968684635152095E-2</v>
      </c>
      <c r="F95" s="591">
        <f t="shared" si="40"/>
        <v>3.9671443551205873E-2</v>
      </c>
      <c r="G95" s="591">
        <f t="shared" si="41"/>
        <v>3.9977188480182495E-2</v>
      </c>
      <c r="H95" s="591">
        <f t="shared" si="29"/>
        <v>3.3168509361631203E-2</v>
      </c>
      <c r="I95" s="591">
        <f t="shared" si="30"/>
        <v>2.9965935703640621E-2</v>
      </c>
      <c r="J95" s="591">
        <f t="shared" si="31"/>
        <v>2.7510102580043518E-2</v>
      </c>
      <c r="K95" s="591">
        <f t="shared" si="32"/>
        <v>2.9988760600796974E-2</v>
      </c>
      <c r="L95" s="591">
        <f t="shared" si="33"/>
        <v>4.3874956374333147E-2</v>
      </c>
      <c r="M95" s="591">
        <f t="shared" si="34"/>
        <v>7.2842861302533243E-2</v>
      </c>
      <c r="N95" s="591">
        <f t="shared" si="35"/>
        <v>7.1116191233475803E-2</v>
      </c>
      <c r="O95" s="592">
        <f t="shared" si="36"/>
        <v>6.3719862227324911E-2</v>
      </c>
      <c r="P95" s="593">
        <f t="shared" si="37"/>
        <v>5.6491418154301247E-2</v>
      </c>
      <c r="Q95" s="225"/>
      <c r="R95" s="594">
        <v>13144</v>
      </c>
      <c r="S95" s="595">
        <v>335</v>
      </c>
      <c r="T95" s="596">
        <f t="shared" si="26"/>
        <v>2.5486914181375532E-2</v>
      </c>
      <c r="U95" s="597">
        <v>16733</v>
      </c>
      <c r="V95" s="598">
        <v>468</v>
      </c>
      <c r="W95" s="599">
        <f t="shared" si="27"/>
        <v>2.7968684635152095E-2</v>
      </c>
      <c r="X95" s="597">
        <v>17166</v>
      </c>
      <c r="Y95" s="598">
        <v>681</v>
      </c>
      <c r="Z95" s="600">
        <f t="shared" si="42"/>
        <v>3.9671443551205873E-2</v>
      </c>
      <c r="AA95" s="597">
        <v>17535</v>
      </c>
      <c r="AB95" s="598">
        <v>701</v>
      </c>
      <c r="AC95" s="600">
        <f t="shared" si="43"/>
        <v>3.9977188480182495E-2</v>
      </c>
      <c r="AD95" s="597">
        <v>17999</v>
      </c>
      <c r="AE95" s="598">
        <v>597</v>
      </c>
      <c r="AF95" s="601">
        <f t="shared" si="44"/>
        <v>3.3168509361631203E-2</v>
      </c>
      <c r="AG95" s="597">
        <v>18788</v>
      </c>
      <c r="AH95" s="598">
        <v>563</v>
      </c>
      <c r="AI95" s="601">
        <f t="shared" si="45"/>
        <v>2.9965935703640621E-2</v>
      </c>
      <c r="AJ95" s="597">
        <v>19302</v>
      </c>
      <c r="AK95" s="598">
        <v>531</v>
      </c>
      <c r="AL95" s="601">
        <f t="shared" si="46"/>
        <v>2.7510102580043518E-2</v>
      </c>
      <c r="AM95" s="597">
        <v>19574</v>
      </c>
      <c r="AN95" s="598">
        <v>587</v>
      </c>
      <c r="AO95" s="601">
        <f t="shared" si="47"/>
        <v>2.9988760600796974E-2</v>
      </c>
      <c r="AP95" s="597">
        <v>20057</v>
      </c>
      <c r="AQ95" s="598">
        <v>880</v>
      </c>
      <c r="AR95" s="601">
        <f t="shared" si="48"/>
        <v>4.3874956374333147E-2</v>
      </c>
      <c r="AS95" s="602">
        <v>20606</v>
      </c>
      <c r="AT95" s="598">
        <v>1501</v>
      </c>
      <c r="AU95" s="603">
        <f t="shared" si="49"/>
        <v>7.2842861302533243E-2</v>
      </c>
      <c r="AV95" s="597">
        <v>20122</v>
      </c>
      <c r="AW95" s="598">
        <v>1431</v>
      </c>
      <c r="AX95" s="601">
        <f t="shared" si="50"/>
        <v>7.1116191233475803E-2</v>
      </c>
      <c r="AY95" s="604">
        <v>20904</v>
      </c>
      <c r="AZ95" s="605">
        <v>1332</v>
      </c>
      <c r="BA95" s="606">
        <f t="shared" si="38"/>
        <v>6.3719862227324911E-2</v>
      </c>
      <c r="BC95" s="607">
        <v>21144</v>
      </c>
      <c r="BD95" s="608">
        <v>1194.4545454545455</v>
      </c>
      <c r="BE95" s="606">
        <f t="shared" si="39"/>
        <v>5.6491418154301247E-2</v>
      </c>
    </row>
    <row r="96" spans="1:57" ht="15" customHeight="1">
      <c r="A96" s="587" t="s">
        <v>235</v>
      </c>
      <c r="B96" s="609" t="s">
        <v>236</v>
      </c>
      <c r="C96" s="196" t="s">
        <v>275</v>
      </c>
      <c r="D96" s="589">
        <f t="shared" si="28"/>
        <v>1.7590621827826714E-2</v>
      </c>
      <c r="E96" s="590">
        <f t="shared" si="51"/>
        <v>5.0377536573855596E-2</v>
      </c>
      <c r="F96" s="591">
        <f t="shared" si="40"/>
        <v>6.0489752053427499E-2</v>
      </c>
      <c r="G96" s="591">
        <f t="shared" si="41"/>
        <v>5.3925666945352287E-2</v>
      </c>
      <c r="H96" s="591">
        <f t="shared" si="29"/>
        <v>4.7437673130193904E-2</v>
      </c>
      <c r="I96" s="591">
        <f t="shared" si="30"/>
        <v>4.4305247880223053E-2</v>
      </c>
      <c r="J96" s="591">
        <f t="shared" si="31"/>
        <v>4.0519187358916478E-2</v>
      </c>
      <c r="K96" s="591">
        <f t="shared" si="32"/>
        <v>4.4762258543833582E-2</v>
      </c>
      <c r="L96" s="591">
        <f t="shared" si="33"/>
        <v>4.8994289455497761E-2</v>
      </c>
      <c r="M96" s="591">
        <f t="shared" si="34"/>
        <v>8.4581273626054082E-2</v>
      </c>
      <c r="N96" s="591">
        <f t="shared" si="35"/>
        <v>8.7901632145209685E-2</v>
      </c>
      <c r="O96" s="592">
        <f t="shared" si="36"/>
        <v>7.8699653567554331E-2</v>
      </c>
      <c r="P96" s="593">
        <f t="shared" si="37"/>
        <v>6.9944145483312223E-2</v>
      </c>
      <c r="Q96" s="225"/>
      <c r="R96" s="594">
        <v>152695</v>
      </c>
      <c r="S96" s="595">
        <v>2686</v>
      </c>
      <c r="T96" s="596">
        <f t="shared" si="26"/>
        <v>1.7590621827826714E-2</v>
      </c>
      <c r="U96" s="597">
        <v>25428</v>
      </c>
      <c r="V96" s="598">
        <v>1281</v>
      </c>
      <c r="W96" s="599">
        <f t="shared" si="27"/>
        <v>5.0377536573855596E-2</v>
      </c>
      <c r="X96" s="597">
        <v>26054</v>
      </c>
      <c r="Y96" s="598">
        <v>1576</v>
      </c>
      <c r="Z96" s="600">
        <f t="shared" si="42"/>
        <v>6.0489752053427499E-2</v>
      </c>
      <c r="AA96" s="597">
        <v>26314</v>
      </c>
      <c r="AB96" s="598">
        <v>1419</v>
      </c>
      <c r="AC96" s="600">
        <f t="shared" si="43"/>
        <v>5.3925666945352287E-2</v>
      </c>
      <c r="AD96" s="597">
        <v>25992</v>
      </c>
      <c r="AE96" s="598">
        <v>1233</v>
      </c>
      <c r="AF96" s="601">
        <f t="shared" si="44"/>
        <v>4.7437673130193904E-2</v>
      </c>
      <c r="AG96" s="597">
        <v>26182</v>
      </c>
      <c r="AH96" s="598">
        <v>1160</v>
      </c>
      <c r="AI96" s="601">
        <f t="shared" si="45"/>
        <v>4.4305247880223053E-2</v>
      </c>
      <c r="AJ96" s="597">
        <v>26580</v>
      </c>
      <c r="AK96" s="598">
        <v>1077</v>
      </c>
      <c r="AL96" s="601">
        <f t="shared" si="46"/>
        <v>4.0519187358916478E-2</v>
      </c>
      <c r="AM96" s="597">
        <v>26920</v>
      </c>
      <c r="AN96" s="598">
        <v>1205</v>
      </c>
      <c r="AO96" s="601">
        <f t="shared" si="47"/>
        <v>4.4762258543833582E-2</v>
      </c>
      <c r="AP96" s="597">
        <v>27493</v>
      </c>
      <c r="AQ96" s="598">
        <v>1347</v>
      </c>
      <c r="AR96" s="601">
        <f t="shared" si="48"/>
        <v>4.8994289455497761E-2</v>
      </c>
      <c r="AS96" s="602">
        <v>27512</v>
      </c>
      <c r="AT96" s="598">
        <v>2327</v>
      </c>
      <c r="AU96" s="603">
        <f t="shared" si="49"/>
        <v>8.4581273626054082E-2</v>
      </c>
      <c r="AV96" s="597">
        <v>27326</v>
      </c>
      <c r="AW96" s="598">
        <v>2402</v>
      </c>
      <c r="AX96" s="601">
        <f t="shared" si="50"/>
        <v>8.7901632145209685E-2</v>
      </c>
      <c r="AY96" s="604">
        <v>28577</v>
      </c>
      <c r="AZ96" s="605">
        <v>2249</v>
      </c>
      <c r="BA96" s="606">
        <f t="shared" si="38"/>
        <v>7.8699653567554331E-2</v>
      </c>
      <c r="BC96" s="607">
        <v>28499.363636363636</v>
      </c>
      <c r="BD96" s="608">
        <v>1993.3636363636363</v>
      </c>
      <c r="BE96" s="606">
        <f t="shared" si="39"/>
        <v>6.9944145483312223E-2</v>
      </c>
    </row>
    <row r="97" spans="1:57" ht="15" customHeight="1">
      <c r="A97" s="587" t="s">
        <v>237</v>
      </c>
      <c r="B97" s="609" t="s">
        <v>238</v>
      </c>
      <c r="C97" s="196" t="s">
        <v>273</v>
      </c>
      <c r="D97" s="589">
        <f t="shared" si="28"/>
        <v>4.4944470152707083E-2</v>
      </c>
      <c r="E97" s="590">
        <f t="shared" si="51"/>
        <v>4.0816326530612242E-2</v>
      </c>
      <c r="F97" s="591">
        <f t="shared" si="40"/>
        <v>4.7263995956021737E-2</v>
      </c>
      <c r="G97" s="591">
        <f t="shared" si="41"/>
        <v>4.8003918687239772E-2</v>
      </c>
      <c r="H97" s="591">
        <f t="shared" si="29"/>
        <v>4.5836996106994848E-2</v>
      </c>
      <c r="I97" s="591">
        <f t="shared" si="30"/>
        <v>4.4921875E-2</v>
      </c>
      <c r="J97" s="591">
        <f t="shared" si="31"/>
        <v>3.8327526132404179E-2</v>
      </c>
      <c r="K97" s="591">
        <f t="shared" si="32"/>
        <v>4.134305173855897E-2</v>
      </c>
      <c r="L97" s="591">
        <f t="shared" si="33"/>
        <v>5.0174766039012289E-2</v>
      </c>
      <c r="M97" s="591">
        <f t="shared" si="34"/>
        <v>7.723666813574262E-2</v>
      </c>
      <c r="N97" s="591">
        <f t="shared" si="35"/>
        <v>7.9083837510803806E-2</v>
      </c>
      <c r="O97" s="592">
        <f t="shared" si="36"/>
        <v>7.5075075075075076E-2</v>
      </c>
      <c r="P97" s="593">
        <f t="shared" si="37"/>
        <v>7.1261120756456658E-2</v>
      </c>
      <c r="Q97" s="225"/>
      <c r="R97" s="594">
        <v>17288</v>
      </c>
      <c r="S97" s="595">
        <v>777</v>
      </c>
      <c r="T97" s="596">
        <f t="shared" si="26"/>
        <v>4.4944470152707083E-2</v>
      </c>
      <c r="U97" s="597">
        <v>7644</v>
      </c>
      <c r="V97" s="598">
        <v>312</v>
      </c>
      <c r="W97" s="599">
        <f t="shared" si="27"/>
        <v>4.0816326530612242E-2</v>
      </c>
      <c r="X97" s="597">
        <v>7913</v>
      </c>
      <c r="Y97" s="598">
        <v>374</v>
      </c>
      <c r="Z97" s="600">
        <f t="shared" si="42"/>
        <v>4.7263995956021737E-2</v>
      </c>
      <c r="AA97" s="597">
        <v>8166</v>
      </c>
      <c r="AB97" s="598">
        <v>392</v>
      </c>
      <c r="AC97" s="600">
        <f t="shared" si="43"/>
        <v>4.8003918687239772E-2</v>
      </c>
      <c r="AD97" s="597">
        <v>7963</v>
      </c>
      <c r="AE97" s="598">
        <v>365</v>
      </c>
      <c r="AF97" s="601">
        <f t="shared" si="44"/>
        <v>4.5836996106994848E-2</v>
      </c>
      <c r="AG97" s="597">
        <v>8192</v>
      </c>
      <c r="AH97" s="598">
        <v>368</v>
      </c>
      <c r="AI97" s="601">
        <f t="shared" si="45"/>
        <v>4.4921875E-2</v>
      </c>
      <c r="AJ97" s="597">
        <v>8323</v>
      </c>
      <c r="AK97" s="598">
        <v>319</v>
      </c>
      <c r="AL97" s="601">
        <f t="shared" si="46"/>
        <v>3.8327526132404179E-2</v>
      </c>
      <c r="AM97" s="597">
        <v>8369</v>
      </c>
      <c r="AN97" s="598">
        <v>346</v>
      </c>
      <c r="AO97" s="601">
        <f t="shared" si="47"/>
        <v>4.134305173855897E-2</v>
      </c>
      <c r="AP97" s="597">
        <v>8869</v>
      </c>
      <c r="AQ97" s="598">
        <v>445</v>
      </c>
      <c r="AR97" s="601">
        <f t="shared" si="48"/>
        <v>5.0174766039012289E-2</v>
      </c>
      <c r="AS97" s="602">
        <v>9076</v>
      </c>
      <c r="AT97" s="598">
        <v>701</v>
      </c>
      <c r="AU97" s="603">
        <f t="shared" si="49"/>
        <v>7.723666813574262E-2</v>
      </c>
      <c r="AV97" s="597">
        <v>9256</v>
      </c>
      <c r="AW97" s="598">
        <v>732</v>
      </c>
      <c r="AX97" s="601">
        <f t="shared" si="50"/>
        <v>7.9083837510803806E-2</v>
      </c>
      <c r="AY97" s="604">
        <v>9324</v>
      </c>
      <c r="AZ97" s="605">
        <v>700</v>
      </c>
      <c r="BA97" s="606">
        <f t="shared" si="38"/>
        <v>7.5075075075075076E-2</v>
      </c>
      <c r="BC97" s="607">
        <v>9268.0909090909099</v>
      </c>
      <c r="BD97" s="608">
        <v>660.4545454545455</v>
      </c>
      <c r="BE97" s="606">
        <f t="shared" si="39"/>
        <v>7.1261120756456658E-2</v>
      </c>
    </row>
    <row r="98" spans="1:57" ht="15" customHeight="1">
      <c r="A98" s="587" t="s">
        <v>243</v>
      </c>
      <c r="B98" s="609" t="s">
        <v>244</v>
      </c>
      <c r="C98" s="196" t="s">
        <v>275</v>
      </c>
      <c r="D98" s="589">
        <f t="shared" si="28"/>
        <v>3.206250841977637E-2</v>
      </c>
      <c r="E98" s="590">
        <f t="shared" si="51"/>
        <v>4.6936274509803921E-2</v>
      </c>
      <c r="F98" s="591">
        <f t="shared" si="40"/>
        <v>5.8830450641251912E-2</v>
      </c>
      <c r="G98" s="591">
        <f t="shared" si="41"/>
        <v>5.7373298249628189E-2</v>
      </c>
      <c r="H98" s="591">
        <f t="shared" si="29"/>
        <v>5.1327019759148836E-2</v>
      </c>
      <c r="I98" s="591">
        <f t="shared" si="30"/>
        <v>4.6833697276175153E-2</v>
      </c>
      <c r="J98" s="591">
        <f t="shared" si="31"/>
        <v>4.399770246984492E-2</v>
      </c>
      <c r="K98" s="591">
        <f t="shared" si="32"/>
        <v>3.8802913063268094E-2</v>
      </c>
      <c r="L98" s="591">
        <f t="shared" si="33"/>
        <v>4.5871559633027525E-2</v>
      </c>
      <c r="M98" s="591">
        <f t="shared" si="34"/>
        <v>7.0034990987169976E-2</v>
      </c>
      <c r="N98" s="591">
        <f t="shared" si="35"/>
        <v>7.1435609419647259E-2</v>
      </c>
      <c r="O98" s="592">
        <f t="shared" si="36"/>
        <v>6.6506331599096885E-2</v>
      </c>
      <c r="P98" s="593">
        <f t="shared" si="37"/>
        <v>7.2801460808404161E-2</v>
      </c>
      <c r="Q98" s="225"/>
      <c r="R98" s="594">
        <v>7423</v>
      </c>
      <c r="S98" s="595">
        <v>238</v>
      </c>
      <c r="T98" s="596">
        <f t="shared" si="26"/>
        <v>3.206250841977637E-2</v>
      </c>
      <c r="U98" s="597">
        <v>16320</v>
      </c>
      <c r="V98" s="598">
        <v>766</v>
      </c>
      <c r="W98" s="599">
        <f t="shared" si="27"/>
        <v>4.6936274509803921E-2</v>
      </c>
      <c r="X98" s="597">
        <v>16998</v>
      </c>
      <c r="Y98" s="598">
        <v>1000</v>
      </c>
      <c r="Z98" s="600">
        <f t="shared" si="42"/>
        <v>5.8830450641251912E-2</v>
      </c>
      <c r="AA98" s="597">
        <v>17482</v>
      </c>
      <c r="AB98" s="598">
        <v>1003</v>
      </c>
      <c r="AC98" s="600">
        <f t="shared" si="43"/>
        <v>5.7373298249628189E-2</v>
      </c>
      <c r="AD98" s="597">
        <v>17106</v>
      </c>
      <c r="AE98" s="598">
        <v>878</v>
      </c>
      <c r="AF98" s="601">
        <f t="shared" si="44"/>
        <v>5.1327019759148836E-2</v>
      </c>
      <c r="AG98" s="597">
        <v>17402</v>
      </c>
      <c r="AH98" s="598">
        <v>815</v>
      </c>
      <c r="AI98" s="601">
        <f t="shared" si="45"/>
        <v>4.6833697276175153E-2</v>
      </c>
      <c r="AJ98" s="597">
        <v>17410</v>
      </c>
      <c r="AK98" s="598">
        <v>766</v>
      </c>
      <c r="AL98" s="601">
        <f t="shared" si="46"/>
        <v>4.399770246984492E-2</v>
      </c>
      <c r="AM98" s="597">
        <v>17576</v>
      </c>
      <c r="AN98" s="598">
        <v>682</v>
      </c>
      <c r="AO98" s="601">
        <f t="shared" si="47"/>
        <v>3.8802913063268094E-2</v>
      </c>
      <c r="AP98" s="597">
        <v>18094</v>
      </c>
      <c r="AQ98" s="598">
        <v>830</v>
      </c>
      <c r="AR98" s="601">
        <f t="shared" si="48"/>
        <v>4.5871559633027525E-2</v>
      </c>
      <c r="AS98" s="602">
        <v>18862</v>
      </c>
      <c r="AT98" s="598">
        <v>1321</v>
      </c>
      <c r="AU98" s="603">
        <f t="shared" si="49"/>
        <v>7.0034990987169976E-2</v>
      </c>
      <c r="AV98" s="597">
        <v>20298</v>
      </c>
      <c r="AW98" s="598">
        <v>1450</v>
      </c>
      <c r="AX98" s="601">
        <f t="shared" si="50"/>
        <v>7.1435609419647259E-2</v>
      </c>
      <c r="AY98" s="604">
        <v>20374</v>
      </c>
      <c r="AZ98" s="605">
        <v>1355</v>
      </c>
      <c r="BA98" s="606">
        <f t="shared" si="38"/>
        <v>6.6506331599096885E-2</v>
      </c>
      <c r="BC98" s="607">
        <v>20163.18181818182</v>
      </c>
      <c r="BD98" s="608">
        <v>1467.909090909091</v>
      </c>
      <c r="BE98" s="606">
        <f t="shared" si="39"/>
        <v>7.2801460808404161E-2</v>
      </c>
    </row>
    <row r="99" spans="1:57" ht="15" customHeight="1">
      <c r="A99" s="587" t="s">
        <v>245</v>
      </c>
      <c r="B99" s="609" t="s">
        <v>246</v>
      </c>
      <c r="C99" s="196" t="s">
        <v>275</v>
      </c>
      <c r="D99" s="589">
        <f t="shared" si="28"/>
        <v>1.8493701420530688E-2</v>
      </c>
      <c r="E99" s="590">
        <f t="shared" si="51"/>
        <v>6.7896471908536163E-2</v>
      </c>
      <c r="F99" s="591">
        <f t="shared" si="40"/>
        <v>6.2426220401361018E-2</v>
      </c>
      <c r="G99" s="591">
        <f t="shared" si="41"/>
        <v>5.2613941018766756E-2</v>
      </c>
      <c r="H99" s="591">
        <f t="shared" si="29"/>
        <v>4.7149942251511652E-2</v>
      </c>
      <c r="I99" s="591">
        <f t="shared" si="30"/>
        <v>4.2689787543848036E-2</v>
      </c>
      <c r="J99" s="591">
        <f t="shared" si="31"/>
        <v>4.0132450331125828E-2</v>
      </c>
      <c r="K99" s="591">
        <f t="shared" si="32"/>
        <v>4.403080872913992E-2</v>
      </c>
      <c r="L99" s="591">
        <f t="shared" si="33"/>
        <v>5.3263223012681722E-2</v>
      </c>
      <c r="M99" s="591">
        <f t="shared" si="34"/>
        <v>0.10647977376121973</v>
      </c>
      <c r="N99" s="591">
        <f t="shared" si="35"/>
        <v>9.5559371933267911E-2</v>
      </c>
      <c r="O99" s="592">
        <f t="shared" si="36"/>
        <v>7.8049378178030995E-2</v>
      </c>
      <c r="P99" s="593">
        <f t="shared" si="37"/>
        <v>6.5179709691127463E-2</v>
      </c>
      <c r="Q99" s="225"/>
      <c r="R99" s="594">
        <v>3731</v>
      </c>
      <c r="S99" s="595">
        <v>69</v>
      </c>
      <c r="T99" s="596">
        <f t="shared" si="26"/>
        <v>1.8493701420530688E-2</v>
      </c>
      <c r="U99" s="597">
        <v>14257</v>
      </c>
      <c r="V99" s="598">
        <v>968</v>
      </c>
      <c r="W99" s="599">
        <f t="shared" si="27"/>
        <v>6.7896471908536163E-2</v>
      </c>
      <c r="X99" s="597">
        <v>14401</v>
      </c>
      <c r="Y99" s="598">
        <v>899</v>
      </c>
      <c r="Z99" s="600">
        <f t="shared" si="42"/>
        <v>6.2426220401361018E-2</v>
      </c>
      <c r="AA99" s="597">
        <v>14920</v>
      </c>
      <c r="AB99" s="598">
        <v>785</v>
      </c>
      <c r="AC99" s="600">
        <f t="shared" si="43"/>
        <v>5.2613941018766756E-2</v>
      </c>
      <c r="AD99" s="597">
        <v>14719</v>
      </c>
      <c r="AE99" s="598">
        <v>694</v>
      </c>
      <c r="AF99" s="601">
        <f t="shared" si="44"/>
        <v>4.7149942251511652E-2</v>
      </c>
      <c r="AG99" s="597">
        <v>15109</v>
      </c>
      <c r="AH99" s="598">
        <v>645</v>
      </c>
      <c r="AI99" s="601">
        <f t="shared" si="45"/>
        <v>4.2689787543848036E-2</v>
      </c>
      <c r="AJ99" s="597">
        <v>15100</v>
      </c>
      <c r="AK99" s="598">
        <v>606</v>
      </c>
      <c r="AL99" s="601">
        <f t="shared" si="46"/>
        <v>4.0132450331125828E-2</v>
      </c>
      <c r="AM99" s="597">
        <v>15580</v>
      </c>
      <c r="AN99" s="598">
        <v>686</v>
      </c>
      <c r="AO99" s="601">
        <f t="shared" si="47"/>
        <v>4.403080872913992E-2</v>
      </c>
      <c r="AP99" s="597">
        <v>16165</v>
      </c>
      <c r="AQ99" s="598">
        <v>861</v>
      </c>
      <c r="AR99" s="601">
        <f t="shared" si="48"/>
        <v>5.3263223012681722E-2</v>
      </c>
      <c r="AS99" s="602">
        <v>16266</v>
      </c>
      <c r="AT99" s="598">
        <v>1732</v>
      </c>
      <c r="AU99" s="603">
        <f t="shared" si="49"/>
        <v>0.10647977376121973</v>
      </c>
      <c r="AV99" s="597">
        <v>16304</v>
      </c>
      <c r="AW99" s="598">
        <v>1558</v>
      </c>
      <c r="AX99" s="601">
        <f t="shared" si="50"/>
        <v>9.5559371933267911E-2</v>
      </c>
      <c r="AY99" s="604">
        <v>16323</v>
      </c>
      <c r="AZ99" s="605">
        <v>1274</v>
      </c>
      <c r="BA99" s="606">
        <f t="shared" si="38"/>
        <v>7.8049378178030995E-2</v>
      </c>
      <c r="BC99" s="607">
        <v>16258.545454545454</v>
      </c>
      <c r="BD99" s="608">
        <v>1059.7272727272727</v>
      </c>
      <c r="BE99" s="606">
        <f t="shared" si="39"/>
        <v>6.5179709691127463E-2</v>
      </c>
    </row>
    <row r="100" spans="1:57" ht="15" customHeight="1">
      <c r="A100" s="587" t="s">
        <v>247</v>
      </c>
      <c r="B100" s="609" t="s">
        <v>248</v>
      </c>
      <c r="C100" s="196" t="s">
        <v>271</v>
      </c>
      <c r="D100" s="589">
        <f t="shared" si="28"/>
        <v>2.6336598171831014E-2</v>
      </c>
      <c r="E100" s="590">
        <f t="shared" si="51"/>
        <v>2.455807331830585E-2</v>
      </c>
      <c r="F100" s="591">
        <f t="shared" si="40"/>
        <v>3.0109489051094892E-2</v>
      </c>
      <c r="G100" s="591">
        <f t="shared" si="41"/>
        <v>3.1530520646319567E-2</v>
      </c>
      <c r="H100" s="591">
        <f t="shared" si="29"/>
        <v>2.9931821961088633E-2</v>
      </c>
      <c r="I100" s="591">
        <f t="shared" si="30"/>
        <v>2.9639418538795544E-2</v>
      </c>
      <c r="J100" s="591">
        <f t="shared" si="31"/>
        <v>2.5693430656934305E-2</v>
      </c>
      <c r="K100" s="591">
        <f t="shared" si="32"/>
        <v>2.4125548610187526E-2</v>
      </c>
      <c r="L100" s="591">
        <f t="shared" si="33"/>
        <v>3.2385549838204873E-2</v>
      </c>
      <c r="M100" s="591">
        <f t="shared" si="34"/>
        <v>5.256723716381418E-2</v>
      </c>
      <c r="N100" s="591">
        <f t="shared" si="35"/>
        <v>5.7614500728273184E-2</v>
      </c>
      <c r="O100" s="592">
        <f t="shared" si="36"/>
        <v>5.3799100891738519E-2</v>
      </c>
      <c r="P100" s="593">
        <f t="shared" si="37"/>
        <v>5.0000555709919424E-2</v>
      </c>
      <c r="Q100" s="225"/>
      <c r="R100" s="610">
        <v>94849</v>
      </c>
      <c r="S100" s="611">
        <v>2498</v>
      </c>
      <c r="T100" s="612">
        <f t="shared" si="26"/>
        <v>2.6336598171831014E-2</v>
      </c>
      <c r="U100" s="613">
        <v>33716</v>
      </c>
      <c r="V100" s="614">
        <v>828</v>
      </c>
      <c r="W100" s="599">
        <f t="shared" si="27"/>
        <v>2.455807331830585E-2</v>
      </c>
      <c r="X100" s="613">
        <v>35072</v>
      </c>
      <c r="Y100" s="614">
        <v>1056</v>
      </c>
      <c r="Z100" s="600">
        <f t="shared" si="42"/>
        <v>3.0109489051094892E-2</v>
      </c>
      <c r="AA100" s="613">
        <v>35648</v>
      </c>
      <c r="AB100" s="614">
        <v>1124</v>
      </c>
      <c r="AC100" s="600">
        <f t="shared" si="43"/>
        <v>3.1530520646319567E-2</v>
      </c>
      <c r="AD100" s="613">
        <v>36082</v>
      </c>
      <c r="AE100" s="614">
        <v>1080</v>
      </c>
      <c r="AF100" s="601">
        <f t="shared" si="44"/>
        <v>2.9931821961088633E-2</v>
      </c>
      <c r="AG100" s="613">
        <v>37079</v>
      </c>
      <c r="AH100" s="614">
        <v>1099</v>
      </c>
      <c r="AI100" s="601">
        <f t="shared" si="45"/>
        <v>2.9639418538795544E-2</v>
      </c>
      <c r="AJ100" s="613">
        <v>37675</v>
      </c>
      <c r="AK100" s="614">
        <v>968</v>
      </c>
      <c r="AL100" s="601">
        <f t="shared" si="46"/>
        <v>2.5693430656934305E-2</v>
      </c>
      <c r="AM100" s="613">
        <v>37595</v>
      </c>
      <c r="AN100" s="614">
        <v>907</v>
      </c>
      <c r="AO100" s="601">
        <f t="shared" si="47"/>
        <v>2.4125548610187526E-2</v>
      </c>
      <c r="AP100" s="613">
        <v>37702</v>
      </c>
      <c r="AQ100" s="614">
        <v>1221</v>
      </c>
      <c r="AR100" s="601">
        <f t="shared" si="48"/>
        <v>3.2385549838204873E-2</v>
      </c>
      <c r="AS100" s="615">
        <v>37628</v>
      </c>
      <c r="AT100" s="614">
        <v>1978</v>
      </c>
      <c r="AU100" s="603">
        <f t="shared" si="49"/>
        <v>5.256723716381418E-2</v>
      </c>
      <c r="AV100" s="613">
        <v>37074</v>
      </c>
      <c r="AW100" s="614">
        <v>2136</v>
      </c>
      <c r="AX100" s="601">
        <f t="shared" si="50"/>
        <v>5.7614500728273184E-2</v>
      </c>
      <c r="AY100" s="604">
        <v>40707</v>
      </c>
      <c r="AZ100" s="605">
        <v>2190</v>
      </c>
      <c r="BA100" s="606">
        <f t="shared" si="38"/>
        <v>5.3799100891738519E-2</v>
      </c>
      <c r="BC100" s="607">
        <v>40897.727272727272</v>
      </c>
      <c r="BD100" s="608">
        <v>2044.909090909091</v>
      </c>
      <c r="BE100" s="606">
        <f t="shared" si="39"/>
        <v>5.0000555709919424E-2</v>
      </c>
    </row>
    <row r="101" spans="1:57" ht="15" customHeight="1">
      <c r="A101" s="587" t="s">
        <v>14</v>
      </c>
      <c r="B101" s="609" t="s">
        <v>15</v>
      </c>
      <c r="C101" s="196" t="s">
        <v>274</v>
      </c>
      <c r="D101" s="589">
        <f t="shared" si="28"/>
        <v>4.2890716803760283E-2</v>
      </c>
      <c r="E101" s="590">
        <f t="shared" si="51"/>
        <v>2.697317442160806E-2</v>
      </c>
      <c r="F101" s="591">
        <f t="shared" si="40"/>
        <v>3.420419593810213E-2</v>
      </c>
      <c r="G101" s="591">
        <f t="shared" si="41"/>
        <v>2.986396104284569E-2</v>
      </c>
      <c r="H101" s="591">
        <f t="shared" si="29"/>
        <v>2.6632393159383545E-2</v>
      </c>
      <c r="I101" s="591">
        <f t="shared" si="30"/>
        <v>2.55155090834745E-2</v>
      </c>
      <c r="J101" s="591">
        <f t="shared" si="31"/>
        <v>2.1713306681896059E-2</v>
      </c>
      <c r="K101" s="591">
        <f t="shared" si="32"/>
        <v>2.1949974476773864E-2</v>
      </c>
      <c r="L101" s="591">
        <f t="shared" si="33"/>
        <v>2.7467986217704455E-2</v>
      </c>
      <c r="M101" s="591">
        <f t="shared" si="34"/>
        <v>4.7314982902013761E-2</v>
      </c>
      <c r="N101" s="591">
        <f t="shared" si="35"/>
        <v>4.8334557036638713E-2</v>
      </c>
      <c r="O101" s="592">
        <f t="shared" si="36"/>
        <v>4.8427174774031835E-2</v>
      </c>
      <c r="P101" s="593">
        <f t="shared" si="37"/>
        <v>4.5029146618856243E-2</v>
      </c>
      <c r="Q101" s="225"/>
      <c r="R101" s="594">
        <v>3404</v>
      </c>
      <c r="S101" s="595">
        <v>146</v>
      </c>
      <c r="T101" s="596">
        <f t="shared" si="26"/>
        <v>4.2890716803760283E-2</v>
      </c>
      <c r="U101" s="597">
        <v>81303</v>
      </c>
      <c r="V101" s="598">
        <v>2193</v>
      </c>
      <c r="W101" s="599">
        <f t="shared" si="27"/>
        <v>2.697317442160806E-2</v>
      </c>
      <c r="X101" s="597">
        <v>83557</v>
      </c>
      <c r="Y101" s="598">
        <v>2858</v>
      </c>
      <c r="Z101" s="600">
        <f t="shared" si="42"/>
        <v>3.420419593810213E-2</v>
      </c>
      <c r="AA101" s="597">
        <v>83579</v>
      </c>
      <c r="AB101" s="598">
        <v>2496</v>
      </c>
      <c r="AC101" s="600">
        <f t="shared" si="43"/>
        <v>2.986396104284569E-2</v>
      </c>
      <c r="AD101" s="597">
        <v>85197</v>
      </c>
      <c r="AE101" s="598">
        <v>2269</v>
      </c>
      <c r="AF101" s="601">
        <f t="shared" si="44"/>
        <v>2.6632393159383545E-2</v>
      </c>
      <c r="AG101" s="597">
        <v>85595</v>
      </c>
      <c r="AH101" s="598">
        <v>2184</v>
      </c>
      <c r="AI101" s="601">
        <f t="shared" si="45"/>
        <v>2.55155090834745E-2</v>
      </c>
      <c r="AJ101" s="597">
        <v>87550</v>
      </c>
      <c r="AK101" s="598">
        <v>1901</v>
      </c>
      <c r="AL101" s="601">
        <f t="shared" si="46"/>
        <v>2.1713306681896059E-2</v>
      </c>
      <c r="AM101" s="597">
        <v>90114</v>
      </c>
      <c r="AN101" s="598">
        <v>1978</v>
      </c>
      <c r="AO101" s="601">
        <f t="shared" si="47"/>
        <v>2.1949974476773864E-2</v>
      </c>
      <c r="AP101" s="597">
        <v>93163</v>
      </c>
      <c r="AQ101" s="598">
        <v>2559</v>
      </c>
      <c r="AR101" s="601">
        <f t="shared" si="48"/>
        <v>2.7467986217704455E-2</v>
      </c>
      <c r="AS101" s="602">
        <v>94748</v>
      </c>
      <c r="AT101" s="598">
        <v>4483</v>
      </c>
      <c r="AU101" s="603">
        <f t="shared" si="49"/>
        <v>4.7314982902013761E-2</v>
      </c>
      <c r="AV101" s="597">
        <v>96701</v>
      </c>
      <c r="AW101" s="598">
        <v>4674</v>
      </c>
      <c r="AX101" s="601">
        <f t="shared" si="50"/>
        <v>4.8334557036638713E-2</v>
      </c>
      <c r="AY101" s="604">
        <v>92159</v>
      </c>
      <c r="AZ101" s="605">
        <v>4463</v>
      </c>
      <c r="BA101" s="606">
        <f t="shared" si="38"/>
        <v>4.8427174774031835E-2</v>
      </c>
      <c r="BC101" s="607">
        <v>93602</v>
      </c>
      <c r="BD101" s="608">
        <v>4214.818181818182</v>
      </c>
      <c r="BE101" s="606">
        <f t="shared" si="39"/>
        <v>4.5029146618856243E-2</v>
      </c>
    </row>
    <row r="102" spans="1:57" ht="15" customHeight="1">
      <c r="A102" s="587" t="s">
        <v>35</v>
      </c>
      <c r="B102" s="609" t="s">
        <v>36</v>
      </c>
      <c r="C102" s="196" t="s">
        <v>275</v>
      </c>
      <c r="D102" s="589">
        <f t="shared" si="28"/>
        <v>2.4406005643754173E-2</v>
      </c>
      <c r="E102" s="590">
        <f t="shared" si="51"/>
        <v>4.1694242223692918E-2</v>
      </c>
      <c r="F102" s="591">
        <f t="shared" si="40"/>
        <v>4.9546589564988829E-2</v>
      </c>
      <c r="G102" s="591">
        <f t="shared" si="41"/>
        <v>6.1846580173825418E-2</v>
      </c>
      <c r="H102" s="591">
        <f t="shared" si="29"/>
        <v>6.0633137605310188E-2</v>
      </c>
      <c r="I102" s="591">
        <f t="shared" si="30"/>
        <v>5.3777208706786171E-2</v>
      </c>
      <c r="J102" s="591">
        <f t="shared" si="31"/>
        <v>4.739869934967484E-2</v>
      </c>
      <c r="K102" s="591">
        <f t="shared" si="32"/>
        <v>5.0629754333458038E-2</v>
      </c>
      <c r="L102" s="591">
        <f t="shared" si="33"/>
        <v>5.7390228818800244E-2</v>
      </c>
      <c r="M102" s="591">
        <f t="shared" si="34"/>
        <v>0.10014709487619515</v>
      </c>
      <c r="N102" s="591">
        <f t="shared" si="35"/>
        <v>9.5022069641981358E-2</v>
      </c>
      <c r="O102" s="592">
        <f t="shared" si="36"/>
        <v>9.1963645060990196E-2</v>
      </c>
      <c r="P102" s="593">
        <f t="shared" si="37"/>
        <v>7.8979649952903547E-2</v>
      </c>
      <c r="Q102" s="225"/>
      <c r="R102" s="594">
        <v>46423</v>
      </c>
      <c r="S102" s="595">
        <v>1133</v>
      </c>
      <c r="T102" s="596">
        <f t="shared" si="26"/>
        <v>2.4406005643754173E-2</v>
      </c>
      <c r="U102" s="597">
        <v>7555</v>
      </c>
      <c r="V102" s="598">
        <v>315</v>
      </c>
      <c r="W102" s="599">
        <f t="shared" si="27"/>
        <v>4.1694242223692918E-2</v>
      </c>
      <c r="X102" s="597">
        <v>7609</v>
      </c>
      <c r="Y102" s="598">
        <v>377</v>
      </c>
      <c r="Z102" s="600">
        <f t="shared" si="42"/>
        <v>4.9546589564988829E-2</v>
      </c>
      <c r="AA102" s="597">
        <v>7939</v>
      </c>
      <c r="AB102" s="598">
        <v>491</v>
      </c>
      <c r="AC102" s="600">
        <f t="shared" si="43"/>
        <v>6.1846580173825418E-2</v>
      </c>
      <c r="AD102" s="597">
        <v>7834</v>
      </c>
      <c r="AE102" s="598">
        <v>475</v>
      </c>
      <c r="AF102" s="601">
        <f t="shared" si="44"/>
        <v>6.0633137605310188E-2</v>
      </c>
      <c r="AG102" s="597">
        <v>7810</v>
      </c>
      <c r="AH102" s="598">
        <v>420</v>
      </c>
      <c r="AI102" s="601">
        <f t="shared" si="45"/>
        <v>5.3777208706786171E-2</v>
      </c>
      <c r="AJ102" s="597">
        <v>7996</v>
      </c>
      <c r="AK102" s="598">
        <v>379</v>
      </c>
      <c r="AL102" s="601">
        <f t="shared" si="46"/>
        <v>4.739869934967484E-2</v>
      </c>
      <c r="AM102" s="597">
        <v>8019</v>
      </c>
      <c r="AN102" s="598">
        <v>406</v>
      </c>
      <c r="AO102" s="601">
        <f t="shared" si="47"/>
        <v>5.0629754333458038E-2</v>
      </c>
      <c r="AP102" s="597">
        <v>8085</v>
      </c>
      <c r="AQ102" s="598">
        <v>464</v>
      </c>
      <c r="AR102" s="601">
        <f t="shared" si="48"/>
        <v>5.7390228818800244E-2</v>
      </c>
      <c r="AS102" s="602">
        <v>8158</v>
      </c>
      <c r="AT102" s="598">
        <v>817</v>
      </c>
      <c r="AU102" s="603">
        <f t="shared" si="49"/>
        <v>0.10014709487619515</v>
      </c>
      <c r="AV102" s="597">
        <v>8156</v>
      </c>
      <c r="AW102" s="598">
        <v>775</v>
      </c>
      <c r="AX102" s="601">
        <f t="shared" si="50"/>
        <v>9.5022069641981358E-2</v>
      </c>
      <c r="AY102" s="604">
        <v>8362</v>
      </c>
      <c r="AZ102" s="605">
        <v>769</v>
      </c>
      <c r="BA102" s="606">
        <f t="shared" si="38"/>
        <v>9.1963645060990196E-2</v>
      </c>
      <c r="BC102" s="607">
        <v>8300.181818181818</v>
      </c>
      <c r="BD102" s="608">
        <v>655.5454545454545</v>
      </c>
      <c r="BE102" s="606">
        <f t="shared" si="39"/>
        <v>7.8979649952903547E-2</v>
      </c>
    </row>
    <row r="103" spans="1:57" ht="15" customHeight="1">
      <c r="A103" s="587" t="s">
        <v>53</v>
      </c>
      <c r="B103" s="609" t="s">
        <v>54</v>
      </c>
      <c r="C103" s="196" t="s">
        <v>272</v>
      </c>
      <c r="D103" s="589">
        <f t="shared" si="28"/>
        <v>1.7720396363822419E-2</v>
      </c>
      <c r="E103" s="590">
        <f t="shared" si="51"/>
        <v>3.5909568874868562E-2</v>
      </c>
      <c r="F103" s="591">
        <f t="shared" si="40"/>
        <v>3.8652482269503546E-2</v>
      </c>
      <c r="G103" s="591">
        <f t="shared" si="41"/>
        <v>4.1420720537349888E-2</v>
      </c>
      <c r="H103" s="591">
        <f t="shared" si="29"/>
        <v>4.0241145440844006E-2</v>
      </c>
      <c r="I103" s="591">
        <f t="shared" si="30"/>
        <v>3.7468734367183593E-2</v>
      </c>
      <c r="J103" s="591">
        <f t="shared" si="31"/>
        <v>3.1599416626154592E-2</v>
      </c>
      <c r="K103" s="591">
        <f t="shared" si="32"/>
        <v>3.0147230661369481E-2</v>
      </c>
      <c r="L103" s="591">
        <f t="shared" si="33"/>
        <v>3.8730772773325962E-2</v>
      </c>
      <c r="M103" s="591">
        <f t="shared" si="34"/>
        <v>6.3505812628219735E-2</v>
      </c>
      <c r="N103" s="591">
        <f t="shared" si="35"/>
        <v>6.9007702763932935E-2</v>
      </c>
      <c r="O103" s="592">
        <f t="shared" si="36"/>
        <v>6.1589950884513411E-2</v>
      </c>
      <c r="P103" s="593">
        <f t="shared" si="37"/>
        <v>5.590320585867465E-2</v>
      </c>
      <c r="Q103" s="225"/>
      <c r="R103" s="594">
        <v>58633</v>
      </c>
      <c r="S103" s="595">
        <v>1039</v>
      </c>
      <c r="T103" s="596">
        <f t="shared" si="26"/>
        <v>1.7720396363822419E-2</v>
      </c>
      <c r="U103" s="597">
        <v>19020</v>
      </c>
      <c r="V103" s="598">
        <v>683</v>
      </c>
      <c r="W103" s="599">
        <f t="shared" si="27"/>
        <v>3.5909568874868562E-2</v>
      </c>
      <c r="X103" s="597">
        <v>19740</v>
      </c>
      <c r="Y103" s="598">
        <v>763</v>
      </c>
      <c r="Z103" s="600">
        <f t="shared" si="42"/>
        <v>3.8652482269503546E-2</v>
      </c>
      <c r="AA103" s="597">
        <v>19652</v>
      </c>
      <c r="AB103" s="598">
        <v>814</v>
      </c>
      <c r="AC103" s="600">
        <f t="shared" si="43"/>
        <v>4.1420720537349888E-2</v>
      </c>
      <c r="AD103" s="597">
        <v>19905</v>
      </c>
      <c r="AE103" s="598">
        <v>801</v>
      </c>
      <c r="AF103" s="601">
        <f t="shared" si="44"/>
        <v>4.0241145440844006E-2</v>
      </c>
      <c r="AG103" s="597">
        <v>19990</v>
      </c>
      <c r="AH103" s="598">
        <v>749</v>
      </c>
      <c r="AI103" s="601">
        <f t="shared" si="45"/>
        <v>3.7468734367183593E-2</v>
      </c>
      <c r="AJ103" s="597">
        <v>20570</v>
      </c>
      <c r="AK103" s="598">
        <v>650</v>
      </c>
      <c r="AL103" s="601">
        <f t="shared" si="46"/>
        <v>3.1599416626154592E-2</v>
      </c>
      <c r="AM103" s="597">
        <v>21395</v>
      </c>
      <c r="AN103" s="598">
        <v>645</v>
      </c>
      <c r="AO103" s="601">
        <f t="shared" si="47"/>
        <v>3.0147230661369481E-2</v>
      </c>
      <c r="AP103" s="597">
        <v>21714</v>
      </c>
      <c r="AQ103" s="598">
        <v>841</v>
      </c>
      <c r="AR103" s="601">
        <f t="shared" si="48"/>
        <v>3.8730772773325962E-2</v>
      </c>
      <c r="AS103" s="602">
        <v>21935</v>
      </c>
      <c r="AT103" s="598">
        <v>1393</v>
      </c>
      <c r="AU103" s="603">
        <f t="shared" si="49"/>
        <v>6.3505812628219735E-2</v>
      </c>
      <c r="AV103" s="597">
        <v>22070</v>
      </c>
      <c r="AW103" s="598">
        <v>1523</v>
      </c>
      <c r="AX103" s="601">
        <f t="shared" si="50"/>
        <v>6.9007702763932935E-2</v>
      </c>
      <c r="AY103" s="604">
        <v>23007</v>
      </c>
      <c r="AZ103" s="605">
        <v>1417</v>
      </c>
      <c r="BA103" s="606">
        <f t="shared" si="38"/>
        <v>6.1589950884513411E-2</v>
      </c>
      <c r="BC103" s="607">
        <v>23374.81818181818</v>
      </c>
      <c r="BD103" s="608">
        <v>1306.7272727272727</v>
      </c>
      <c r="BE103" s="606">
        <f t="shared" si="39"/>
        <v>5.590320585867465E-2</v>
      </c>
    </row>
    <row r="104" spans="1:57" ht="15" customHeight="1">
      <c r="A104" s="587" t="s">
        <v>55</v>
      </c>
      <c r="B104" s="609" t="s">
        <v>56</v>
      </c>
      <c r="C104" s="196" t="s">
        <v>271</v>
      </c>
      <c r="D104" s="589">
        <f t="shared" si="28"/>
        <v>2.3680438711285598E-2</v>
      </c>
      <c r="E104" s="590">
        <f t="shared" si="51"/>
        <v>2.9324465180920235E-2</v>
      </c>
      <c r="F104" s="591">
        <f t="shared" si="40"/>
        <v>3.6751749968707573E-2</v>
      </c>
      <c r="G104" s="591">
        <f t="shared" si="41"/>
        <v>3.8424699983097638E-2</v>
      </c>
      <c r="H104" s="591">
        <f t="shared" si="29"/>
        <v>3.6383087670531437E-2</v>
      </c>
      <c r="I104" s="591">
        <f t="shared" si="30"/>
        <v>3.5398857872521547E-2</v>
      </c>
      <c r="J104" s="591">
        <f t="shared" si="31"/>
        <v>3.179429266385788E-2</v>
      </c>
      <c r="K104" s="591">
        <f t="shared" si="32"/>
        <v>2.969402732302134E-2</v>
      </c>
      <c r="L104" s="591">
        <f t="shared" si="33"/>
        <v>3.8343347639484979E-2</v>
      </c>
      <c r="M104" s="591">
        <f t="shared" si="34"/>
        <v>6.314924785651943E-2</v>
      </c>
      <c r="N104" s="591">
        <f t="shared" si="35"/>
        <v>6.8866262834557712E-2</v>
      </c>
      <c r="O104" s="592">
        <f t="shared" si="36"/>
        <v>6.4740435786725573E-2</v>
      </c>
      <c r="P104" s="593">
        <f t="shared" si="37"/>
        <v>5.9615458982620051E-2</v>
      </c>
      <c r="Q104" s="225"/>
      <c r="R104" s="594">
        <v>16047</v>
      </c>
      <c r="S104" s="595">
        <v>380</v>
      </c>
      <c r="T104" s="596">
        <f t="shared" si="26"/>
        <v>2.3680438711285598E-2</v>
      </c>
      <c r="U104" s="597">
        <v>100735</v>
      </c>
      <c r="V104" s="598">
        <v>2954</v>
      </c>
      <c r="W104" s="599">
        <f t="shared" si="27"/>
        <v>2.9324465180920235E-2</v>
      </c>
      <c r="X104" s="597">
        <v>103859</v>
      </c>
      <c r="Y104" s="598">
        <v>3817</v>
      </c>
      <c r="Z104" s="600">
        <f t="shared" si="42"/>
        <v>3.6751749968707573E-2</v>
      </c>
      <c r="AA104" s="597">
        <v>106494</v>
      </c>
      <c r="AB104" s="598">
        <v>4092</v>
      </c>
      <c r="AC104" s="600">
        <f t="shared" si="43"/>
        <v>3.8424699983097638E-2</v>
      </c>
      <c r="AD104" s="597">
        <v>109364</v>
      </c>
      <c r="AE104" s="598">
        <v>3979</v>
      </c>
      <c r="AF104" s="601">
        <f t="shared" si="44"/>
        <v>3.6383087670531437E-2</v>
      </c>
      <c r="AG104" s="597">
        <v>112772</v>
      </c>
      <c r="AH104" s="598">
        <v>3992</v>
      </c>
      <c r="AI104" s="601">
        <f t="shared" si="45"/>
        <v>3.5398857872521547E-2</v>
      </c>
      <c r="AJ104" s="597">
        <v>115115</v>
      </c>
      <c r="AK104" s="598">
        <v>3660</v>
      </c>
      <c r="AL104" s="601">
        <f t="shared" si="46"/>
        <v>3.179429266385788E-2</v>
      </c>
      <c r="AM104" s="597">
        <v>115141</v>
      </c>
      <c r="AN104" s="598">
        <v>3419</v>
      </c>
      <c r="AO104" s="601">
        <f t="shared" si="47"/>
        <v>2.969402732302134E-2</v>
      </c>
      <c r="AP104" s="597">
        <v>116500</v>
      </c>
      <c r="AQ104" s="598">
        <v>4467</v>
      </c>
      <c r="AR104" s="601">
        <f t="shared" si="48"/>
        <v>3.8343347639484979E-2</v>
      </c>
      <c r="AS104" s="602">
        <v>116866</v>
      </c>
      <c r="AT104" s="598">
        <v>7380</v>
      </c>
      <c r="AU104" s="603">
        <f t="shared" si="49"/>
        <v>6.314924785651943E-2</v>
      </c>
      <c r="AV104" s="597">
        <v>116385</v>
      </c>
      <c r="AW104" s="598">
        <v>8015</v>
      </c>
      <c r="AX104" s="601">
        <f t="shared" si="50"/>
        <v>6.8866262834557712E-2</v>
      </c>
      <c r="AY104" s="604">
        <v>119508</v>
      </c>
      <c r="AZ104" s="605">
        <v>7737</v>
      </c>
      <c r="BA104" s="606">
        <f t="shared" si="38"/>
        <v>6.4740435786725573E-2</v>
      </c>
      <c r="BC104" s="607">
        <v>119892.63636363637</v>
      </c>
      <c r="BD104" s="608">
        <v>7147.454545454545</v>
      </c>
      <c r="BE104" s="606">
        <f t="shared" si="39"/>
        <v>5.9615458982620051E-2</v>
      </c>
    </row>
    <row r="105" spans="1:57" ht="15" customHeight="1">
      <c r="A105" s="587" t="s">
        <v>67</v>
      </c>
      <c r="B105" s="609" t="s">
        <v>68</v>
      </c>
      <c r="C105" s="196" t="s">
        <v>272</v>
      </c>
      <c r="D105" s="589">
        <f t="shared" si="28"/>
        <v>1.8901273310969233E-2</v>
      </c>
      <c r="E105" s="590">
        <f t="shared" si="51"/>
        <v>6.9532237673830599E-2</v>
      </c>
      <c r="F105" s="591">
        <f t="shared" si="40"/>
        <v>8.5968696929361543E-2</v>
      </c>
      <c r="G105" s="591">
        <f t="shared" si="41"/>
        <v>9.4343049123762832E-2</v>
      </c>
      <c r="H105" s="591">
        <f t="shared" si="29"/>
        <v>9.1992621671475192E-2</v>
      </c>
      <c r="I105" s="591">
        <f t="shared" si="30"/>
        <v>9.9601782497392627E-2</v>
      </c>
      <c r="J105" s="591">
        <f t="shared" si="31"/>
        <v>8.5270935960591127E-2</v>
      </c>
      <c r="K105" s="591">
        <f t="shared" si="32"/>
        <v>7.2962888261395728E-2</v>
      </c>
      <c r="L105" s="591">
        <f t="shared" si="33"/>
        <v>9.1938046068308188E-2</v>
      </c>
      <c r="M105" s="591">
        <f t="shared" si="34"/>
        <v>0.13402713611827069</v>
      </c>
      <c r="N105" s="591">
        <f t="shared" si="35"/>
        <v>0.13360606665336261</v>
      </c>
      <c r="O105" s="592">
        <f t="shared" si="36"/>
        <v>0.11949653743112773</v>
      </c>
      <c r="P105" s="593">
        <f t="shared" si="37"/>
        <v>0.10439338606375365</v>
      </c>
      <c r="Q105" s="225"/>
      <c r="R105" s="594">
        <v>55446</v>
      </c>
      <c r="S105" s="595">
        <v>1048</v>
      </c>
      <c r="T105" s="596">
        <f t="shared" si="26"/>
        <v>1.8901273310969233E-2</v>
      </c>
      <c r="U105" s="597">
        <v>21357</v>
      </c>
      <c r="V105" s="598">
        <v>1485</v>
      </c>
      <c r="W105" s="599">
        <f t="shared" si="27"/>
        <v>6.9532237673830599E-2</v>
      </c>
      <c r="X105" s="597">
        <v>21787</v>
      </c>
      <c r="Y105" s="598">
        <v>1873</v>
      </c>
      <c r="Z105" s="600">
        <f t="shared" si="42"/>
        <v>8.5968696929361543E-2</v>
      </c>
      <c r="AA105" s="597">
        <v>22026</v>
      </c>
      <c r="AB105" s="598">
        <v>2078</v>
      </c>
      <c r="AC105" s="600">
        <f t="shared" si="43"/>
        <v>9.4343049123762832E-2</v>
      </c>
      <c r="AD105" s="597">
        <v>21143</v>
      </c>
      <c r="AE105" s="598">
        <v>1945</v>
      </c>
      <c r="AF105" s="601">
        <f t="shared" si="44"/>
        <v>9.1992621671475192E-2</v>
      </c>
      <c r="AG105" s="597">
        <v>21094</v>
      </c>
      <c r="AH105" s="598">
        <v>2101</v>
      </c>
      <c r="AI105" s="601">
        <f t="shared" si="45"/>
        <v>9.9601782497392627E-2</v>
      </c>
      <c r="AJ105" s="597">
        <v>20300</v>
      </c>
      <c r="AK105" s="598">
        <v>1731</v>
      </c>
      <c r="AL105" s="601">
        <f t="shared" si="46"/>
        <v>8.5270935960591127E-2</v>
      </c>
      <c r="AM105" s="597">
        <v>19832</v>
      </c>
      <c r="AN105" s="598">
        <v>1447</v>
      </c>
      <c r="AO105" s="601">
        <f t="shared" si="47"/>
        <v>7.2962888261395728E-2</v>
      </c>
      <c r="AP105" s="597">
        <v>20144</v>
      </c>
      <c r="AQ105" s="598">
        <v>1852</v>
      </c>
      <c r="AR105" s="601">
        <f t="shared" si="48"/>
        <v>9.1938046068308188E-2</v>
      </c>
      <c r="AS105" s="602">
        <v>20563</v>
      </c>
      <c r="AT105" s="598">
        <v>2756</v>
      </c>
      <c r="AU105" s="603">
        <f t="shared" si="49"/>
        <v>0.13402713611827069</v>
      </c>
      <c r="AV105" s="597">
        <v>20044</v>
      </c>
      <c r="AW105" s="598">
        <v>2678</v>
      </c>
      <c r="AX105" s="601">
        <f t="shared" si="50"/>
        <v>0.13360606665336261</v>
      </c>
      <c r="AY105" s="604">
        <v>19783</v>
      </c>
      <c r="AZ105" s="605">
        <v>2364</v>
      </c>
      <c r="BA105" s="606">
        <f t="shared" si="38"/>
        <v>0.11949653743112773</v>
      </c>
      <c r="BC105" s="607">
        <v>19814.909090909092</v>
      </c>
      <c r="BD105" s="608">
        <v>2068.5454545454545</v>
      </c>
      <c r="BE105" s="606">
        <f t="shared" si="39"/>
        <v>0.10439338606375365</v>
      </c>
    </row>
    <row r="106" spans="1:57" ht="15" customHeight="1">
      <c r="A106" s="587" t="s">
        <v>83</v>
      </c>
      <c r="B106" s="609" t="s">
        <v>333</v>
      </c>
      <c r="C106" s="196" t="s">
        <v>271</v>
      </c>
      <c r="D106" s="589">
        <f t="shared" si="28"/>
        <v>5.1403851047586734E-2</v>
      </c>
      <c r="E106" s="590">
        <f t="shared" si="51"/>
        <v>4.3576683644595361E-2</v>
      </c>
      <c r="F106" s="591">
        <f t="shared" si="40"/>
        <v>4.7873838355392849E-2</v>
      </c>
      <c r="G106" s="591">
        <f t="shared" si="41"/>
        <v>4.8734518039849219E-2</v>
      </c>
      <c r="H106" s="591">
        <f t="shared" si="29"/>
        <v>4.9175898405836263E-2</v>
      </c>
      <c r="I106" s="591">
        <f t="shared" si="30"/>
        <v>5.106382978723404E-2</v>
      </c>
      <c r="J106" s="591">
        <f t="shared" si="31"/>
        <v>4.626241505488761E-2</v>
      </c>
      <c r="K106" s="591">
        <f t="shared" si="32"/>
        <v>4.5316455696202532E-2</v>
      </c>
      <c r="L106" s="591">
        <f t="shared" si="33"/>
        <v>6.231003039513678E-2</v>
      </c>
      <c r="M106" s="591">
        <f t="shared" si="34"/>
        <v>0.10242792109256449</v>
      </c>
      <c r="N106" s="591">
        <f t="shared" si="35"/>
        <v>0.11852589641434264</v>
      </c>
      <c r="O106" s="592">
        <f t="shared" si="36"/>
        <v>0.11346792742141579</v>
      </c>
      <c r="P106" s="593">
        <f t="shared" si="37"/>
        <v>0.10454398073092779</v>
      </c>
      <c r="Q106" s="225"/>
      <c r="R106" s="594">
        <v>11789</v>
      </c>
      <c r="S106" s="595">
        <v>606</v>
      </c>
      <c r="T106" s="596">
        <f t="shared" si="26"/>
        <v>5.1403851047586734E-2</v>
      </c>
      <c r="U106" s="597">
        <v>3534</v>
      </c>
      <c r="V106" s="598">
        <v>154</v>
      </c>
      <c r="W106" s="599">
        <f t="shared" si="27"/>
        <v>4.3576683644595361E-2</v>
      </c>
      <c r="X106" s="597">
        <v>3551</v>
      </c>
      <c r="Y106" s="598">
        <v>170</v>
      </c>
      <c r="Z106" s="600">
        <f t="shared" si="42"/>
        <v>4.7873838355392849E-2</v>
      </c>
      <c r="AA106" s="597">
        <v>3714</v>
      </c>
      <c r="AB106" s="598">
        <v>181</v>
      </c>
      <c r="AC106" s="600">
        <f t="shared" si="43"/>
        <v>4.8734518039849219E-2</v>
      </c>
      <c r="AD106" s="597">
        <v>3701</v>
      </c>
      <c r="AE106" s="598">
        <v>182</v>
      </c>
      <c r="AF106" s="601">
        <f t="shared" si="44"/>
        <v>4.9175898405836263E-2</v>
      </c>
      <c r="AG106" s="597">
        <v>3760</v>
      </c>
      <c r="AH106" s="598">
        <v>192</v>
      </c>
      <c r="AI106" s="601">
        <f t="shared" si="45"/>
        <v>5.106382978723404E-2</v>
      </c>
      <c r="AJ106" s="597">
        <v>3826</v>
      </c>
      <c r="AK106" s="598">
        <v>177</v>
      </c>
      <c r="AL106" s="601">
        <f t="shared" si="46"/>
        <v>4.626241505488761E-2</v>
      </c>
      <c r="AM106" s="597">
        <v>3950</v>
      </c>
      <c r="AN106" s="598">
        <v>179</v>
      </c>
      <c r="AO106" s="601">
        <f t="shared" si="47"/>
        <v>4.5316455696202532E-2</v>
      </c>
      <c r="AP106" s="597">
        <v>3948</v>
      </c>
      <c r="AQ106" s="598">
        <v>246</v>
      </c>
      <c r="AR106" s="601">
        <f t="shared" si="48"/>
        <v>6.231003039513678E-2</v>
      </c>
      <c r="AS106" s="602">
        <v>3954</v>
      </c>
      <c r="AT106" s="598">
        <v>405</v>
      </c>
      <c r="AU106" s="603">
        <f t="shared" si="49"/>
        <v>0.10242792109256449</v>
      </c>
      <c r="AV106" s="597">
        <v>4016</v>
      </c>
      <c r="AW106" s="598">
        <v>476</v>
      </c>
      <c r="AX106" s="601">
        <f t="shared" si="50"/>
        <v>0.11852589641434264</v>
      </c>
      <c r="AY106" s="604">
        <v>3913</v>
      </c>
      <c r="AZ106" s="605">
        <v>444</v>
      </c>
      <c r="BA106" s="606">
        <f t="shared" si="38"/>
        <v>0.11346792742141579</v>
      </c>
      <c r="BC106" s="607">
        <v>3925.2727272727275</v>
      </c>
      <c r="BD106" s="608">
        <v>410.36363636363637</v>
      </c>
      <c r="BE106" s="606">
        <f t="shared" si="39"/>
        <v>0.10454398073092779</v>
      </c>
    </row>
    <row r="107" spans="1:57" ht="15" customHeight="1">
      <c r="A107" s="587" t="s">
        <v>89</v>
      </c>
      <c r="B107" s="609" t="s">
        <v>90</v>
      </c>
      <c r="C107" s="196" t="s">
        <v>274</v>
      </c>
      <c r="D107" s="589">
        <f t="shared" si="28"/>
        <v>3.8105046343975282E-2</v>
      </c>
      <c r="E107" s="590">
        <f t="shared" si="51"/>
        <v>3.5592255125284737E-2</v>
      </c>
      <c r="F107" s="591">
        <f t="shared" si="40"/>
        <v>5.4172086972681659E-2</v>
      </c>
      <c r="G107" s="591">
        <f t="shared" si="41"/>
        <v>5.225409836065574E-2</v>
      </c>
      <c r="H107" s="591">
        <f t="shared" si="29"/>
        <v>4.7491757996970509E-2</v>
      </c>
      <c r="I107" s="591">
        <f t="shared" si="30"/>
        <v>4.38581009530533E-2</v>
      </c>
      <c r="J107" s="591">
        <f t="shared" si="31"/>
        <v>3.8772901576480612E-2</v>
      </c>
      <c r="K107" s="591">
        <f t="shared" si="32"/>
        <v>4.4194038200271721E-2</v>
      </c>
      <c r="L107" s="591">
        <f t="shared" si="33"/>
        <v>6.0126582278481014E-2</v>
      </c>
      <c r="M107" s="591">
        <f t="shared" si="34"/>
        <v>9.1242789722076556E-2</v>
      </c>
      <c r="N107" s="591">
        <f t="shared" si="35"/>
        <v>9.4815927873779113E-2</v>
      </c>
      <c r="O107" s="592">
        <f t="shared" si="36"/>
        <v>9.4790717240412256E-2</v>
      </c>
      <c r="P107" s="593">
        <f t="shared" si="37"/>
        <v>8.4308540920764646E-2</v>
      </c>
      <c r="Q107" s="225"/>
      <c r="R107" s="594">
        <v>9710</v>
      </c>
      <c r="S107" s="595">
        <v>370</v>
      </c>
      <c r="T107" s="596">
        <f t="shared" si="26"/>
        <v>3.8105046343975282E-2</v>
      </c>
      <c r="U107" s="597">
        <v>10536</v>
      </c>
      <c r="V107" s="598">
        <v>375</v>
      </c>
      <c r="W107" s="599">
        <f t="shared" si="27"/>
        <v>3.5592255125284737E-2</v>
      </c>
      <c r="X107" s="597">
        <v>10762</v>
      </c>
      <c r="Y107" s="598">
        <v>583</v>
      </c>
      <c r="Z107" s="600">
        <f t="shared" si="42"/>
        <v>5.4172086972681659E-2</v>
      </c>
      <c r="AA107" s="597">
        <v>10736</v>
      </c>
      <c r="AB107" s="598">
        <v>561</v>
      </c>
      <c r="AC107" s="600">
        <f t="shared" si="43"/>
        <v>5.225409836065574E-2</v>
      </c>
      <c r="AD107" s="597">
        <v>11223</v>
      </c>
      <c r="AE107" s="598">
        <v>533</v>
      </c>
      <c r="AF107" s="601">
        <f t="shared" si="44"/>
        <v>4.7491757996970509E-2</v>
      </c>
      <c r="AG107" s="597">
        <v>11332</v>
      </c>
      <c r="AH107" s="598">
        <v>497</v>
      </c>
      <c r="AI107" s="601">
        <f t="shared" si="45"/>
        <v>4.38581009530533E-2</v>
      </c>
      <c r="AJ107" s="597">
        <v>11735</v>
      </c>
      <c r="AK107" s="598">
        <v>455</v>
      </c>
      <c r="AL107" s="601">
        <f t="shared" si="46"/>
        <v>3.8772901576480612E-2</v>
      </c>
      <c r="AM107" s="597">
        <v>12513</v>
      </c>
      <c r="AN107" s="598">
        <v>553</v>
      </c>
      <c r="AO107" s="601">
        <f t="shared" si="47"/>
        <v>4.4194038200271721E-2</v>
      </c>
      <c r="AP107" s="597">
        <v>12956</v>
      </c>
      <c r="AQ107" s="598">
        <v>779</v>
      </c>
      <c r="AR107" s="601">
        <f t="shared" si="48"/>
        <v>6.0126582278481014E-2</v>
      </c>
      <c r="AS107" s="602">
        <v>13349</v>
      </c>
      <c r="AT107" s="598">
        <v>1218</v>
      </c>
      <c r="AU107" s="603">
        <f t="shared" si="49"/>
        <v>9.1242789722076556E-2</v>
      </c>
      <c r="AV107" s="597">
        <v>13310</v>
      </c>
      <c r="AW107" s="598">
        <v>1262</v>
      </c>
      <c r="AX107" s="601">
        <f t="shared" si="50"/>
        <v>9.4815927873779113E-2</v>
      </c>
      <c r="AY107" s="604">
        <v>14263</v>
      </c>
      <c r="AZ107" s="605">
        <v>1352</v>
      </c>
      <c r="BA107" s="606">
        <f t="shared" si="38"/>
        <v>9.4790717240412256E-2</v>
      </c>
      <c r="BC107" s="607">
        <v>14371.454545454546</v>
      </c>
      <c r="BD107" s="608">
        <v>1211.6363636363637</v>
      </c>
      <c r="BE107" s="606">
        <f t="shared" si="39"/>
        <v>8.4308540920764646E-2</v>
      </c>
    </row>
    <row r="108" spans="1:57" ht="15" customHeight="1">
      <c r="A108" s="587" t="s">
        <v>91</v>
      </c>
      <c r="B108" s="609" t="s">
        <v>92</v>
      </c>
      <c r="C108" s="196" t="s">
        <v>275</v>
      </c>
      <c r="D108" s="589">
        <f t="shared" si="28"/>
        <v>1.7770773327536547E-2</v>
      </c>
      <c r="E108" s="590">
        <f t="shared" si="51"/>
        <v>6.019539867633155E-2</v>
      </c>
      <c r="F108" s="591">
        <f t="shared" si="40"/>
        <v>8.008526187576126E-2</v>
      </c>
      <c r="G108" s="591">
        <f t="shared" si="41"/>
        <v>6.3804052010886E-2</v>
      </c>
      <c r="H108" s="591">
        <f t="shared" si="29"/>
        <v>5.520702634880803E-2</v>
      </c>
      <c r="I108" s="591">
        <f t="shared" si="30"/>
        <v>5.0636942675159238E-2</v>
      </c>
      <c r="J108" s="591">
        <f t="shared" si="31"/>
        <v>5.9554973821989529E-2</v>
      </c>
      <c r="K108" s="591">
        <f t="shared" si="32"/>
        <v>5.5643879173290937E-2</v>
      </c>
      <c r="L108" s="591">
        <f t="shared" si="33"/>
        <v>6.1061381074168801E-2</v>
      </c>
      <c r="M108" s="591">
        <f t="shared" si="34"/>
        <v>9.9118942731277526E-2</v>
      </c>
      <c r="N108" s="591">
        <f t="shared" si="35"/>
        <v>0.10219646125686394</v>
      </c>
      <c r="O108" s="592">
        <f t="shared" si="36"/>
        <v>0.10082745939319644</v>
      </c>
      <c r="P108" s="593">
        <f t="shared" si="37"/>
        <v>8.4811323457780571E-2</v>
      </c>
      <c r="Q108" s="225"/>
      <c r="R108" s="594">
        <v>18401</v>
      </c>
      <c r="S108" s="595">
        <v>327</v>
      </c>
      <c r="T108" s="596">
        <f t="shared" si="26"/>
        <v>1.7770773327536547E-2</v>
      </c>
      <c r="U108" s="597">
        <v>3173</v>
      </c>
      <c r="V108" s="598">
        <v>191</v>
      </c>
      <c r="W108" s="599">
        <f t="shared" si="27"/>
        <v>6.019539867633155E-2</v>
      </c>
      <c r="X108" s="597">
        <v>3284</v>
      </c>
      <c r="Y108" s="598">
        <v>263</v>
      </c>
      <c r="Z108" s="600">
        <f t="shared" si="42"/>
        <v>8.008526187576126E-2</v>
      </c>
      <c r="AA108" s="597">
        <v>3307</v>
      </c>
      <c r="AB108" s="598">
        <v>211</v>
      </c>
      <c r="AC108" s="600">
        <f t="shared" si="43"/>
        <v>6.3804052010886E-2</v>
      </c>
      <c r="AD108" s="597">
        <v>3188</v>
      </c>
      <c r="AE108" s="598">
        <v>176</v>
      </c>
      <c r="AF108" s="601">
        <f t="shared" si="44"/>
        <v>5.520702634880803E-2</v>
      </c>
      <c r="AG108" s="597">
        <v>3140</v>
      </c>
      <c r="AH108" s="598">
        <v>159</v>
      </c>
      <c r="AI108" s="601">
        <f t="shared" si="45"/>
        <v>5.0636942675159238E-2</v>
      </c>
      <c r="AJ108" s="597">
        <v>3056</v>
      </c>
      <c r="AK108" s="598">
        <v>182</v>
      </c>
      <c r="AL108" s="601">
        <f t="shared" si="46"/>
        <v>5.9554973821989529E-2</v>
      </c>
      <c r="AM108" s="597">
        <v>3145</v>
      </c>
      <c r="AN108" s="598">
        <v>175</v>
      </c>
      <c r="AO108" s="601">
        <f t="shared" si="47"/>
        <v>5.5643879173290937E-2</v>
      </c>
      <c r="AP108" s="597">
        <v>3128</v>
      </c>
      <c r="AQ108" s="598">
        <v>191</v>
      </c>
      <c r="AR108" s="601">
        <f t="shared" si="48"/>
        <v>6.1061381074168801E-2</v>
      </c>
      <c r="AS108" s="602">
        <v>3178</v>
      </c>
      <c r="AT108" s="598">
        <v>315</v>
      </c>
      <c r="AU108" s="603">
        <f t="shared" si="49"/>
        <v>9.9118942731277526E-2</v>
      </c>
      <c r="AV108" s="597">
        <v>3278</v>
      </c>
      <c r="AW108" s="598">
        <v>335</v>
      </c>
      <c r="AX108" s="601">
        <f t="shared" si="50"/>
        <v>0.10219646125686394</v>
      </c>
      <c r="AY108" s="604">
        <v>3263</v>
      </c>
      <c r="AZ108" s="605">
        <v>329</v>
      </c>
      <c r="BA108" s="606">
        <f t="shared" si="38"/>
        <v>0.10082745939319644</v>
      </c>
      <c r="BC108" s="607">
        <v>3172.818181818182</v>
      </c>
      <c r="BD108" s="608">
        <v>269.09090909090907</v>
      </c>
      <c r="BE108" s="606">
        <f t="shared" si="39"/>
        <v>8.4811323457780571E-2</v>
      </c>
    </row>
    <row r="109" spans="1:57" ht="15" customHeight="1">
      <c r="A109" s="587" t="s">
        <v>107</v>
      </c>
      <c r="B109" s="609" t="s">
        <v>108</v>
      </c>
      <c r="C109" s="196" t="s">
        <v>271</v>
      </c>
      <c r="D109" s="589">
        <f t="shared" si="28"/>
        <v>4.3136259832529812E-2</v>
      </c>
      <c r="E109" s="590">
        <f t="shared" si="51"/>
        <v>3.4860542378119447E-2</v>
      </c>
      <c r="F109" s="591">
        <f t="shared" si="40"/>
        <v>4.8358091668807522E-2</v>
      </c>
      <c r="G109" s="591">
        <f t="shared" si="41"/>
        <v>4.8798437969360169E-2</v>
      </c>
      <c r="H109" s="591">
        <f t="shared" si="29"/>
        <v>4.6526670477451189E-2</v>
      </c>
      <c r="I109" s="591">
        <f t="shared" si="30"/>
        <v>4.4226518107502631E-2</v>
      </c>
      <c r="J109" s="591">
        <f t="shared" si="31"/>
        <v>3.6216679472782079E-2</v>
      </c>
      <c r="K109" s="591">
        <f t="shared" si="32"/>
        <v>3.5118244957733406E-2</v>
      </c>
      <c r="L109" s="591">
        <f t="shared" si="33"/>
        <v>4.721656336237412E-2</v>
      </c>
      <c r="M109" s="591">
        <f t="shared" si="34"/>
        <v>7.6797455842537277E-2</v>
      </c>
      <c r="N109" s="591">
        <f t="shared" si="35"/>
        <v>8.4481242672919107E-2</v>
      </c>
      <c r="O109" s="592">
        <f t="shared" si="36"/>
        <v>8.4316400101929159E-2</v>
      </c>
      <c r="P109" s="593">
        <f t="shared" si="37"/>
        <v>7.6081326434362537E-2</v>
      </c>
      <c r="Q109" s="225"/>
      <c r="R109" s="594">
        <v>15764</v>
      </c>
      <c r="S109" s="595">
        <v>680</v>
      </c>
      <c r="T109" s="596">
        <f t="shared" si="26"/>
        <v>4.3136259832529812E-2</v>
      </c>
      <c r="U109" s="597">
        <v>64715</v>
      </c>
      <c r="V109" s="598">
        <v>2256</v>
      </c>
      <c r="W109" s="599">
        <f t="shared" si="27"/>
        <v>3.4860542378119447E-2</v>
      </c>
      <c r="X109" s="597">
        <v>66173</v>
      </c>
      <c r="Y109" s="598">
        <v>3200</v>
      </c>
      <c r="Z109" s="600">
        <f t="shared" si="42"/>
        <v>4.8358091668807522E-2</v>
      </c>
      <c r="AA109" s="597">
        <v>66580</v>
      </c>
      <c r="AB109" s="598">
        <v>3249</v>
      </c>
      <c r="AC109" s="600">
        <f t="shared" si="43"/>
        <v>4.8798437969360169E-2</v>
      </c>
      <c r="AD109" s="597">
        <v>66478</v>
      </c>
      <c r="AE109" s="598">
        <v>3093</v>
      </c>
      <c r="AF109" s="601">
        <f t="shared" si="44"/>
        <v>4.6526670477451189E-2</v>
      </c>
      <c r="AG109" s="597">
        <v>67403</v>
      </c>
      <c r="AH109" s="598">
        <v>2981</v>
      </c>
      <c r="AI109" s="601">
        <f t="shared" si="45"/>
        <v>4.4226518107502631E-2</v>
      </c>
      <c r="AJ109" s="597">
        <v>67676</v>
      </c>
      <c r="AK109" s="598">
        <v>2451</v>
      </c>
      <c r="AL109" s="601">
        <f t="shared" si="46"/>
        <v>3.6216679472782079E-2</v>
      </c>
      <c r="AM109" s="597">
        <v>68967</v>
      </c>
      <c r="AN109" s="598">
        <v>2422</v>
      </c>
      <c r="AO109" s="601">
        <f t="shared" si="47"/>
        <v>3.5118244957733406E-2</v>
      </c>
      <c r="AP109" s="597">
        <v>69213</v>
      </c>
      <c r="AQ109" s="598">
        <v>3268</v>
      </c>
      <c r="AR109" s="601">
        <f t="shared" si="48"/>
        <v>4.721656336237412E-2</v>
      </c>
      <c r="AS109" s="602">
        <v>69807</v>
      </c>
      <c r="AT109" s="598">
        <v>5361</v>
      </c>
      <c r="AU109" s="603">
        <f t="shared" si="49"/>
        <v>7.6797455842537277E-2</v>
      </c>
      <c r="AV109" s="597">
        <v>68240</v>
      </c>
      <c r="AW109" s="598">
        <v>5765</v>
      </c>
      <c r="AX109" s="601">
        <f t="shared" si="50"/>
        <v>8.4481242672919107E-2</v>
      </c>
      <c r="AY109" s="604">
        <v>66713</v>
      </c>
      <c r="AZ109" s="605">
        <v>5625</v>
      </c>
      <c r="BA109" s="606">
        <f t="shared" si="38"/>
        <v>8.4316400101929159E-2</v>
      </c>
      <c r="BC109" s="607">
        <v>66694.181818181823</v>
      </c>
      <c r="BD109" s="608">
        <v>5074.181818181818</v>
      </c>
      <c r="BE109" s="606">
        <f t="shared" si="39"/>
        <v>7.6081326434362537E-2</v>
      </c>
    </row>
    <row r="110" spans="1:57" ht="15" customHeight="1">
      <c r="A110" s="587" t="s">
        <v>117</v>
      </c>
      <c r="B110" s="609" t="s">
        <v>118</v>
      </c>
      <c r="C110" s="196" t="s">
        <v>273</v>
      </c>
      <c r="D110" s="589">
        <f t="shared" si="28"/>
        <v>2.7408303103587262E-2</v>
      </c>
      <c r="E110" s="590">
        <f t="shared" si="51"/>
        <v>4.6310278868418403E-2</v>
      </c>
      <c r="F110" s="591">
        <f t="shared" si="40"/>
        <v>6.1546036435253568E-2</v>
      </c>
      <c r="G110" s="591">
        <f t="shared" si="41"/>
        <v>6.3152709359605916E-2</v>
      </c>
      <c r="H110" s="591">
        <f t="shared" si="29"/>
        <v>5.4840294840294838E-2</v>
      </c>
      <c r="I110" s="591">
        <f t="shared" si="30"/>
        <v>5.6498264558426534E-2</v>
      </c>
      <c r="J110" s="591">
        <f t="shared" si="31"/>
        <v>4.5607945231896638E-2</v>
      </c>
      <c r="K110" s="591">
        <f t="shared" si="32"/>
        <v>4.596497906357061E-2</v>
      </c>
      <c r="L110" s="591">
        <f t="shared" si="33"/>
        <v>5.9436619718309859E-2</v>
      </c>
      <c r="M110" s="591">
        <f t="shared" si="34"/>
        <v>0.10320973990038738</v>
      </c>
      <c r="N110" s="591">
        <f t="shared" si="35"/>
        <v>0.10715287517531556</v>
      </c>
      <c r="O110" s="592">
        <f t="shared" si="36"/>
        <v>0.10603359294360515</v>
      </c>
      <c r="P110" s="593">
        <f t="shared" si="37"/>
        <v>8.5868591510474088E-2</v>
      </c>
      <c r="Q110" s="225"/>
      <c r="R110" s="594">
        <v>7443</v>
      </c>
      <c r="S110" s="595">
        <v>204</v>
      </c>
      <c r="T110" s="596">
        <f t="shared" si="26"/>
        <v>2.7408303103587262E-2</v>
      </c>
      <c r="U110" s="597">
        <v>9933</v>
      </c>
      <c r="V110" s="598">
        <v>460</v>
      </c>
      <c r="W110" s="599">
        <f t="shared" si="27"/>
        <v>4.6310278868418403E-2</v>
      </c>
      <c r="X110" s="597">
        <v>10155</v>
      </c>
      <c r="Y110" s="598">
        <v>625</v>
      </c>
      <c r="Z110" s="600">
        <f t="shared" si="42"/>
        <v>6.1546036435253568E-2</v>
      </c>
      <c r="AA110" s="597">
        <v>10150</v>
      </c>
      <c r="AB110" s="598">
        <v>641</v>
      </c>
      <c r="AC110" s="600">
        <f t="shared" si="43"/>
        <v>6.3152709359605916E-2</v>
      </c>
      <c r="AD110" s="597">
        <v>10175</v>
      </c>
      <c r="AE110" s="598">
        <v>558</v>
      </c>
      <c r="AF110" s="601">
        <f t="shared" si="44"/>
        <v>5.4840294840294838E-2</v>
      </c>
      <c r="AG110" s="597">
        <v>10372</v>
      </c>
      <c r="AH110" s="598">
        <v>586</v>
      </c>
      <c r="AI110" s="601">
        <f t="shared" si="45"/>
        <v>5.6498264558426534E-2</v>
      </c>
      <c r="AJ110" s="597">
        <v>10371</v>
      </c>
      <c r="AK110" s="598">
        <v>473</v>
      </c>
      <c r="AL110" s="601">
        <f t="shared" si="46"/>
        <v>4.5607945231896638E-2</v>
      </c>
      <c r="AM110" s="597">
        <v>10508</v>
      </c>
      <c r="AN110" s="598">
        <v>483</v>
      </c>
      <c r="AO110" s="601">
        <f t="shared" si="47"/>
        <v>4.596497906357061E-2</v>
      </c>
      <c r="AP110" s="597">
        <v>10650</v>
      </c>
      <c r="AQ110" s="598">
        <v>633</v>
      </c>
      <c r="AR110" s="601">
        <f t="shared" si="48"/>
        <v>5.9436619718309859E-2</v>
      </c>
      <c r="AS110" s="602">
        <v>10842</v>
      </c>
      <c r="AT110" s="598">
        <v>1119</v>
      </c>
      <c r="AU110" s="603">
        <f t="shared" si="49"/>
        <v>0.10320973990038738</v>
      </c>
      <c r="AV110" s="597">
        <v>10695</v>
      </c>
      <c r="AW110" s="598">
        <v>1146</v>
      </c>
      <c r="AX110" s="601">
        <f t="shared" si="50"/>
        <v>0.10715287517531556</v>
      </c>
      <c r="AY110" s="604">
        <v>10657</v>
      </c>
      <c r="AZ110" s="605">
        <v>1130</v>
      </c>
      <c r="BA110" s="606">
        <f t="shared" si="38"/>
        <v>0.10603359294360515</v>
      </c>
      <c r="BC110" s="607">
        <v>10554.181818181818</v>
      </c>
      <c r="BD110" s="608">
        <v>906.27272727272725</v>
      </c>
      <c r="BE110" s="606">
        <f t="shared" si="39"/>
        <v>8.5868591510474088E-2</v>
      </c>
    </row>
    <row r="111" spans="1:57" ht="15" customHeight="1">
      <c r="A111" s="587" t="s">
        <v>139</v>
      </c>
      <c r="B111" s="609" t="s">
        <v>140</v>
      </c>
      <c r="C111" s="196" t="s">
        <v>272</v>
      </c>
      <c r="D111" s="589">
        <f t="shared" si="28"/>
        <v>1.6980427931663628E-2</v>
      </c>
      <c r="E111" s="590">
        <f t="shared" si="51"/>
        <v>4.1346089516290895E-2</v>
      </c>
      <c r="F111" s="591">
        <f t="shared" si="40"/>
        <v>5.8576444721556785E-2</v>
      </c>
      <c r="G111" s="591">
        <f t="shared" si="41"/>
        <v>5.5768179332968834E-2</v>
      </c>
      <c r="H111" s="591">
        <f t="shared" si="29"/>
        <v>5.013676588897828E-2</v>
      </c>
      <c r="I111" s="591">
        <f t="shared" si="30"/>
        <v>4.4820590845695452E-2</v>
      </c>
      <c r="J111" s="591">
        <f t="shared" si="31"/>
        <v>3.5773115773115774E-2</v>
      </c>
      <c r="K111" s="591">
        <f t="shared" si="32"/>
        <v>3.6937442746963742E-2</v>
      </c>
      <c r="L111" s="591">
        <f t="shared" si="33"/>
        <v>4.7572926162260713E-2</v>
      </c>
      <c r="M111" s="591">
        <f t="shared" si="34"/>
        <v>8.0280926142689932E-2</v>
      </c>
      <c r="N111" s="591">
        <f t="shared" si="35"/>
        <v>8.5232594442709961E-2</v>
      </c>
      <c r="O111" s="592">
        <f t="shared" si="36"/>
        <v>8.1532033426183842E-2</v>
      </c>
      <c r="P111" s="593">
        <f t="shared" si="37"/>
        <v>7.4957893803740794E-2</v>
      </c>
      <c r="Q111" s="225"/>
      <c r="R111" s="594">
        <v>48232</v>
      </c>
      <c r="S111" s="595">
        <v>819</v>
      </c>
      <c r="T111" s="596">
        <f t="shared" si="26"/>
        <v>1.6980427931663628E-2</v>
      </c>
      <c r="U111" s="597">
        <v>29894</v>
      </c>
      <c r="V111" s="598">
        <v>1236</v>
      </c>
      <c r="W111" s="599">
        <f t="shared" si="27"/>
        <v>4.1346089516290895E-2</v>
      </c>
      <c r="X111" s="597">
        <v>30473</v>
      </c>
      <c r="Y111" s="598">
        <v>1785</v>
      </c>
      <c r="Z111" s="600">
        <f t="shared" si="42"/>
        <v>5.8576444721556785E-2</v>
      </c>
      <c r="AA111" s="597">
        <v>31093</v>
      </c>
      <c r="AB111" s="598">
        <v>1734</v>
      </c>
      <c r="AC111" s="600">
        <f t="shared" si="43"/>
        <v>5.5768179332968834E-2</v>
      </c>
      <c r="AD111" s="597">
        <v>31075</v>
      </c>
      <c r="AE111" s="598">
        <v>1558</v>
      </c>
      <c r="AF111" s="601">
        <f t="shared" si="44"/>
        <v>5.013676588897828E-2</v>
      </c>
      <c r="AG111" s="597">
        <v>31548</v>
      </c>
      <c r="AH111" s="598">
        <v>1414</v>
      </c>
      <c r="AI111" s="601">
        <f t="shared" si="45"/>
        <v>4.4820590845695452E-2</v>
      </c>
      <c r="AJ111" s="597">
        <v>32175</v>
      </c>
      <c r="AK111" s="598">
        <v>1151</v>
      </c>
      <c r="AL111" s="601">
        <f t="shared" si="46"/>
        <v>3.5773115773115774E-2</v>
      </c>
      <c r="AM111" s="597">
        <v>33841</v>
      </c>
      <c r="AN111" s="598">
        <v>1250</v>
      </c>
      <c r="AO111" s="601">
        <f t="shared" si="47"/>
        <v>3.6937442746963742E-2</v>
      </c>
      <c r="AP111" s="597">
        <v>35104</v>
      </c>
      <c r="AQ111" s="598">
        <v>1670</v>
      </c>
      <c r="AR111" s="601">
        <f t="shared" si="48"/>
        <v>4.7572926162260713E-2</v>
      </c>
      <c r="AS111" s="602">
        <v>35027</v>
      </c>
      <c r="AT111" s="598">
        <v>2812</v>
      </c>
      <c r="AU111" s="603">
        <f t="shared" si="49"/>
        <v>8.0280926142689932E-2</v>
      </c>
      <c r="AV111" s="597">
        <v>35233</v>
      </c>
      <c r="AW111" s="598">
        <v>3003</v>
      </c>
      <c r="AX111" s="601">
        <f t="shared" si="50"/>
        <v>8.5232594442709961E-2</v>
      </c>
      <c r="AY111" s="604">
        <v>35900</v>
      </c>
      <c r="AZ111" s="605">
        <v>2927</v>
      </c>
      <c r="BA111" s="606">
        <f t="shared" si="38"/>
        <v>8.1532033426183842E-2</v>
      </c>
      <c r="BC111" s="607">
        <v>35894.090909090912</v>
      </c>
      <c r="BD111" s="608">
        <v>2690.5454545454545</v>
      </c>
      <c r="BE111" s="606">
        <f t="shared" si="39"/>
        <v>7.4957893803740794E-2</v>
      </c>
    </row>
    <row r="112" spans="1:57" ht="15" customHeight="1">
      <c r="A112" s="587" t="s">
        <v>143</v>
      </c>
      <c r="B112" s="609" t="s">
        <v>144</v>
      </c>
      <c r="C112" s="196" t="s">
        <v>274</v>
      </c>
      <c r="D112" s="589">
        <f t="shared" si="28"/>
        <v>1.6807246437029959E-2</v>
      </c>
      <c r="E112" s="590">
        <f t="shared" si="51"/>
        <v>3.1484794275491952E-2</v>
      </c>
      <c r="F112" s="591">
        <f t="shared" si="40"/>
        <v>4.3036072144288576E-2</v>
      </c>
      <c r="G112" s="591">
        <f t="shared" si="41"/>
        <v>3.4189743077076874E-2</v>
      </c>
      <c r="H112" s="591">
        <f t="shared" si="29"/>
        <v>3.0415466484401698E-2</v>
      </c>
      <c r="I112" s="591">
        <f t="shared" si="30"/>
        <v>2.8273665926855159E-2</v>
      </c>
      <c r="J112" s="591">
        <f t="shared" si="31"/>
        <v>2.5646045418950665E-2</v>
      </c>
      <c r="K112" s="591">
        <f t="shared" si="32"/>
        <v>2.8723511097720197E-2</v>
      </c>
      <c r="L112" s="591">
        <f t="shared" si="33"/>
        <v>4.1967801425509647E-2</v>
      </c>
      <c r="M112" s="591">
        <f t="shared" si="34"/>
        <v>7.2912127814088595E-2</v>
      </c>
      <c r="N112" s="591">
        <f t="shared" si="35"/>
        <v>7.5183315874678608E-2</v>
      </c>
      <c r="O112" s="592">
        <f t="shared" si="36"/>
        <v>6.5044709727202582E-2</v>
      </c>
      <c r="P112" s="593">
        <f t="shared" si="37"/>
        <v>6.0868645876961482E-2</v>
      </c>
      <c r="Q112" s="225"/>
      <c r="R112" s="594">
        <v>48134</v>
      </c>
      <c r="S112" s="595">
        <v>809</v>
      </c>
      <c r="T112" s="596">
        <f t="shared" si="26"/>
        <v>1.6807246437029959E-2</v>
      </c>
      <c r="U112" s="597">
        <v>19565</v>
      </c>
      <c r="V112" s="598">
        <v>616</v>
      </c>
      <c r="W112" s="599">
        <f t="shared" si="27"/>
        <v>3.1484794275491952E-2</v>
      </c>
      <c r="X112" s="597">
        <v>19960</v>
      </c>
      <c r="Y112" s="598">
        <v>859</v>
      </c>
      <c r="Z112" s="600">
        <f t="shared" si="42"/>
        <v>4.3036072144288576E-2</v>
      </c>
      <c r="AA112" s="597">
        <v>20006</v>
      </c>
      <c r="AB112" s="598">
        <v>684</v>
      </c>
      <c r="AC112" s="600">
        <f t="shared" si="43"/>
        <v>3.4189743077076874E-2</v>
      </c>
      <c r="AD112" s="597">
        <v>20483</v>
      </c>
      <c r="AE112" s="598">
        <v>623</v>
      </c>
      <c r="AF112" s="601">
        <f t="shared" si="44"/>
        <v>3.0415466484401698E-2</v>
      </c>
      <c r="AG112" s="597">
        <v>20726</v>
      </c>
      <c r="AH112" s="598">
        <v>586</v>
      </c>
      <c r="AI112" s="601">
        <f t="shared" si="45"/>
        <v>2.8273665926855159E-2</v>
      </c>
      <c r="AJ112" s="597">
        <v>20432</v>
      </c>
      <c r="AK112" s="598">
        <v>524</v>
      </c>
      <c r="AL112" s="601">
        <f t="shared" si="46"/>
        <v>2.5646045418950665E-2</v>
      </c>
      <c r="AM112" s="597">
        <v>19914</v>
      </c>
      <c r="AN112" s="598">
        <v>572</v>
      </c>
      <c r="AO112" s="601">
        <f t="shared" si="47"/>
        <v>2.8723511097720197E-2</v>
      </c>
      <c r="AP112" s="597">
        <v>20063</v>
      </c>
      <c r="AQ112" s="598">
        <v>842</v>
      </c>
      <c r="AR112" s="601">
        <f t="shared" si="48"/>
        <v>4.1967801425509647E-2</v>
      </c>
      <c r="AS112" s="602">
        <v>20655</v>
      </c>
      <c r="AT112" s="598">
        <v>1506</v>
      </c>
      <c r="AU112" s="603">
        <f t="shared" si="49"/>
        <v>7.2912127814088595E-2</v>
      </c>
      <c r="AV112" s="597">
        <v>21002</v>
      </c>
      <c r="AW112" s="598">
        <v>1579</v>
      </c>
      <c r="AX112" s="601">
        <f t="shared" si="50"/>
        <v>7.5183315874678608E-2</v>
      </c>
      <c r="AY112" s="604">
        <v>22031</v>
      </c>
      <c r="AZ112" s="605">
        <v>1433</v>
      </c>
      <c r="BA112" s="606">
        <f t="shared" si="38"/>
        <v>6.5044709727202582E-2</v>
      </c>
      <c r="BC112" s="607">
        <v>22356.636363636364</v>
      </c>
      <c r="BD112" s="608">
        <v>1360.8181818181818</v>
      </c>
      <c r="BE112" s="606">
        <f t="shared" si="39"/>
        <v>6.0868645876961482E-2</v>
      </c>
    </row>
    <row r="113" spans="1:57" ht="15" customHeight="1">
      <c r="A113" s="587" t="s">
        <v>145</v>
      </c>
      <c r="B113" s="609" t="s">
        <v>146</v>
      </c>
      <c r="C113" s="196" t="s">
        <v>274</v>
      </c>
      <c r="D113" s="589">
        <f t="shared" si="28"/>
        <v>2.4975127791690966E-2</v>
      </c>
      <c r="E113" s="590">
        <f t="shared" si="51"/>
        <v>1.8087422542287724E-2</v>
      </c>
      <c r="F113" s="591">
        <f t="shared" si="40"/>
        <v>2.7621567978828979E-2</v>
      </c>
      <c r="G113" s="591">
        <f t="shared" si="41"/>
        <v>2.6459401356044319E-2</v>
      </c>
      <c r="H113" s="591">
        <f t="shared" si="29"/>
        <v>2.6980661260137241E-2</v>
      </c>
      <c r="I113" s="591">
        <f t="shared" si="30"/>
        <v>2.4753227031131361E-2</v>
      </c>
      <c r="J113" s="591">
        <f t="shared" si="31"/>
        <v>2.2618334331935292E-2</v>
      </c>
      <c r="K113" s="591">
        <f t="shared" si="32"/>
        <v>2.4969733656174335E-2</v>
      </c>
      <c r="L113" s="591">
        <f t="shared" si="33"/>
        <v>3.7271767013731701E-2</v>
      </c>
      <c r="M113" s="591">
        <f t="shared" si="34"/>
        <v>6.0458240946045821E-2</v>
      </c>
      <c r="N113" s="591">
        <f t="shared" si="35"/>
        <v>6.1230288393237672E-2</v>
      </c>
      <c r="O113" s="592">
        <f t="shared" si="36"/>
        <v>5.1703738760056794E-2</v>
      </c>
      <c r="P113" s="593">
        <f t="shared" si="37"/>
        <v>4.9598138747884941E-2</v>
      </c>
      <c r="Q113" s="225"/>
      <c r="R113" s="594">
        <v>29149</v>
      </c>
      <c r="S113" s="595">
        <v>728</v>
      </c>
      <c r="T113" s="596">
        <f t="shared" si="26"/>
        <v>2.4975127791690966E-2</v>
      </c>
      <c r="U113" s="597">
        <v>5971</v>
      </c>
      <c r="V113" s="598">
        <v>108</v>
      </c>
      <c r="W113" s="599">
        <f t="shared" si="27"/>
        <v>1.8087422542287724E-2</v>
      </c>
      <c r="X113" s="597">
        <v>6046</v>
      </c>
      <c r="Y113" s="598">
        <v>167</v>
      </c>
      <c r="Z113" s="600">
        <f t="shared" si="42"/>
        <v>2.7621567978828979E-2</v>
      </c>
      <c r="AA113" s="597">
        <v>6047</v>
      </c>
      <c r="AB113" s="598">
        <v>160</v>
      </c>
      <c r="AC113" s="600">
        <f t="shared" si="43"/>
        <v>2.6459401356044319E-2</v>
      </c>
      <c r="AD113" s="597">
        <v>6412</v>
      </c>
      <c r="AE113" s="598">
        <v>173</v>
      </c>
      <c r="AF113" s="601">
        <f t="shared" si="44"/>
        <v>2.6980661260137241E-2</v>
      </c>
      <c r="AG113" s="597">
        <v>6585</v>
      </c>
      <c r="AH113" s="598">
        <v>163</v>
      </c>
      <c r="AI113" s="601">
        <f t="shared" si="45"/>
        <v>2.4753227031131361E-2</v>
      </c>
      <c r="AJ113" s="597">
        <v>6676</v>
      </c>
      <c r="AK113" s="598">
        <v>151</v>
      </c>
      <c r="AL113" s="601">
        <f t="shared" si="46"/>
        <v>2.2618334331935292E-2</v>
      </c>
      <c r="AM113" s="597">
        <v>6608</v>
      </c>
      <c r="AN113" s="598">
        <v>165</v>
      </c>
      <c r="AO113" s="601">
        <f t="shared" si="47"/>
        <v>2.4969733656174335E-2</v>
      </c>
      <c r="AP113" s="597">
        <v>6627</v>
      </c>
      <c r="AQ113" s="598">
        <v>247</v>
      </c>
      <c r="AR113" s="601">
        <f t="shared" si="48"/>
        <v>3.7271767013731701E-2</v>
      </c>
      <c r="AS113" s="602">
        <v>6765</v>
      </c>
      <c r="AT113" s="598">
        <v>409</v>
      </c>
      <c r="AU113" s="603">
        <f t="shared" si="49"/>
        <v>6.0458240946045821E-2</v>
      </c>
      <c r="AV113" s="597">
        <v>7039</v>
      </c>
      <c r="AW113" s="598">
        <v>431</v>
      </c>
      <c r="AX113" s="601">
        <f t="shared" si="50"/>
        <v>6.1230288393237672E-2</v>
      </c>
      <c r="AY113" s="604">
        <v>8452</v>
      </c>
      <c r="AZ113" s="605">
        <v>437</v>
      </c>
      <c r="BA113" s="606">
        <f t="shared" si="38"/>
        <v>5.1703738760056794E-2</v>
      </c>
      <c r="BC113" s="607">
        <v>8596.363636363636</v>
      </c>
      <c r="BD113" s="608">
        <v>426.36363636363637</v>
      </c>
      <c r="BE113" s="606">
        <f t="shared" si="39"/>
        <v>4.9598138747884941E-2</v>
      </c>
    </row>
    <row r="114" spans="1:57" ht="15" customHeight="1">
      <c r="A114" s="587" t="s">
        <v>159</v>
      </c>
      <c r="B114" s="609" t="s">
        <v>160</v>
      </c>
      <c r="C114" s="196" t="s">
        <v>271</v>
      </c>
      <c r="D114" s="589">
        <f t="shared" si="28"/>
        <v>2.874074074074074E-2</v>
      </c>
      <c r="E114" s="590">
        <f t="shared" si="51"/>
        <v>3.5431802727175117E-2</v>
      </c>
      <c r="F114" s="591">
        <f t="shared" si="40"/>
        <v>4.5563857109502684E-2</v>
      </c>
      <c r="G114" s="591">
        <f t="shared" si="41"/>
        <v>4.7292310530928548E-2</v>
      </c>
      <c r="H114" s="591">
        <f t="shared" si="29"/>
        <v>4.4352386307563434E-2</v>
      </c>
      <c r="I114" s="591">
        <f t="shared" si="30"/>
        <v>4.4228385141650214E-2</v>
      </c>
      <c r="J114" s="591">
        <f t="shared" si="31"/>
        <v>3.5030381145277116E-2</v>
      </c>
      <c r="K114" s="591">
        <f t="shared" si="32"/>
        <v>3.5163339382940112E-2</v>
      </c>
      <c r="L114" s="591">
        <f t="shared" si="33"/>
        <v>4.6133853151397008E-2</v>
      </c>
      <c r="M114" s="591">
        <f t="shared" si="34"/>
        <v>7.6359519131506209E-2</v>
      </c>
      <c r="N114" s="591">
        <f t="shared" si="35"/>
        <v>7.8407972698532336E-2</v>
      </c>
      <c r="O114" s="592">
        <f t="shared" si="36"/>
        <v>7.8409387790647045E-2</v>
      </c>
      <c r="P114" s="593">
        <f t="shared" si="37"/>
        <v>7.1106777837547069E-2</v>
      </c>
      <c r="Q114" s="225"/>
      <c r="R114" s="594">
        <v>3375</v>
      </c>
      <c r="S114" s="595">
        <v>97</v>
      </c>
      <c r="T114" s="596">
        <f t="shared" si="26"/>
        <v>2.874074074074074E-2</v>
      </c>
      <c r="U114" s="597">
        <v>83823</v>
      </c>
      <c r="V114" s="598">
        <v>2970</v>
      </c>
      <c r="W114" s="599">
        <f t="shared" si="27"/>
        <v>3.5431802727175117E-2</v>
      </c>
      <c r="X114" s="597">
        <v>85660</v>
      </c>
      <c r="Y114" s="598">
        <v>3903</v>
      </c>
      <c r="Z114" s="600">
        <f t="shared" si="42"/>
        <v>4.5563857109502684E-2</v>
      </c>
      <c r="AA114" s="597">
        <v>86716</v>
      </c>
      <c r="AB114" s="598">
        <v>4101</v>
      </c>
      <c r="AC114" s="600">
        <f t="shared" si="43"/>
        <v>4.7292310530928548E-2</v>
      </c>
      <c r="AD114" s="597">
        <v>87143</v>
      </c>
      <c r="AE114" s="598">
        <v>3865</v>
      </c>
      <c r="AF114" s="601">
        <f t="shared" si="44"/>
        <v>4.4352386307563434E-2</v>
      </c>
      <c r="AG114" s="597">
        <v>87116</v>
      </c>
      <c r="AH114" s="598">
        <v>3853</v>
      </c>
      <c r="AI114" s="601">
        <f t="shared" si="45"/>
        <v>4.4228385141650214E-2</v>
      </c>
      <c r="AJ114" s="597">
        <v>86896</v>
      </c>
      <c r="AK114" s="598">
        <v>3044</v>
      </c>
      <c r="AL114" s="601">
        <f t="shared" si="46"/>
        <v>3.5030381145277116E-2</v>
      </c>
      <c r="AM114" s="597">
        <v>88160</v>
      </c>
      <c r="AN114" s="598">
        <v>3100</v>
      </c>
      <c r="AO114" s="601">
        <f t="shared" si="47"/>
        <v>3.5163339382940112E-2</v>
      </c>
      <c r="AP114" s="597">
        <v>89262</v>
      </c>
      <c r="AQ114" s="598">
        <v>4118</v>
      </c>
      <c r="AR114" s="601">
        <f t="shared" si="48"/>
        <v>4.6133853151397008E-2</v>
      </c>
      <c r="AS114" s="602">
        <v>90087</v>
      </c>
      <c r="AT114" s="598">
        <v>6879</v>
      </c>
      <c r="AU114" s="603">
        <f t="shared" si="49"/>
        <v>7.6359519131506209E-2</v>
      </c>
      <c r="AV114" s="597">
        <v>95526</v>
      </c>
      <c r="AW114" s="598">
        <v>7490</v>
      </c>
      <c r="AX114" s="601">
        <f t="shared" si="50"/>
        <v>7.8407972698532336E-2</v>
      </c>
      <c r="AY114" s="604">
        <v>91864</v>
      </c>
      <c r="AZ114" s="605">
        <v>7203</v>
      </c>
      <c r="BA114" s="606">
        <f t="shared" si="38"/>
        <v>7.8409387790647045E-2</v>
      </c>
      <c r="BC114" s="607">
        <v>91936</v>
      </c>
      <c r="BD114" s="608">
        <v>6537.272727272727</v>
      </c>
      <c r="BE114" s="606">
        <f t="shared" si="39"/>
        <v>7.1106777837547069E-2</v>
      </c>
    </row>
    <row r="115" spans="1:57" ht="15" customHeight="1">
      <c r="A115" s="587" t="s">
        <v>161</v>
      </c>
      <c r="B115" s="609" t="s">
        <v>162</v>
      </c>
      <c r="C115" s="196" t="s">
        <v>271</v>
      </c>
      <c r="D115" s="589">
        <f t="shared" si="28"/>
        <v>3.6634103019538192E-2</v>
      </c>
      <c r="E115" s="590">
        <f t="shared" si="51"/>
        <v>4.2973053131090587E-2</v>
      </c>
      <c r="F115" s="591">
        <f t="shared" si="40"/>
        <v>5.1285173572001179E-2</v>
      </c>
      <c r="G115" s="591">
        <f t="shared" si="41"/>
        <v>5.2688226633497488E-2</v>
      </c>
      <c r="H115" s="591">
        <f t="shared" si="29"/>
        <v>5.0721549047068139E-2</v>
      </c>
      <c r="I115" s="591">
        <f t="shared" si="30"/>
        <v>4.9875800084517787E-2</v>
      </c>
      <c r="J115" s="591">
        <f t="shared" si="31"/>
        <v>4.1755233661333636E-2</v>
      </c>
      <c r="K115" s="591">
        <f t="shared" si="32"/>
        <v>4.0387947344313224E-2</v>
      </c>
      <c r="L115" s="591">
        <f t="shared" si="33"/>
        <v>5.2474373095968169E-2</v>
      </c>
      <c r="M115" s="591">
        <f t="shared" si="34"/>
        <v>8.3782536549922917E-2</v>
      </c>
      <c r="N115" s="591">
        <f t="shared" si="35"/>
        <v>9.2453074950355749E-2</v>
      </c>
      <c r="O115" s="592">
        <f t="shared" si="36"/>
        <v>8.3773000988087029E-2</v>
      </c>
      <c r="P115" s="593">
        <f t="shared" si="37"/>
        <v>7.8285348710047914E-2</v>
      </c>
      <c r="Q115" s="225"/>
      <c r="R115" s="594">
        <v>4504</v>
      </c>
      <c r="S115" s="595">
        <v>165</v>
      </c>
      <c r="T115" s="596">
        <f t="shared" si="26"/>
        <v>3.6634103019538192E-2</v>
      </c>
      <c r="U115" s="597">
        <v>94408</v>
      </c>
      <c r="V115" s="598">
        <v>4057</v>
      </c>
      <c r="W115" s="599">
        <f t="shared" si="27"/>
        <v>4.2973053131090587E-2</v>
      </c>
      <c r="X115" s="597">
        <v>98547</v>
      </c>
      <c r="Y115" s="598">
        <v>5054</v>
      </c>
      <c r="Z115" s="600">
        <f t="shared" si="42"/>
        <v>5.1285173572001179E-2</v>
      </c>
      <c r="AA115" s="597">
        <v>98485</v>
      </c>
      <c r="AB115" s="598">
        <v>5189</v>
      </c>
      <c r="AC115" s="600">
        <f t="shared" si="43"/>
        <v>5.2688226633497488E-2</v>
      </c>
      <c r="AD115" s="597">
        <v>98538</v>
      </c>
      <c r="AE115" s="598">
        <v>4998</v>
      </c>
      <c r="AF115" s="601">
        <f t="shared" si="44"/>
        <v>5.0721549047068139E-2</v>
      </c>
      <c r="AG115" s="597">
        <v>97021</v>
      </c>
      <c r="AH115" s="598">
        <v>4839</v>
      </c>
      <c r="AI115" s="601">
        <f t="shared" si="45"/>
        <v>4.9875800084517787E-2</v>
      </c>
      <c r="AJ115" s="597">
        <v>96443</v>
      </c>
      <c r="AK115" s="598">
        <v>4027</v>
      </c>
      <c r="AL115" s="601">
        <f t="shared" si="46"/>
        <v>4.1755233661333636E-2</v>
      </c>
      <c r="AM115" s="597">
        <v>100426</v>
      </c>
      <c r="AN115" s="598">
        <v>4056</v>
      </c>
      <c r="AO115" s="601">
        <f t="shared" si="47"/>
        <v>4.0387947344313224E-2</v>
      </c>
      <c r="AP115" s="597">
        <v>100773</v>
      </c>
      <c r="AQ115" s="598">
        <v>5288</v>
      </c>
      <c r="AR115" s="601">
        <f t="shared" si="48"/>
        <v>5.2474373095968169E-2</v>
      </c>
      <c r="AS115" s="602">
        <v>101847</v>
      </c>
      <c r="AT115" s="598">
        <v>8533</v>
      </c>
      <c r="AU115" s="603">
        <f t="shared" si="49"/>
        <v>8.3782536549922917E-2</v>
      </c>
      <c r="AV115" s="597">
        <v>100213</v>
      </c>
      <c r="AW115" s="598">
        <v>9265</v>
      </c>
      <c r="AX115" s="601">
        <f t="shared" si="50"/>
        <v>9.2453074950355749E-2</v>
      </c>
      <c r="AY115" s="604">
        <v>107278</v>
      </c>
      <c r="AZ115" s="605">
        <v>8987</v>
      </c>
      <c r="BA115" s="606">
        <f t="shared" si="38"/>
        <v>8.3773000988087029E-2</v>
      </c>
      <c r="BC115" s="607">
        <v>107569.18181818182</v>
      </c>
      <c r="BD115" s="608">
        <v>8421.0909090909099</v>
      </c>
      <c r="BE115" s="606">
        <f t="shared" si="39"/>
        <v>7.8285348710047914E-2</v>
      </c>
    </row>
    <row r="116" spans="1:57" ht="15" customHeight="1">
      <c r="A116" s="587" t="s">
        <v>167</v>
      </c>
      <c r="B116" s="609" t="s">
        <v>168</v>
      </c>
      <c r="C116" s="196" t="s">
        <v>275</v>
      </c>
      <c r="D116" s="589">
        <f t="shared" si="28"/>
        <v>5.0802563966732002E-2</v>
      </c>
      <c r="E116" s="590">
        <f t="shared" si="51"/>
        <v>4.5454545454545456E-2</v>
      </c>
      <c r="F116" s="591">
        <f t="shared" si="40"/>
        <v>4.9087476400251732E-2</v>
      </c>
      <c r="G116" s="591">
        <f t="shared" si="41"/>
        <v>5.3954629061925198E-2</v>
      </c>
      <c r="H116" s="591">
        <f t="shared" si="29"/>
        <v>5.3846153846153849E-2</v>
      </c>
      <c r="I116" s="591">
        <f t="shared" si="30"/>
        <v>5.4616384915474644E-2</v>
      </c>
      <c r="J116" s="591">
        <f t="shared" si="31"/>
        <v>5.1114023591087812E-2</v>
      </c>
      <c r="K116" s="591">
        <f t="shared" si="32"/>
        <v>4.0583386176284084E-2</v>
      </c>
      <c r="L116" s="591">
        <f t="shared" si="33"/>
        <v>5.1883878937615813E-2</v>
      </c>
      <c r="M116" s="591">
        <f t="shared" si="34"/>
        <v>6.6427289048473961E-2</v>
      </c>
      <c r="N116" s="591">
        <f t="shared" si="35"/>
        <v>7.0874861572535988E-2</v>
      </c>
      <c r="O116" s="592">
        <f t="shared" si="36"/>
        <v>6.3304168811116834E-2</v>
      </c>
      <c r="P116" s="593">
        <f t="shared" si="37"/>
        <v>6.435973001235859E-2</v>
      </c>
      <c r="Q116" s="225"/>
      <c r="R116" s="594">
        <v>18877</v>
      </c>
      <c r="S116" s="595">
        <v>959</v>
      </c>
      <c r="T116" s="596">
        <f t="shared" si="26"/>
        <v>5.0802563966732002E-2</v>
      </c>
      <c r="U116" s="597">
        <v>1518</v>
      </c>
      <c r="V116" s="598">
        <v>69</v>
      </c>
      <c r="W116" s="599">
        <f t="shared" si="27"/>
        <v>4.5454545454545456E-2</v>
      </c>
      <c r="X116" s="597">
        <v>1589</v>
      </c>
      <c r="Y116" s="598">
        <v>78</v>
      </c>
      <c r="Z116" s="600">
        <f t="shared" si="42"/>
        <v>4.9087476400251732E-2</v>
      </c>
      <c r="AA116" s="597">
        <v>1631</v>
      </c>
      <c r="AB116" s="598">
        <v>88</v>
      </c>
      <c r="AC116" s="600">
        <f t="shared" si="43"/>
        <v>5.3954629061925198E-2</v>
      </c>
      <c r="AD116" s="597">
        <v>1560</v>
      </c>
      <c r="AE116" s="598">
        <v>84</v>
      </c>
      <c r="AF116" s="601">
        <f t="shared" si="44"/>
        <v>5.3846153846153849E-2</v>
      </c>
      <c r="AG116" s="597">
        <v>1538</v>
      </c>
      <c r="AH116" s="598">
        <v>84</v>
      </c>
      <c r="AI116" s="601">
        <f t="shared" si="45"/>
        <v>5.4616384915474644E-2</v>
      </c>
      <c r="AJ116" s="597">
        <v>1526</v>
      </c>
      <c r="AK116" s="598">
        <v>78</v>
      </c>
      <c r="AL116" s="601">
        <f t="shared" si="46"/>
        <v>5.1114023591087812E-2</v>
      </c>
      <c r="AM116" s="597">
        <v>1577</v>
      </c>
      <c r="AN116" s="598">
        <v>64</v>
      </c>
      <c r="AO116" s="601">
        <f t="shared" si="47"/>
        <v>4.0583386176284084E-2</v>
      </c>
      <c r="AP116" s="597">
        <v>1619</v>
      </c>
      <c r="AQ116" s="598">
        <v>84</v>
      </c>
      <c r="AR116" s="601">
        <f t="shared" si="48"/>
        <v>5.1883878937615813E-2</v>
      </c>
      <c r="AS116" s="602">
        <v>1671</v>
      </c>
      <c r="AT116" s="598">
        <v>111</v>
      </c>
      <c r="AU116" s="603">
        <f t="shared" si="49"/>
        <v>6.6427289048473961E-2</v>
      </c>
      <c r="AV116" s="597">
        <v>1806</v>
      </c>
      <c r="AW116" s="598">
        <v>128</v>
      </c>
      <c r="AX116" s="601">
        <f t="shared" si="50"/>
        <v>7.0874861572535988E-2</v>
      </c>
      <c r="AY116" s="604">
        <v>1943</v>
      </c>
      <c r="AZ116" s="605">
        <v>123</v>
      </c>
      <c r="BA116" s="606">
        <f t="shared" si="38"/>
        <v>6.3304168811116834E-2</v>
      </c>
      <c r="BC116" s="607">
        <v>1912.5454545454545</v>
      </c>
      <c r="BD116" s="608">
        <v>123.09090909090909</v>
      </c>
      <c r="BE116" s="606">
        <f t="shared" si="39"/>
        <v>6.435973001235859E-2</v>
      </c>
    </row>
    <row r="117" spans="1:57" ht="15" customHeight="1">
      <c r="A117" s="587" t="s">
        <v>177</v>
      </c>
      <c r="B117" s="609" t="s">
        <v>178</v>
      </c>
      <c r="C117" s="196" t="s">
        <v>273</v>
      </c>
      <c r="D117" s="589">
        <f t="shared" si="28"/>
        <v>2.2129169069001572E-2</v>
      </c>
      <c r="E117" s="590">
        <f t="shared" si="51"/>
        <v>5.5018267784225229E-2</v>
      </c>
      <c r="F117" s="591">
        <f t="shared" si="40"/>
        <v>7.4393607241354923E-2</v>
      </c>
      <c r="G117" s="591">
        <f t="shared" si="41"/>
        <v>8.612975391498881E-2</v>
      </c>
      <c r="H117" s="591">
        <f t="shared" si="29"/>
        <v>7.6287349014621739E-2</v>
      </c>
      <c r="I117" s="591">
        <f t="shared" si="30"/>
        <v>7.2533711852377572E-2</v>
      </c>
      <c r="J117" s="591">
        <f t="shared" si="31"/>
        <v>6.1347061347061346E-2</v>
      </c>
      <c r="K117" s="591">
        <f t="shared" si="32"/>
        <v>6.1710981028281264E-2</v>
      </c>
      <c r="L117" s="591">
        <f t="shared" si="33"/>
        <v>7.2639394788456144E-2</v>
      </c>
      <c r="M117" s="591">
        <f t="shared" si="34"/>
        <v>0.13163051557537672</v>
      </c>
      <c r="N117" s="591">
        <f t="shared" si="35"/>
        <v>0.12822808346532608</v>
      </c>
      <c r="O117" s="592">
        <f t="shared" si="36"/>
        <v>0.12208940786291715</v>
      </c>
      <c r="P117" s="593">
        <f t="shared" si="37"/>
        <v>0.11238076124654278</v>
      </c>
      <c r="Q117" s="225"/>
      <c r="R117" s="594">
        <v>204662</v>
      </c>
      <c r="S117" s="595">
        <v>4529</v>
      </c>
      <c r="T117" s="596">
        <f t="shared" si="26"/>
        <v>2.2129169069001572E-2</v>
      </c>
      <c r="U117" s="597">
        <v>13959</v>
      </c>
      <c r="V117" s="598">
        <v>768</v>
      </c>
      <c r="W117" s="599">
        <f t="shared" si="27"/>
        <v>5.5018267784225229E-2</v>
      </c>
      <c r="X117" s="597">
        <v>14141</v>
      </c>
      <c r="Y117" s="598">
        <v>1052</v>
      </c>
      <c r="Z117" s="600">
        <f t="shared" si="42"/>
        <v>7.4393607241354923E-2</v>
      </c>
      <c r="AA117" s="597">
        <v>14304</v>
      </c>
      <c r="AB117" s="598">
        <v>1232</v>
      </c>
      <c r="AC117" s="600">
        <f t="shared" si="43"/>
        <v>8.612975391498881E-2</v>
      </c>
      <c r="AD117" s="597">
        <v>14157</v>
      </c>
      <c r="AE117" s="598">
        <v>1080</v>
      </c>
      <c r="AF117" s="601">
        <f t="shared" si="44"/>
        <v>7.6287349014621739E-2</v>
      </c>
      <c r="AG117" s="597">
        <v>14090</v>
      </c>
      <c r="AH117" s="598">
        <v>1022</v>
      </c>
      <c r="AI117" s="601">
        <f t="shared" si="45"/>
        <v>7.2533711852377572E-2</v>
      </c>
      <c r="AJ117" s="597">
        <v>13986</v>
      </c>
      <c r="AK117" s="598">
        <v>858</v>
      </c>
      <c r="AL117" s="601">
        <f t="shared" si="46"/>
        <v>6.1347061347061346E-2</v>
      </c>
      <c r="AM117" s="597">
        <v>14179</v>
      </c>
      <c r="AN117" s="598">
        <v>875</v>
      </c>
      <c r="AO117" s="601">
        <f t="shared" si="47"/>
        <v>6.1710981028281264E-2</v>
      </c>
      <c r="AP117" s="597">
        <v>14276</v>
      </c>
      <c r="AQ117" s="598">
        <v>1037</v>
      </c>
      <c r="AR117" s="601">
        <f t="shared" si="48"/>
        <v>7.2639394788456144E-2</v>
      </c>
      <c r="AS117" s="602">
        <v>14799</v>
      </c>
      <c r="AT117" s="598">
        <v>1948</v>
      </c>
      <c r="AU117" s="603">
        <f t="shared" si="49"/>
        <v>0.13163051557537672</v>
      </c>
      <c r="AV117" s="597">
        <v>14521</v>
      </c>
      <c r="AW117" s="598">
        <v>1862</v>
      </c>
      <c r="AX117" s="601">
        <f t="shared" si="50"/>
        <v>0.12822808346532608</v>
      </c>
      <c r="AY117" s="604">
        <v>14473</v>
      </c>
      <c r="AZ117" s="605">
        <v>1767</v>
      </c>
      <c r="BA117" s="606">
        <f t="shared" si="38"/>
        <v>0.12208940786291715</v>
      </c>
      <c r="BC117" s="607">
        <v>14495.363636363636</v>
      </c>
      <c r="BD117" s="608">
        <v>1629</v>
      </c>
      <c r="BE117" s="606">
        <f t="shared" si="39"/>
        <v>0.11238076124654278</v>
      </c>
    </row>
    <row r="118" spans="1:57" ht="15" customHeight="1">
      <c r="A118" s="587" t="s">
        <v>181</v>
      </c>
      <c r="B118" s="609" t="s">
        <v>182</v>
      </c>
      <c r="C118" s="196" t="s">
        <v>271</v>
      </c>
      <c r="D118" s="589">
        <f t="shared" si="28"/>
        <v>2.0141964448219377E-2</v>
      </c>
      <c r="E118" s="590">
        <f t="shared" si="51"/>
        <v>4.3849329919498074E-2</v>
      </c>
      <c r="F118" s="591">
        <f t="shared" si="40"/>
        <v>5.2750941171134394E-2</v>
      </c>
      <c r="G118" s="591">
        <f t="shared" si="41"/>
        <v>5.3983002832861192E-2</v>
      </c>
      <c r="H118" s="591">
        <f t="shared" si="29"/>
        <v>5.3727106845982295E-2</v>
      </c>
      <c r="I118" s="591">
        <f t="shared" si="30"/>
        <v>5.280491578621635E-2</v>
      </c>
      <c r="J118" s="591">
        <f t="shared" si="31"/>
        <v>4.3226603654967589E-2</v>
      </c>
      <c r="K118" s="591">
        <f t="shared" si="32"/>
        <v>4.1309230933789708E-2</v>
      </c>
      <c r="L118" s="591">
        <f t="shared" si="33"/>
        <v>5.1282603081690623E-2</v>
      </c>
      <c r="M118" s="591">
        <f t="shared" si="34"/>
        <v>8.3320921721738758E-2</v>
      </c>
      <c r="N118" s="591">
        <f t="shared" si="35"/>
        <v>9.1161246642059976E-2</v>
      </c>
      <c r="O118" s="592">
        <f t="shared" si="36"/>
        <v>8.6515235457063716E-2</v>
      </c>
      <c r="P118" s="593">
        <f t="shared" si="37"/>
        <v>8.1648428872603152E-2</v>
      </c>
      <c r="Q118" s="225"/>
      <c r="R118" s="594">
        <v>16483</v>
      </c>
      <c r="S118" s="595">
        <v>332</v>
      </c>
      <c r="T118" s="596">
        <f t="shared" si="26"/>
        <v>2.0141964448219377E-2</v>
      </c>
      <c r="U118" s="597">
        <v>43353</v>
      </c>
      <c r="V118" s="598">
        <v>1901</v>
      </c>
      <c r="W118" s="599">
        <f t="shared" si="27"/>
        <v>4.3849329919498074E-2</v>
      </c>
      <c r="X118" s="597">
        <v>44094</v>
      </c>
      <c r="Y118" s="598">
        <v>2326</v>
      </c>
      <c r="Z118" s="600">
        <f t="shared" si="42"/>
        <v>5.2750941171134394E-2</v>
      </c>
      <c r="AA118" s="597">
        <v>44125</v>
      </c>
      <c r="AB118" s="598">
        <v>2382</v>
      </c>
      <c r="AC118" s="600">
        <f t="shared" si="43"/>
        <v>5.3983002832861192E-2</v>
      </c>
      <c r="AD118" s="597">
        <v>44391</v>
      </c>
      <c r="AE118" s="598">
        <v>2385</v>
      </c>
      <c r="AF118" s="601">
        <f t="shared" si="44"/>
        <v>5.3727106845982295E-2</v>
      </c>
      <c r="AG118" s="597">
        <v>45242</v>
      </c>
      <c r="AH118" s="598">
        <v>2389</v>
      </c>
      <c r="AI118" s="601">
        <f t="shared" si="45"/>
        <v>5.280491578621635E-2</v>
      </c>
      <c r="AJ118" s="597">
        <v>46129</v>
      </c>
      <c r="AK118" s="598">
        <v>1994</v>
      </c>
      <c r="AL118" s="601">
        <f t="shared" si="46"/>
        <v>4.3226603654967589E-2</v>
      </c>
      <c r="AM118" s="597">
        <v>46745</v>
      </c>
      <c r="AN118" s="598">
        <v>1931</v>
      </c>
      <c r="AO118" s="601">
        <f t="shared" si="47"/>
        <v>4.1309230933789708E-2</v>
      </c>
      <c r="AP118" s="597">
        <v>46468</v>
      </c>
      <c r="AQ118" s="598">
        <v>2383</v>
      </c>
      <c r="AR118" s="601">
        <f t="shared" si="48"/>
        <v>5.1282603081690623E-2</v>
      </c>
      <c r="AS118" s="602">
        <v>46999</v>
      </c>
      <c r="AT118" s="598">
        <v>3916</v>
      </c>
      <c r="AU118" s="603">
        <f t="shared" si="49"/>
        <v>8.3320921721738758E-2</v>
      </c>
      <c r="AV118" s="597">
        <v>45787</v>
      </c>
      <c r="AW118" s="598">
        <v>4174</v>
      </c>
      <c r="AX118" s="601">
        <f t="shared" si="50"/>
        <v>9.1161246642059976E-2</v>
      </c>
      <c r="AY118" s="604">
        <v>45125</v>
      </c>
      <c r="AZ118" s="605">
        <v>3904</v>
      </c>
      <c r="BA118" s="606">
        <f t="shared" si="38"/>
        <v>8.6515235457063716E-2</v>
      </c>
      <c r="BC118" s="607">
        <v>45277.272727272728</v>
      </c>
      <c r="BD118" s="608">
        <v>3696.818181818182</v>
      </c>
      <c r="BE118" s="606">
        <f t="shared" si="39"/>
        <v>8.1648428872603152E-2</v>
      </c>
    </row>
    <row r="119" spans="1:57" ht="15" customHeight="1">
      <c r="A119" s="587" t="s">
        <v>193</v>
      </c>
      <c r="B119" s="609" t="s">
        <v>194</v>
      </c>
      <c r="C119" s="196" t="s">
        <v>275</v>
      </c>
      <c r="D119" s="589">
        <f t="shared" si="28"/>
        <v>3.5575653287446475E-2</v>
      </c>
      <c r="E119" s="590">
        <f t="shared" si="51"/>
        <v>4.1301120259144286E-2</v>
      </c>
      <c r="F119" s="591">
        <f t="shared" si="40"/>
        <v>5.2076288380900851E-2</v>
      </c>
      <c r="G119" s="591">
        <f t="shared" si="41"/>
        <v>5.2177430227854926E-2</v>
      </c>
      <c r="H119" s="591">
        <f t="shared" si="29"/>
        <v>5.1564625850340134E-2</v>
      </c>
      <c r="I119" s="591">
        <f t="shared" si="30"/>
        <v>4.4538851582842265E-2</v>
      </c>
      <c r="J119" s="591">
        <f t="shared" si="31"/>
        <v>3.7285812200137082E-2</v>
      </c>
      <c r="K119" s="591">
        <f t="shared" si="32"/>
        <v>3.9825841977205789E-2</v>
      </c>
      <c r="L119" s="591">
        <f t="shared" si="33"/>
        <v>5.2822631117786956E-2</v>
      </c>
      <c r="M119" s="591">
        <f t="shared" si="34"/>
        <v>8.7920206871074991E-2</v>
      </c>
      <c r="N119" s="591">
        <f t="shared" si="35"/>
        <v>9.4207431502564748E-2</v>
      </c>
      <c r="O119" s="592">
        <f t="shared" si="36"/>
        <v>8.1292026897214223E-2</v>
      </c>
      <c r="P119" s="593">
        <f t="shared" si="37"/>
        <v>7.3397459278635224E-2</v>
      </c>
      <c r="Q119" s="225"/>
      <c r="R119" s="594">
        <v>24989</v>
      </c>
      <c r="S119" s="595">
        <v>889</v>
      </c>
      <c r="T119" s="596">
        <f t="shared" si="26"/>
        <v>3.5575653287446475E-2</v>
      </c>
      <c r="U119" s="597">
        <v>7409</v>
      </c>
      <c r="V119" s="598">
        <v>306</v>
      </c>
      <c r="W119" s="599">
        <f t="shared" si="27"/>
        <v>4.1301120259144286E-2</v>
      </c>
      <c r="X119" s="597">
        <v>7393</v>
      </c>
      <c r="Y119" s="598">
        <v>385</v>
      </c>
      <c r="Z119" s="600">
        <f t="shared" si="42"/>
        <v>5.2076288380900851E-2</v>
      </c>
      <c r="AA119" s="597">
        <v>7417</v>
      </c>
      <c r="AB119" s="598">
        <v>387</v>
      </c>
      <c r="AC119" s="600">
        <f t="shared" si="43"/>
        <v>5.2177430227854926E-2</v>
      </c>
      <c r="AD119" s="597">
        <v>7350</v>
      </c>
      <c r="AE119" s="598">
        <v>379</v>
      </c>
      <c r="AF119" s="601">
        <f t="shared" si="44"/>
        <v>5.1564625850340134E-2</v>
      </c>
      <c r="AG119" s="597">
        <v>7297</v>
      </c>
      <c r="AH119" s="598">
        <v>325</v>
      </c>
      <c r="AI119" s="601">
        <f t="shared" si="45"/>
        <v>4.4538851582842265E-2</v>
      </c>
      <c r="AJ119" s="597">
        <v>7295</v>
      </c>
      <c r="AK119" s="598">
        <v>272</v>
      </c>
      <c r="AL119" s="601">
        <f t="shared" si="46"/>
        <v>3.7285812200137082E-2</v>
      </c>
      <c r="AM119" s="597">
        <v>7809</v>
      </c>
      <c r="AN119" s="598">
        <v>311</v>
      </c>
      <c r="AO119" s="601">
        <f t="shared" si="47"/>
        <v>3.9825841977205789E-2</v>
      </c>
      <c r="AP119" s="597">
        <v>7989</v>
      </c>
      <c r="AQ119" s="598">
        <v>422</v>
      </c>
      <c r="AR119" s="601">
        <f t="shared" si="48"/>
        <v>5.2822631117786956E-2</v>
      </c>
      <c r="AS119" s="602">
        <v>8121</v>
      </c>
      <c r="AT119" s="598">
        <v>714</v>
      </c>
      <c r="AU119" s="603">
        <f t="shared" si="49"/>
        <v>8.7920206871074991E-2</v>
      </c>
      <c r="AV119" s="597">
        <v>7993</v>
      </c>
      <c r="AW119" s="598">
        <v>753</v>
      </c>
      <c r="AX119" s="601">
        <f t="shared" si="50"/>
        <v>9.4207431502564748E-2</v>
      </c>
      <c r="AY119" s="604">
        <v>8328</v>
      </c>
      <c r="AZ119" s="605">
        <v>677</v>
      </c>
      <c r="BA119" s="606">
        <f t="shared" si="38"/>
        <v>8.1292026897214223E-2</v>
      </c>
      <c r="BC119" s="607">
        <v>8723.363636363636</v>
      </c>
      <c r="BD119" s="608">
        <v>640.27272727272725</v>
      </c>
      <c r="BE119" s="606">
        <f t="shared" si="39"/>
        <v>7.3397459278635224E-2</v>
      </c>
    </row>
    <row r="120" spans="1:57" ht="15" customHeight="1">
      <c r="A120" s="587" t="s">
        <v>197</v>
      </c>
      <c r="B120" s="609" t="s">
        <v>334</v>
      </c>
      <c r="C120" s="196" t="s">
        <v>273</v>
      </c>
      <c r="D120" s="589">
        <f t="shared" si="28"/>
        <v>3.52232552049234E-2</v>
      </c>
      <c r="E120" s="590">
        <f t="shared" si="51"/>
        <v>4.1526679326391355E-2</v>
      </c>
      <c r="F120" s="591">
        <f t="shared" si="40"/>
        <v>5.7102992093431865E-2</v>
      </c>
      <c r="G120" s="591">
        <f t="shared" si="41"/>
        <v>5.7610005401587235E-2</v>
      </c>
      <c r="H120" s="591">
        <f t="shared" si="29"/>
        <v>5.5918015952867474E-2</v>
      </c>
      <c r="I120" s="591">
        <f t="shared" si="30"/>
        <v>5.2488537582207839E-2</v>
      </c>
      <c r="J120" s="591">
        <f t="shared" si="31"/>
        <v>4.5336854911665919E-2</v>
      </c>
      <c r="K120" s="591">
        <f t="shared" si="32"/>
        <v>4.3154627369436156E-2</v>
      </c>
      <c r="L120" s="591">
        <f t="shared" si="33"/>
        <v>5.748622243254168E-2</v>
      </c>
      <c r="M120" s="591">
        <f t="shared" si="34"/>
        <v>9.5360648865752254E-2</v>
      </c>
      <c r="N120" s="591">
        <f t="shared" si="35"/>
        <v>0.10108257559531922</v>
      </c>
      <c r="O120" s="592">
        <f t="shared" si="36"/>
        <v>9.3355526477832518E-2</v>
      </c>
      <c r="P120" s="593">
        <f t="shared" si="37"/>
        <v>8.545379932615578E-2</v>
      </c>
      <c r="Q120" s="225"/>
      <c r="R120" s="594">
        <v>7637</v>
      </c>
      <c r="S120" s="595">
        <v>269</v>
      </c>
      <c r="T120" s="596">
        <f t="shared" si="26"/>
        <v>3.52232552049234E-2</v>
      </c>
      <c r="U120" s="597">
        <v>95842</v>
      </c>
      <c r="V120" s="598">
        <v>3980</v>
      </c>
      <c r="W120" s="599">
        <f t="shared" si="27"/>
        <v>4.1526679326391355E-2</v>
      </c>
      <c r="X120" s="597">
        <v>96755</v>
      </c>
      <c r="Y120" s="598">
        <v>5525</v>
      </c>
      <c r="Z120" s="600">
        <f t="shared" si="42"/>
        <v>5.7102992093431865E-2</v>
      </c>
      <c r="AA120" s="597">
        <v>96268</v>
      </c>
      <c r="AB120" s="598">
        <v>5546</v>
      </c>
      <c r="AC120" s="600">
        <f t="shared" si="43"/>
        <v>5.7610005401587235E-2</v>
      </c>
      <c r="AD120" s="597">
        <v>96409</v>
      </c>
      <c r="AE120" s="598">
        <v>5391</v>
      </c>
      <c r="AF120" s="601">
        <f t="shared" si="44"/>
        <v>5.5918015952867474E-2</v>
      </c>
      <c r="AG120" s="597">
        <v>96402</v>
      </c>
      <c r="AH120" s="598">
        <v>5060</v>
      </c>
      <c r="AI120" s="601">
        <f t="shared" si="45"/>
        <v>5.2488537582207839E-2</v>
      </c>
      <c r="AJ120" s="597">
        <v>96169</v>
      </c>
      <c r="AK120" s="598">
        <v>4360</v>
      </c>
      <c r="AL120" s="601">
        <f t="shared" si="46"/>
        <v>4.5336854911665919E-2</v>
      </c>
      <c r="AM120" s="597">
        <v>99549</v>
      </c>
      <c r="AN120" s="598">
        <v>4296</v>
      </c>
      <c r="AO120" s="601">
        <f t="shared" si="47"/>
        <v>4.3154627369436156E-2</v>
      </c>
      <c r="AP120" s="597">
        <v>101433</v>
      </c>
      <c r="AQ120" s="598">
        <v>5831</v>
      </c>
      <c r="AR120" s="601">
        <f t="shared" si="48"/>
        <v>5.748622243254168E-2</v>
      </c>
      <c r="AS120" s="602">
        <v>102579</v>
      </c>
      <c r="AT120" s="598">
        <v>9782</v>
      </c>
      <c r="AU120" s="603">
        <f t="shared" si="49"/>
        <v>9.5360648865752254E-2</v>
      </c>
      <c r="AV120" s="597">
        <v>102718</v>
      </c>
      <c r="AW120" s="598">
        <v>10383</v>
      </c>
      <c r="AX120" s="601">
        <f t="shared" si="50"/>
        <v>0.10108257559531922</v>
      </c>
      <c r="AY120" s="604">
        <v>103936</v>
      </c>
      <c r="AZ120" s="605">
        <v>9703</v>
      </c>
      <c r="BA120" s="606">
        <f t="shared" si="38"/>
        <v>9.3355526477832518E-2</v>
      </c>
      <c r="BC120" s="607">
        <v>104340.27272727272</v>
      </c>
      <c r="BD120" s="608">
        <v>8916.2727272727279</v>
      </c>
      <c r="BE120" s="606">
        <f t="shared" si="39"/>
        <v>8.545379932615578E-2</v>
      </c>
    </row>
    <row r="121" spans="1:57" ht="15" customHeight="1">
      <c r="A121" s="587" t="s">
        <v>201</v>
      </c>
      <c r="B121" s="609" t="s">
        <v>335</v>
      </c>
      <c r="C121" s="196" t="s">
        <v>272</v>
      </c>
      <c r="D121" s="589">
        <f t="shared" si="28"/>
        <v>4.3259777146602577E-2</v>
      </c>
      <c r="E121" s="590">
        <f t="shared" si="51"/>
        <v>3.5177806660558669E-2</v>
      </c>
      <c r="F121" s="591">
        <f t="shared" si="40"/>
        <v>4.9447648015546124E-2</v>
      </c>
      <c r="G121" s="591">
        <f t="shared" si="41"/>
        <v>5.1631610837012031E-2</v>
      </c>
      <c r="H121" s="591">
        <f t="shared" si="29"/>
        <v>4.4974011100343582E-2</v>
      </c>
      <c r="I121" s="591">
        <f t="shared" si="30"/>
        <v>4.1391091060400335E-2</v>
      </c>
      <c r="J121" s="591">
        <f t="shared" si="31"/>
        <v>3.6760695507995725E-2</v>
      </c>
      <c r="K121" s="591">
        <f t="shared" si="32"/>
        <v>3.7075975711802947E-2</v>
      </c>
      <c r="L121" s="591">
        <f t="shared" si="33"/>
        <v>4.517528008673654E-2</v>
      </c>
      <c r="M121" s="591">
        <f t="shared" si="34"/>
        <v>8.6023990084658525E-2</v>
      </c>
      <c r="N121" s="591">
        <f t="shared" si="35"/>
        <v>8.8157040202794718E-2</v>
      </c>
      <c r="O121" s="592">
        <f t="shared" si="36"/>
        <v>8.193585151416477E-2</v>
      </c>
      <c r="P121" s="593">
        <f t="shared" si="37"/>
        <v>7.2881403351705232E-2</v>
      </c>
      <c r="Q121" s="225"/>
      <c r="R121" s="594">
        <v>4577</v>
      </c>
      <c r="S121" s="595">
        <v>198</v>
      </c>
      <c r="T121" s="596">
        <f t="shared" si="26"/>
        <v>4.3259777146602577E-2</v>
      </c>
      <c r="U121" s="597">
        <v>46933</v>
      </c>
      <c r="V121" s="598">
        <v>1651</v>
      </c>
      <c r="W121" s="599">
        <f t="shared" si="27"/>
        <v>3.5177806660558669E-2</v>
      </c>
      <c r="X121" s="597">
        <v>47343</v>
      </c>
      <c r="Y121" s="598">
        <v>2341</v>
      </c>
      <c r="Z121" s="600">
        <f t="shared" si="42"/>
        <v>4.9447648015546124E-2</v>
      </c>
      <c r="AA121" s="597">
        <v>46212</v>
      </c>
      <c r="AB121" s="598">
        <v>2386</v>
      </c>
      <c r="AC121" s="600">
        <f t="shared" si="43"/>
        <v>5.1631610837012031E-2</v>
      </c>
      <c r="AD121" s="597">
        <v>45404</v>
      </c>
      <c r="AE121" s="598">
        <v>2042</v>
      </c>
      <c r="AF121" s="601">
        <f t="shared" si="44"/>
        <v>4.4974011100343582E-2</v>
      </c>
      <c r="AG121" s="597">
        <v>45662</v>
      </c>
      <c r="AH121" s="598">
        <v>1890</v>
      </c>
      <c r="AI121" s="601">
        <f t="shared" si="45"/>
        <v>4.1391091060400335E-2</v>
      </c>
      <c r="AJ121" s="597">
        <v>45837</v>
      </c>
      <c r="AK121" s="598">
        <v>1685</v>
      </c>
      <c r="AL121" s="601">
        <f t="shared" si="46"/>
        <v>3.6760695507995725E-2</v>
      </c>
      <c r="AM121" s="597">
        <v>46607</v>
      </c>
      <c r="AN121" s="598">
        <v>1728</v>
      </c>
      <c r="AO121" s="601">
        <f t="shared" si="47"/>
        <v>3.7075975711802947E-2</v>
      </c>
      <c r="AP121" s="597">
        <v>47039</v>
      </c>
      <c r="AQ121" s="598">
        <v>2125</v>
      </c>
      <c r="AR121" s="601">
        <f t="shared" si="48"/>
        <v>4.517528008673654E-2</v>
      </c>
      <c r="AS121" s="602">
        <v>47603</v>
      </c>
      <c r="AT121" s="598">
        <v>4095</v>
      </c>
      <c r="AU121" s="603">
        <f t="shared" si="49"/>
        <v>8.6023990084658525E-2</v>
      </c>
      <c r="AV121" s="597">
        <v>47733</v>
      </c>
      <c r="AW121" s="598">
        <v>4208</v>
      </c>
      <c r="AX121" s="601">
        <f t="shared" si="50"/>
        <v>8.8157040202794718E-2</v>
      </c>
      <c r="AY121" s="604">
        <v>49136</v>
      </c>
      <c r="AZ121" s="605">
        <v>4026</v>
      </c>
      <c r="BA121" s="606">
        <f t="shared" si="38"/>
        <v>8.193585151416477E-2</v>
      </c>
      <c r="BC121" s="607">
        <v>48740.454545454544</v>
      </c>
      <c r="BD121" s="608">
        <v>3552.2727272727275</v>
      </c>
      <c r="BE121" s="606">
        <f t="shared" si="39"/>
        <v>7.2881403351705232E-2</v>
      </c>
    </row>
    <row r="122" spans="1:57" ht="15" customHeight="1">
      <c r="A122" s="587" t="s">
        <v>223</v>
      </c>
      <c r="B122" s="609" t="s">
        <v>224</v>
      </c>
      <c r="C122" s="196" t="s">
        <v>271</v>
      </c>
      <c r="D122" s="589">
        <f t="shared" si="28"/>
        <v>2.2126996493961822E-2</v>
      </c>
      <c r="E122" s="590">
        <f t="shared" si="51"/>
        <v>3.1067961165048542E-2</v>
      </c>
      <c r="F122" s="591">
        <f>+Z122</f>
        <v>4.2940715276521317E-2</v>
      </c>
      <c r="G122" s="591">
        <f>+AC122</f>
        <v>4.2953902432053957E-2</v>
      </c>
      <c r="H122" s="591">
        <f>+AF122</f>
        <v>4.0826929913314554E-2</v>
      </c>
      <c r="I122" s="591">
        <f>+AI122</f>
        <v>3.9047144841321837E-2</v>
      </c>
      <c r="J122" s="591">
        <f>+AL122</f>
        <v>3.4172299001311413E-2</v>
      </c>
      <c r="K122" s="591">
        <f>+AO122</f>
        <v>3.2367547603004664E-2</v>
      </c>
      <c r="L122" s="591">
        <f>+AR122</f>
        <v>4.0692407511691113E-2</v>
      </c>
      <c r="M122" s="591">
        <f>+AU122</f>
        <v>6.6302518959252849E-2</v>
      </c>
      <c r="N122" s="591">
        <f>+AX122</f>
        <v>7.7090697787032106E-2</v>
      </c>
      <c r="O122" s="592">
        <f t="shared" si="36"/>
        <v>7.1360253808290766E-2</v>
      </c>
      <c r="P122" s="593">
        <f t="shared" si="37"/>
        <v>6.6449676628482057E-2</v>
      </c>
      <c r="Q122" s="225"/>
      <c r="R122" s="594">
        <v>12835</v>
      </c>
      <c r="S122" s="595">
        <v>284</v>
      </c>
      <c r="T122" s="596">
        <f t="shared" si="26"/>
        <v>2.2126996493961822E-2</v>
      </c>
      <c r="U122" s="597">
        <v>30900</v>
      </c>
      <c r="V122" s="598">
        <v>960</v>
      </c>
      <c r="W122" s="599">
        <f>+V122/U122</f>
        <v>3.1067961165048542E-2</v>
      </c>
      <c r="X122" s="597">
        <v>33162</v>
      </c>
      <c r="Y122" s="598">
        <v>1424</v>
      </c>
      <c r="Z122" s="600">
        <f>+Y122/X122</f>
        <v>4.2940715276521317E-2</v>
      </c>
      <c r="AA122" s="597">
        <v>34991</v>
      </c>
      <c r="AB122" s="598">
        <v>1503</v>
      </c>
      <c r="AC122" s="600">
        <f>+AB122/AA122</f>
        <v>4.2953902432053957E-2</v>
      </c>
      <c r="AD122" s="597">
        <v>36569</v>
      </c>
      <c r="AE122" s="598">
        <v>1493</v>
      </c>
      <c r="AF122" s="601">
        <f>+AE122/AD122</f>
        <v>4.0826929913314554E-2</v>
      </c>
      <c r="AG122" s="597">
        <v>38159</v>
      </c>
      <c r="AH122" s="598">
        <v>1490</v>
      </c>
      <c r="AI122" s="601">
        <f>+AH122/AG122</f>
        <v>3.9047144841321837E-2</v>
      </c>
      <c r="AJ122" s="597">
        <v>39652</v>
      </c>
      <c r="AK122" s="598">
        <v>1355</v>
      </c>
      <c r="AL122" s="601">
        <f>+AK122/AJ122</f>
        <v>3.4172299001311413E-2</v>
      </c>
      <c r="AM122" s="597">
        <v>40071</v>
      </c>
      <c r="AN122" s="598">
        <v>1297</v>
      </c>
      <c r="AO122" s="601">
        <f>+AN122/AM122</f>
        <v>3.2367547603004664E-2</v>
      </c>
      <c r="AP122" s="597">
        <v>40843</v>
      </c>
      <c r="AQ122" s="598">
        <v>1662</v>
      </c>
      <c r="AR122" s="601">
        <f>+AQ122/AP122</f>
        <v>4.0692407511691113E-2</v>
      </c>
      <c r="AS122" s="602">
        <v>41009</v>
      </c>
      <c r="AT122" s="598">
        <v>2719</v>
      </c>
      <c r="AU122" s="603">
        <f>+AT122/AS122</f>
        <v>6.6302518959252849E-2</v>
      </c>
      <c r="AV122" s="597">
        <v>41302</v>
      </c>
      <c r="AW122" s="598">
        <v>3184</v>
      </c>
      <c r="AX122" s="601">
        <f>+AW122/AV122</f>
        <v>7.7090697787032106E-2</v>
      </c>
      <c r="AY122" s="604">
        <v>42867</v>
      </c>
      <c r="AZ122" s="605">
        <v>3059</v>
      </c>
      <c r="BA122" s="606">
        <f t="shared" si="38"/>
        <v>7.1360253808290766E-2</v>
      </c>
      <c r="BC122" s="607">
        <v>43012.727272727272</v>
      </c>
      <c r="BD122" s="608">
        <v>2858.181818181818</v>
      </c>
      <c r="BE122" s="606">
        <f t="shared" si="39"/>
        <v>6.6449676628482057E-2</v>
      </c>
    </row>
    <row r="123" spans="1:57" ht="15" customHeight="1">
      <c r="A123" s="587" t="s">
        <v>231</v>
      </c>
      <c r="B123" s="609" t="s">
        <v>232</v>
      </c>
      <c r="C123" s="196" t="s">
        <v>271</v>
      </c>
      <c r="D123" s="589">
        <f t="shared" si="28"/>
        <v>4.1928851784935516E-2</v>
      </c>
      <c r="E123" s="590">
        <f>+W123</f>
        <v>2.8993111870098648E-2</v>
      </c>
      <c r="F123" s="591">
        <f>+Z123</f>
        <v>3.5467989464769333E-2</v>
      </c>
      <c r="G123" s="591">
        <f>+AC123</f>
        <v>3.6399811124405754E-2</v>
      </c>
      <c r="H123" s="591">
        <f>+AF123</f>
        <v>3.4220118106840849E-2</v>
      </c>
      <c r="I123" s="591">
        <f>+AI123</f>
        <v>3.2903028338914696E-2</v>
      </c>
      <c r="J123" s="591">
        <f>+AL123</f>
        <v>2.8651884085221447E-2</v>
      </c>
      <c r="K123" s="591">
        <f>+AO123</f>
        <v>2.707180106078352E-2</v>
      </c>
      <c r="L123" s="591">
        <f>+AR123</f>
        <v>3.6145165506577287E-2</v>
      </c>
      <c r="M123" s="591">
        <f>+AU123</f>
        <v>5.9317796666415935E-2</v>
      </c>
      <c r="N123" s="591">
        <f>+AX123</f>
        <v>6.3616598922393422E-2</v>
      </c>
      <c r="O123" s="592">
        <f t="shared" si="36"/>
        <v>5.967241222544066E-2</v>
      </c>
      <c r="P123" s="593">
        <f t="shared" si="37"/>
        <v>5.5458458287000356E-2</v>
      </c>
      <c r="Q123" s="225"/>
      <c r="R123" s="594">
        <v>16051</v>
      </c>
      <c r="S123" s="595">
        <v>673</v>
      </c>
      <c r="T123" s="596">
        <f t="shared" si="26"/>
        <v>4.1928851784935516E-2</v>
      </c>
      <c r="U123" s="597">
        <v>209636</v>
      </c>
      <c r="V123" s="598">
        <v>6078</v>
      </c>
      <c r="W123" s="599">
        <f>+V123/U123</f>
        <v>2.8993111870098648E-2</v>
      </c>
      <c r="X123" s="597">
        <v>214898</v>
      </c>
      <c r="Y123" s="598">
        <v>7622</v>
      </c>
      <c r="Z123" s="600">
        <f>+Y123/X123</f>
        <v>3.5467989464769333E-2</v>
      </c>
      <c r="AA123" s="597">
        <v>218133</v>
      </c>
      <c r="AB123" s="598">
        <v>7940</v>
      </c>
      <c r="AC123" s="600">
        <f>+AB123/AA123</f>
        <v>3.6399811124405754E-2</v>
      </c>
      <c r="AD123" s="597">
        <v>220309</v>
      </c>
      <c r="AE123" s="598">
        <v>7539</v>
      </c>
      <c r="AF123" s="601">
        <f>+AE123/AD123</f>
        <v>3.4220118106840849E-2</v>
      </c>
      <c r="AG123" s="597">
        <v>222168</v>
      </c>
      <c r="AH123" s="598">
        <v>7310</v>
      </c>
      <c r="AI123" s="601">
        <f>+AH123/AG123</f>
        <v>3.2903028338914696E-2</v>
      </c>
      <c r="AJ123" s="597">
        <v>223371</v>
      </c>
      <c r="AK123" s="598">
        <v>6400</v>
      </c>
      <c r="AL123" s="601">
        <f>+AK123/AJ123</f>
        <v>2.8651884085221447E-2</v>
      </c>
      <c r="AM123" s="597">
        <v>224551</v>
      </c>
      <c r="AN123" s="598">
        <v>6079</v>
      </c>
      <c r="AO123" s="601">
        <f>+AN123/AM123</f>
        <v>2.707180106078352E-2</v>
      </c>
      <c r="AP123" s="597">
        <v>225701</v>
      </c>
      <c r="AQ123" s="598">
        <v>8158</v>
      </c>
      <c r="AR123" s="601">
        <f>+AQ123/AP123</f>
        <v>3.6145165506577287E-2</v>
      </c>
      <c r="AS123" s="602">
        <v>226003</v>
      </c>
      <c r="AT123" s="598">
        <v>13406</v>
      </c>
      <c r="AU123" s="603">
        <f>+AT123/AS123</f>
        <v>5.9317796666415935E-2</v>
      </c>
      <c r="AV123" s="597">
        <v>222159</v>
      </c>
      <c r="AW123" s="598">
        <v>14133</v>
      </c>
      <c r="AX123" s="601">
        <f>+AW123/AV123</f>
        <v>6.3616598922393422E-2</v>
      </c>
      <c r="AY123" s="604">
        <v>230961</v>
      </c>
      <c r="AZ123" s="605">
        <v>13782</v>
      </c>
      <c r="BA123" s="606">
        <f t="shared" si="38"/>
        <v>5.967241222544066E-2</v>
      </c>
      <c r="BC123" s="607">
        <v>231934.45454545456</v>
      </c>
      <c r="BD123" s="608">
        <v>12862.727272727272</v>
      </c>
      <c r="BE123" s="606">
        <f t="shared" si="39"/>
        <v>5.5458458287000356E-2</v>
      </c>
    </row>
    <row r="124" spans="1:57" ht="15" customHeight="1">
      <c r="A124" s="587" t="s">
        <v>239</v>
      </c>
      <c r="B124" s="609" t="s">
        <v>240</v>
      </c>
      <c r="C124" s="196" t="s">
        <v>271</v>
      </c>
      <c r="D124" s="589">
        <f t="shared" si="28"/>
        <v>4.3058121358533465E-2</v>
      </c>
      <c r="E124" s="590">
        <f>+W124</f>
        <v>5.6737588652482268E-2</v>
      </c>
      <c r="F124" s="591">
        <f>+Z124</f>
        <v>7.2164948453608241E-2</v>
      </c>
      <c r="G124" s="591">
        <f>+AC124</f>
        <v>7.9836453625995271E-2</v>
      </c>
      <c r="H124" s="591">
        <f>+AF124</f>
        <v>7.4962518740629688E-2</v>
      </c>
      <c r="I124" s="591">
        <f>+AI124</f>
        <v>7.1220930232558141E-2</v>
      </c>
      <c r="J124" s="591">
        <f>+AL124</f>
        <v>5.7791537667698657E-2</v>
      </c>
      <c r="K124" s="591">
        <f>+AO124</f>
        <v>5.5199222546161324E-2</v>
      </c>
      <c r="L124" s="591">
        <f>+AR124</f>
        <v>8.5601651961704522E-2</v>
      </c>
      <c r="M124" s="591">
        <f>+AU124</f>
        <v>0.1481746599856836</v>
      </c>
      <c r="N124" s="591">
        <f>+AX124</f>
        <v>0.15182872435325603</v>
      </c>
      <c r="O124" s="592">
        <f t="shared" si="36"/>
        <v>0.13953120050681025</v>
      </c>
      <c r="P124" s="593">
        <f t="shared" si="37"/>
        <v>0.13330074615063905</v>
      </c>
      <c r="Q124" s="225"/>
      <c r="R124" s="594">
        <v>14074</v>
      </c>
      <c r="S124" s="595">
        <v>606</v>
      </c>
      <c r="T124" s="596">
        <f t="shared" si="26"/>
        <v>4.3058121358533465E-2</v>
      </c>
      <c r="U124" s="597">
        <v>4653</v>
      </c>
      <c r="V124" s="598">
        <v>264</v>
      </c>
      <c r="W124" s="599">
        <f>+V124/U124</f>
        <v>5.6737588652482268E-2</v>
      </c>
      <c r="X124" s="597">
        <v>4656</v>
      </c>
      <c r="Y124" s="598">
        <v>336</v>
      </c>
      <c r="Z124" s="600">
        <f>+Y124/X124</f>
        <v>7.2164948453608241E-2</v>
      </c>
      <c r="AA124" s="597">
        <v>4647</v>
      </c>
      <c r="AB124" s="598">
        <v>371</v>
      </c>
      <c r="AC124" s="600">
        <f>+AB124/AA124</f>
        <v>7.9836453625995271E-2</v>
      </c>
      <c r="AD124" s="597">
        <v>4669</v>
      </c>
      <c r="AE124" s="598">
        <v>350</v>
      </c>
      <c r="AF124" s="601">
        <f>+AE124/AD124</f>
        <v>7.4962518740629688E-2</v>
      </c>
      <c r="AG124" s="597">
        <v>4816</v>
      </c>
      <c r="AH124" s="598">
        <v>343</v>
      </c>
      <c r="AI124" s="601">
        <f>+AH124/AG124</f>
        <v>7.1220930232558141E-2</v>
      </c>
      <c r="AJ124" s="597">
        <v>4845</v>
      </c>
      <c r="AK124" s="598">
        <v>280</v>
      </c>
      <c r="AL124" s="601">
        <f>+AK124/AJ124</f>
        <v>5.7791537667698657E-2</v>
      </c>
      <c r="AM124" s="597">
        <v>5145</v>
      </c>
      <c r="AN124" s="598">
        <v>284</v>
      </c>
      <c r="AO124" s="601">
        <f>+AN124/AM124</f>
        <v>5.5199222546161324E-2</v>
      </c>
      <c r="AP124" s="597">
        <v>5327</v>
      </c>
      <c r="AQ124" s="598">
        <v>456</v>
      </c>
      <c r="AR124" s="601">
        <f>+AQ124/AP124</f>
        <v>8.5601651961704522E-2</v>
      </c>
      <c r="AS124" s="602">
        <v>5588</v>
      </c>
      <c r="AT124" s="598">
        <v>828</v>
      </c>
      <c r="AU124" s="603">
        <f>+AT124/AS124</f>
        <v>0.1481746599856836</v>
      </c>
      <c r="AV124" s="597">
        <v>5605</v>
      </c>
      <c r="AW124" s="598">
        <v>851</v>
      </c>
      <c r="AX124" s="601">
        <f>+AW124/AV124</f>
        <v>0.15182872435325603</v>
      </c>
      <c r="AY124" s="604">
        <v>6314</v>
      </c>
      <c r="AZ124" s="605">
        <v>881</v>
      </c>
      <c r="BA124" s="606">
        <f t="shared" si="38"/>
        <v>0.13953120050681025</v>
      </c>
      <c r="BC124" s="607">
        <v>6323.363636363636</v>
      </c>
      <c r="BD124" s="608">
        <v>842.90909090909088</v>
      </c>
      <c r="BE124" s="606">
        <f t="shared" si="39"/>
        <v>0.13330074615063905</v>
      </c>
    </row>
    <row r="125" spans="1:57" ht="15" customHeight="1">
      <c r="A125" s="619" t="s">
        <v>241</v>
      </c>
      <c r="B125" s="620" t="s">
        <v>242</v>
      </c>
      <c r="C125" s="621" t="s">
        <v>274</v>
      </c>
      <c r="D125" s="622">
        <f t="shared" si="28"/>
        <v>1.9172770357604479E-2</v>
      </c>
      <c r="E125" s="623">
        <f>+W125</f>
        <v>3.1923873839306269E-2</v>
      </c>
      <c r="F125" s="624">
        <f>+Z125</f>
        <v>3.9435138586344176E-2</v>
      </c>
      <c r="G125" s="624">
        <f>+AC125</f>
        <v>3.6653091447611995E-2</v>
      </c>
      <c r="H125" s="624">
        <f>+AF125</f>
        <v>3.2050354507307192E-2</v>
      </c>
      <c r="I125" s="624">
        <f>+AI125</f>
        <v>3.0556356298645143E-2</v>
      </c>
      <c r="J125" s="624">
        <f>+AL125</f>
        <v>2.8687094297480283E-2</v>
      </c>
      <c r="K125" s="624">
        <f>+AO125</f>
        <v>3.1607402786442085E-2</v>
      </c>
      <c r="L125" s="624">
        <f>+AR125</f>
        <v>4.5381666085744163E-2</v>
      </c>
      <c r="M125" s="624">
        <f>+AU125</f>
        <v>8.0138888888888885E-2</v>
      </c>
      <c r="N125" s="624">
        <f>+AX125</f>
        <v>7.2318339100346019E-2</v>
      </c>
      <c r="O125" s="625">
        <f t="shared" si="36"/>
        <v>7.6724430852871214E-2</v>
      </c>
      <c r="P125" s="626">
        <f t="shared" si="37"/>
        <v>6.7523736875724827E-2</v>
      </c>
      <c r="Q125" s="225"/>
      <c r="R125" s="594">
        <v>32494</v>
      </c>
      <c r="S125" s="595">
        <v>623</v>
      </c>
      <c r="T125" s="596">
        <f t="shared" si="26"/>
        <v>1.9172770357604479E-2</v>
      </c>
      <c r="U125" s="597">
        <v>13031</v>
      </c>
      <c r="V125" s="598">
        <v>416</v>
      </c>
      <c r="W125" s="599">
        <f>+V125/U125</f>
        <v>3.1923873839306269E-2</v>
      </c>
      <c r="X125" s="597">
        <v>13313</v>
      </c>
      <c r="Y125" s="598">
        <v>525</v>
      </c>
      <c r="Z125" s="600">
        <f>+Y125/X125</f>
        <v>3.9435138586344176E-2</v>
      </c>
      <c r="AA125" s="597">
        <v>13505</v>
      </c>
      <c r="AB125" s="598">
        <v>495</v>
      </c>
      <c r="AC125" s="600">
        <f>+AB125/AA125</f>
        <v>3.6653091447611995E-2</v>
      </c>
      <c r="AD125" s="597">
        <v>13822</v>
      </c>
      <c r="AE125" s="598">
        <v>443</v>
      </c>
      <c r="AF125" s="601">
        <f>+AE125/AD125</f>
        <v>3.2050354507307192E-2</v>
      </c>
      <c r="AG125" s="597">
        <v>13876</v>
      </c>
      <c r="AH125" s="598">
        <v>424</v>
      </c>
      <c r="AI125" s="601">
        <f>+AH125/AG125</f>
        <v>3.0556356298645143E-2</v>
      </c>
      <c r="AJ125" s="597">
        <v>14327</v>
      </c>
      <c r="AK125" s="598">
        <v>411</v>
      </c>
      <c r="AL125" s="601">
        <f>+AK125/AJ125</f>
        <v>2.8687094297480283E-2</v>
      </c>
      <c r="AM125" s="597">
        <v>14427</v>
      </c>
      <c r="AN125" s="598">
        <v>456</v>
      </c>
      <c r="AO125" s="601">
        <f>+AN125/AM125</f>
        <v>3.1607402786442085E-2</v>
      </c>
      <c r="AP125" s="597">
        <v>14345</v>
      </c>
      <c r="AQ125" s="598">
        <v>651</v>
      </c>
      <c r="AR125" s="601">
        <f>+AQ125/AP125</f>
        <v>4.5381666085744163E-2</v>
      </c>
      <c r="AS125" s="602">
        <v>14400</v>
      </c>
      <c r="AT125" s="598">
        <v>1154</v>
      </c>
      <c r="AU125" s="603">
        <f>+AT125/AS125</f>
        <v>8.0138888888888885E-2</v>
      </c>
      <c r="AV125" s="597">
        <v>14450</v>
      </c>
      <c r="AW125" s="598">
        <v>1045</v>
      </c>
      <c r="AX125" s="601">
        <f>+AW125/AV125</f>
        <v>7.2318339100346019E-2</v>
      </c>
      <c r="AY125" s="604">
        <v>14715</v>
      </c>
      <c r="AZ125" s="605">
        <v>1129</v>
      </c>
      <c r="BA125" s="606">
        <f t="shared" si="38"/>
        <v>7.6724430852871214E-2</v>
      </c>
      <c r="BC125" s="607">
        <v>14658.818181818182</v>
      </c>
      <c r="BD125" s="608">
        <v>989.81818181818187</v>
      </c>
      <c r="BE125" s="606">
        <f t="shared" si="39"/>
        <v>6.7523736875724827E-2</v>
      </c>
    </row>
    <row r="126" spans="1:57" ht="15" customHeight="1">
      <c r="A126" s="587"/>
      <c r="B126" s="627"/>
      <c r="C126" s="196"/>
      <c r="D126" s="196"/>
      <c r="E126" s="628"/>
      <c r="F126" s="628"/>
      <c r="G126" s="628"/>
      <c r="H126" s="628"/>
      <c r="I126" s="628"/>
      <c r="J126" s="628"/>
      <c r="K126" s="628"/>
      <c r="L126" s="628"/>
      <c r="M126" s="628"/>
      <c r="N126" s="628"/>
      <c r="O126" s="193"/>
      <c r="P126" s="193"/>
      <c r="Q126" s="196"/>
      <c r="R126" s="196"/>
      <c r="S126" s="196"/>
      <c r="T126" s="196"/>
      <c r="U126" s="629"/>
      <c r="V126" s="629"/>
      <c r="W126" s="630"/>
      <c r="X126" s="629"/>
      <c r="Y126" s="629"/>
      <c r="Z126" s="630"/>
      <c r="AA126" s="629"/>
      <c r="AB126" s="629"/>
      <c r="AC126" s="630"/>
      <c r="AD126" s="629"/>
      <c r="AE126" s="629"/>
      <c r="AF126" s="631"/>
      <c r="AG126" s="629"/>
      <c r="AH126" s="629"/>
      <c r="AI126" s="631"/>
      <c r="AJ126" s="629"/>
      <c r="AK126" s="629"/>
      <c r="AL126" s="631"/>
      <c r="AM126" s="629"/>
      <c r="AN126" s="629"/>
      <c r="AO126" s="631"/>
      <c r="AP126" s="629"/>
      <c r="AQ126" s="629"/>
      <c r="AR126" s="631"/>
      <c r="AS126" s="629"/>
      <c r="AT126" s="629"/>
      <c r="AU126" s="631"/>
      <c r="AV126" s="629"/>
      <c r="AW126" s="629"/>
      <c r="AX126" s="631"/>
      <c r="AY126" s="632"/>
      <c r="AZ126" s="632"/>
      <c r="BA126" s="633"/>
    </row>
    <row r="127" spans="1:57" ht="15" customHeight="1">
      <c r="A127" s="634" t="s">
        <v>970</v>
      </c>
      <c r="B127" s="627"/>
      <c r="C127" s="196"/>
      <c r="D127" s="196"/>
      <c r="E127" s="628"/>
      <c r="F127" s="628"/>
      <c r="G127" s="628"/>
      <c r="H127" s="628"/>
      <c r="I127" s="628"/>
      <c r="J127" s="628"/>
      <c r="K127" s="628"/>
      <c r="L127" s="628"/>
      <c r="M127" s="628"/>
      <c r="N127" s="628"/>
      <c r="O127" s="193"/>
      <c r="P127" s="193"/>
      <c r="Q127" s="196"/>
      <c r="R127" s="196"/>
      <c r="S127" s="196"/>
      <c r="T127" s="196"/>
      <c r="U127" s="629"/>
      <c r="V127" s="629"/>
      <c r="W127" s="630"/>
      <c r="X127" s="629"/>
      <c r="Y127" s="629"/>
      <c r="Z127" s="630"/>
      <c r="AA127" s="629"/>
      <c r="AB127" s="629"/>
      <c r="AC127" s="630"/>
      <c r="AD127" s="629"/>
      <c r="AE127" s="629"/>
      <c r="AF127" s="631"/>
      <c r="AG127" s="629"/>
      <c r="AH127" s="629"/>
      <c r="AI127" s="631"/>
      <c r="AJ127" s="629"/>
      <c r="AK127" s="629"/>
      <c r="AL127" s="631"/>
      <c r="AM127" s="629"/>
      <c r="AN127" s="629"/>
      <c r="AO127" s="631"/>
      <c r="AP127" s="629"/>
      <c r="AQ127" s="629"/>
      <c r="AR127" s="631"/>
      <c r="AS127" s="629"/>
      <c r="AT127" s="629"/>
      <c r="AU127" s="631"/>
      <c r="AV127" s="629"/>
      <c r="AW127" s="629"/>
      <c r="AX127" s="631"/>
      <c r="AY127" s="632"/>
      <c r="AZ127" s="632"/>
      <c r="BA127" s="633"/>
    </row>
    <row r="128" spans="1:57" ht="15" customHeight="1">
      <c r="A128" s="956" t="s">
        <v>273</v>
      </c>
      <c r="B128" s="627"/>
      <c r="C128" s="196"/>
      <c r="D128" s="636">
        <f>T128</f>
        <v>2.4187364469131254E-2</v>
      </c>
      <c r="E128" s="591">
        <f>+W128</f>
        <v>3.2030303940112692E-2</v>
      </c>
      <c r="F128" s="591">
        <f>+Z128</f>
        <v>4.1583848194965287E-2</v>
      </c>
      <c r="G128" s="591">
        <f>+AC128</f>
        <v>4.2394399201353336E-2</v>
      </c>
      <c r="H128" s="591">
        <f>+AF128</f>
        <v>3.9432360308648967E-2</v>
      </c>
      <c r="I128" s="591">
        <f>+AI128</f>
        <v>3.7926719955073587E-2</v>
      </c>
      <c r="J128" s="591">
        <f>+AL128</f>
        <v>3.229571925601453E-2</v>
      </c>
      <c r="K128" s="591">
        <f>+AO128</f>
        <v>3.1367817376084607E-2</v>
      </c>
      <c r="L128" s="591">
        <f>+AR128</f>
        <v>4.2340755447984435E-2</v>
      </c>
      <c r="M128" s="591">
        <f>+AU128</f>
        <v>7.5104926642274708E-2</v>
      </c>
      <c r="N128" s="591">
        <f>+AX128</f>
        <v>7.7767038554782425E-2</v>
      </c>
      <c r="O128" s="592">
        <f>+BA128</f>
        <v>7.0244042198904469E-2</v>
      </c>
      <c r="P128" s="637">
        <f>BE128</f>
        <v>6.3774979598272136E-2</v>
      </c>
      <c r="Q128" s="196"/>
      <c r="R128" s="638">
        <f>R9+R20+R22+R24+R26+R30+R33+R37+R42+R47+R48+R53+R55+R56+R60+R64+R67+R69+R70+R75+R76+R81+R97+R110+R117+R120</f>
        <v>727694</v>
      </c>
      <c r="S128" s="605">
        <f>S9+S20+S22+S24+S26+S30+S33+S37+S42+S47+S48+S53+S55+S56+S60+S64+S67+S69+S70+S75+S76+S81+S97+S110+S117+S120</f>
        <v>17601</v>
      </c>
      <c r="T128" s="639">
        <f>+S128/R128</f>
        <v>2.4187364469131254E-2</v>
      </c>
      <c r="U128" s="638">
        <f>U9+U20+U22+U24+U26+U30+U33+U37+U42+U47+U48+U53+U55+U56+U60+U64+U67+U69+U70+U75+U76+U81+U97+U110+U117+U120</f>
        <v>599526</v>
      </c>
      <c r="V128" s="605">
        <f>V9+V20+V22+V24+V26+V30+V33+V37+V42+V47+V48+V53+V55+V56+V60+V64+V67+V69+V70+V75+V76+V81+V97+V110+V117+V120</f>
        <v>19203</v>
      </c>
      <c r="W128" s="639">
        <f>+V128/U128</f>
        <v>3.2030303940112692E-2</v>
      </c>
      <c r="X128" s="638">
        <f>X9+X20+X22+X24+X26+X30+X33+X37+X42+X47+X48+X53+X55+X56+X60+X64+X67+X69+X70+X75+X76+X81+X97+X110+X117+X120</f>
        <v>612786</v>
      </c>
      <c r="Y128" s="605">
        <f>Y9+Y20+Y22+Y24+Y26+Y30+Y33+Y37+Y42+Y47+Y48+Y53+Y55+Y56+Y60+Y64+Y67+Y69+Y70+Y75+Y76+Y81+Y97+Y110+Y117+Y120</f>
        <v>25482</v>
      </c>
      <c r="Z128" s="639">
        <f>+Y128/X128</f>
        <v>4.1583848194965287E-2</v>
      </c>
      <c r="AA128" s="638">
        <f>AA9+AA20+AA22+AA24+AA26+AA30+AA33+AA37+AA42+AA47+AA48+AA53+AA55+AA56+AA60+AA64+AA67+AA69+AA70+AA75+AA76+AA81+AA97+AA110+AA117+AA120</f>
        <v>623054</v>
      </c>
      <c r="AB128" s="605">
        <f>AB9+AB20+AB22+AB24+AB26+AB30+AB33+AB37+AB42+AB47+AB48+AB53+AB55+AB56+AB60+AB64+AB67+AB69+AB70+AB75+AB76+AB81+AB97+AB110+AB117+AB120</f>
        <v>26414</v>
      </c>
      <c r="AC128" s="639">
        <f>+AB128/AA128</f>
        <v>4.2394399201353336E-2</v>
      </c>
      <c r="AD128" s="638">
        <f>AD9+AD20+AD22+AD24+AD26+AD30+AD33+AD37+AD42+AD47+AD48+AD53+AD55+AD56+AD60+AD64+AD67+AD69+AD70+AD75+AD76+AD81+AD97+AD110+AD117+AD120</f>
        <v>635544</v>
      </c>
      <c r="AE128" s="605">
        <f>AE9+AE20+AE22+AE24+AE26+AE30+AE33+AE37+AE42+AE47+AE48+AE53+AE55+AE56+AE60+AE64+AE67+AE69+AE70+AE75+AE76+AE81+AE97+AE110+AE117+AE120</f>
        <v>25061</v>
      </c>
      <c r="AF128" s="640">
        <f>+AE128/AD128</f>
        <v>3.9432360308648967E-2</v>
      </c>
      <c r="AG128" s="638">
        <f>AG9+AG20+AG22+AG24+AG26+AG30+AG33+AG37+AG42+AG47+AG48+AG53+AG55+AG56+AG60+AG64+AG67+AG69+AG70+AG75+AG76+AG81+AG97+AG110+AG117+AG120</f>
        <v>648171</v>
      </c>
      <c r="AH128" s="605">
        <f>AH9+AH20+AH22+AH24+AH26+AH30+AH33+AH37+AH42+AH47+AH48+AH53+AH55+AH56+AH60+AH64+AH67+AH69+AH70+AH75+AH76+AH81+AH97+AH110+AH117+AH120</f>
        <v>24583</v>
      </c>
      <c r="AI128" s="640">
        <f>+AH128/AG128</f>
        <v>3.7926719955073587E-2</v>
      </c>
      <c r="AJ128" s="638">
        <f>AJ9+AJ20+AJ22+AJ24+AJ26+AJ30+AJ33+AJ37+AJ42+AJ47+AJ48+AJ53+AJ55+AJ56+AJ60+AJ64+AJ67+AJ69+AJ70+AJ75+AJ76+AJ81+AJ97+AJ110+AJ117+AJ120</f>
        <v>661357</v>
      </c>
      <c r="AK128" s="605">
        <f>AK9+AK20+AK22+AK24+AK26+AK30+AK33+AK37+AK42+AK47+AK48+AK53+AK55+AK56+AK60+AK64+AK67+AK69+AK70+AK75+AK76+AK81+AK97+AK110+AK117+AK120</f>
        <v>21359</v>
      </c>
      <c r="AL128" s="640">
        <f>+AK128/AJ128</f>
        <v>3.229571925601453E-2</v>
      </c>
      <c r="AM128" s="638">
        <f>AM9+AM20+AM22+AM24+AM26+AM30+AM33+AM37+AM42+AM47+AM48+AM53+AM55+AM56+AM60+AM64+AM67+AM69+AM70+AM75+AM76+AM81+AM97+AM110+AM117+AM120</f>
        <v>671325</v>
      </c>
      <c r="AN128" s="605">
        <f>AN9+AN20+AN22+AN24+AN26+AN30+AN33+AN37+AN42+AN47+AN48+AN53+AN55+AN56+AN60+AN64+AN67+AN69+AN70+AN75+AN76+AN81+AN97+AN110+AN117+AN120</f>
        <v>21058</v>
      </c>
      <c r="AO128" s="640">
        <f>+AN128/AM128</f>
        <v>3.1367817376084607E-2</v>
      </c>
      <c r="AP128" s="638">
        <f>AP9+AP20+AP22+AP24+AP26+AP30+AP33+AP37+AP42+AP47+AP48+AP53+AP55+AP56+AP60+AP64+AP67+AP69+AP70+AP75+AP76+AP81+AP97+AP110+AP117+AP120</f>
        <v>682959</v>
      </c>
      <c r="AQ128" s="605">
        <f>AQ9+AQ20+AQ22+AQ24+AQ26+AQ30+AQ33+AQ37+AQ42+AQ47+AQ48+AQ53+AQ55+AQ56+AQ60+AQ64+AQ67+AQ69+AQ70+AQ75+AQ76+AQ81+AQ97+AQ110+AQ117+AQ120</f>
        <v>28917</v>
      </c>
      <c r="AR128" s="640">
        <f>+AQ128/AP128</f>
        <v>4.2340755447984435E-2</v>
      </c>
      <c r="AS128" s="638">
        <f>AS9+AS20+AS22+AS24+AS26+AS30+AS33+AS37+AS42+AS47+AS48+AS53+AS55+AS56+AS60+AS64+AS67+AS69+AS70+AS75+AS76+AS81+AS97+AS110+AS117+AS120</f>
        <v>687385</v>
      </c>
      <c r="AT128" s="605">
        <f>AT9+AT20+AT22+AT24+AT26+AT30+AT33+AT37+AT42+AT47+AT48+AT53+AT55+AT56+AT60+AT64+AT67+AT69+AT70+AT75+AT76+AT81+AT97+AT110+AT117+AT120</f>
        <v>51626</v>
      </c>
      <c r="AU128" s="640">
        <f>+AT128/AS128</f>
        <v>7.5104926642274708E-2</v>
      </c>
      <c r="AV128" s="638">
        <f>AV9+AV20+AV22+AV24+AV26+AV30+AV33+AV37+AV42+AV47+AV48+AV53+AV55+AV56+AV60+AV64+AV67+AV69+AV70+AV75+AV76+AV81+AV97+AV110+AV117+AV120</f>
        <v>685959</v>
      </c>
      <c r="AW128" s="605">
        <f>AW9+AW20+AW22+AW24+AW26+AW30+AW33+AW37+AW42+AW47+AW48+AW53+AW55+AW56+AW60+AW64+AW67+AW69+AW70+AW75+AW76+AW81+AW97+AW110+AW117+AW120</f>
        <v>53345</v>
      </c>
      <c r="AX128" s="640">
        <f>+AW128/AV128</f>
        <v>7.7767038554782425E-2</v>
      </c>
      <c r="AY128" s="638">
        <f>AY9+AY20+AY22+AY24+AY26+AY30+AY33+AY37+AY42+AY47+AY48+AY53+AY55+AY56+AY60+AY64+AY67+AY69+AY70+AY75+AY76+AY81+AY97+AY110+AY117+AY120</f>
        <v>705042</v>
      </c>
      <c r="AZ128" s="605">
        <f>AZ9+AZ20+AZ22+AZ24+AZ26+AZ30+AZ33+AZ37+AZ42+AZ47+AZ48+AZ53+AZ55+AZ56+AZ60+AZ64+AZ67+AZ69+AZ70+AZ75+AZ76+AZ81+AZ97+AZ110+AZ117+AZ120</f>
        <v>49525</v>
      </c>
      <c r="BA128" s="606">
        <f>+AZ128/AY128</f>
        <v>7.0244042198904469E-2</v>
      </c>
      <c r="BC128" s="638">
        <f>BC9+BC20+BC22+BC24+BC26+BC30+BC33+BC37+BC42+BC47+BC48+BC53+BC55+BC56+BC60+BC64+BC67+BC69+BC70+BC75+BC76+BC81+BC97+BC110+BC117+BC120</f>
        <v>708050.54545454541</v>
      </c>
      <c r="BD128" s="605">
        <f>BD9+BD20+BD22+BD24+BD26+BD30+BD33+BD37+BD42+BD47+BD48+BD53+BD55+BD56+BD60+BD64+BD67+BD69+BD70+BD75+BD76+BD81+BD97+BD110+BD117+BD120</f>
        <v>45155.909090909096</v>
      </c>
      <c r="BE128" s="606">
        <f>BD128/BC128</f>
        <v>6.3774979598272136E-2</v>
      </c>
    </row>
    <row r="129" spans="1:57" ht="15" customHeight="1">
      <c r="A129" s="956" t="s">
        <v>271</v>
      </c>
      <c r="B129" s="627"/>
      <c r="C129" s="196"/>
      <c r="D129" s="636">
        <f>T129</f>
        <v>2.56922822193415E-2</v>
      </c>
      <c r="E129" s="591">
        <f>+W129</f>
        <v>3.321706618825393E-2</v>
      </c>
      <c r="F129" s="591">
        <f>+Z129</f>
        <v>4.1534323678387962E-2</v>
      </c>
      <c r="G129" s="591">
        <f>+AC129</f>
        <v>4.2791271264473518E-2</v>
      </c>
      <c r="H129" s="591">
        <f>+AF129</f>
        <v>4.0761272067991045E-2</v>
      </c>
      <c r="I129" s="591">
        <f>+AI129</f>
        <v>3.9691743237594244E-2</v>
      </c>
      <c r="J129" s="591">
        <f>+AL129</f>
        <v>3.3628348843968522E-2</v>
      </c>
      <c r="K129" s="591">
        <f>+AO129</f>
        <v>3.2376821315781776E-2</v>
      </c>
      <c r="L129" s="591">
        <f>+AR129</f>
        <v>4.2488461680059708E-2</v>
      </c>
      <c r="M129" s="591">
        <f>+AU129</f>
        <v>6.944114677524936E-2</v>
      </c>
      <c r="N129" s="591">
        <f>+AX129</f>
        <v>7.5137886814361357E-2</v>
      </c>
      <c r="O129" s="592">
        <f>+BA129</f>
        <v>7.080273321772787E-2</v>
      </c>
      <c r="P129" s="637">
        <f>BE129</f>
        <v>6.5356209794466685E-2</v>
      </c>
      <c r="Q129" s="196"/>
      <c r="R129" s="638">
        <f>R6+R18+R32+R41+R45+R51+R52+R62+R68+R77+R89+R92+R93+R100+R104+R106+R109+R114+R115+R118+R122+R123+R124</f>
        <v>495246</v>
      </c>
      <c r="S129" s="605">
        <f>S6+S18+S32+S41+S45+S51+S52+S62+S68+S77+S89+S92+S93+S100+S104+S106+S109+S114+S115+S118+S122+S123+S124</f>
        <v>12724</v>
      </c>
      <c r="T129" s="639">
        <f>+S129/R129</f>
        <v>2.56922822193415E-2</v>
      </c>
      <c r="U129" s="638">
        <f>U6+U18+U32+U41+U45+U51+U52+U62+U68+U77+U89+U92+U93+U100+U104+U106+U109+U114+U115+U118+U122+U123+U124</f>
        <v>809343</v>
      </c>
      <c r="V129" s="605">
        <f>V6+V18+V32+V41+V45+V51+V52+V62+V68+V77+V89+V92+V93+V100+V104+V106+V109+V114+V115+V118+V122+V123+V124</f>
        <v>26884</v>
      </c>
      <c r="W129" s="639">
        <f>+V129/U129</f>
        <v>3.321706618825393E-2</v>
      </c>
      <c r="X129" s="638">
        <f>X6+X18+X32+X41+X45+X51+X52+X62+X68+X77+X89+X92+X93+X100+X104+X106+X109+X114+X115+X118+X122+X123+X124</f>
        <v>834322</v>
      </c>
      <c r="Y129" s="605">
        <f>Y6+Y18+Y32+Y41+Y45+Y51+Y52+Y62+Y68+Y77+Y89+Y92+Y93+Y100+Y104+Y106+Y109+Y114+Y115+Y118+Y122+Y123+Y124</f>
        <v>34653</v>
      </c>
      <c r="Z129" s="639">
        <f>+Y129/X129</f>
        <v>4.1534323678387962E-2</v>
      </c>
      <c r="AA129" s="638">
        <f>AA6+AA18+AA32+AA41+AA45+AA51+AA52+AA62+AA68+AA77+AA89+AA92+AA93+AA100+AA104+AA106+AA109+AA114+AA115+AA118+AA122+AA123+AA124</f>
        <v>848187</v>
      </c>
      <c r="AB129" s="605">
        <f>AB6+AB18+AB32+AB41+AB45+AB51+AB52+AB62+AB68+AB77+AB89+AB92+AB93+AB100+AB104+AB106+AB109+AB114+AB115+AB118+AB122+AB123+AB124</f>
        <v>36295</v>
      </c>
      <c r="AC129" s="639">
        <f>+AB129/AA129</f>
        <v>4.2791271264473518E-2</v>
      </c>
      <c r="AD129" s="638">
        <f>AD6+AD18+AD32+AD41+AD45+AD51+AD52+AD62+AD68+AD77+AD89+AD92+AD93+AD100+AD104+AD106+AD109+AD114+AD115+AD118+AD122+AD123+AD124</f>
        <v>857407</v>
      </c>
      <c r="AE129" s="605">
        <f>AE6+AE18+AE32+AE41+AE45+AE51+AE52+AE62+AE68+AE77+AE89+AE92+AE93+AE100+AE104+AE106+AE109+AE114+AE115+AE118+AE122+AE123+AE124</f>
        <v>34949</v>
      </c>
      <c r="AF129" s="640">
        <f>+AE129/AD129</f>
        <v>4.0761272067991045E-2</v>
      </c>
      <c r="AG129" s="638">
        <f>AG6+AG18+AG32+AG41+AG45+AG51+AG52+AG62+AG68+AG77+AG89+AG92+AG93+AG100+AG104+AG106+AG109+AG114+AG115+AG118+AG122+AG123+AG124</f>
        <v>868367</v>
      </c>
      <c r="AH129" s="605">
        <f>AH6+AH18+AH32+AH41+AH45+AH51+AH52+AH62+AH68+AH77+AH89+AH92+AH93+AH100+AH104+AH106+AH109+AH114+AH115+AH118+AH122+AH123+AH124</f>
        <v>34467</v>
      </c>
      <c r="AI129" s="640">
        <f>+AH129/AG129</f>
        <v>3.9691743237594244E-2</v>
      </c>
      <c r="AJ129" s="638">
        <f>AJ6+AJ18+AJ32+AJ41+AJ45+AJ51+AJ52+AJ62+AJ68+AJ77+AJ89+AJ92+AJ93+AJ100+AJ104+AJ106+AJ109+AJ114+AJ115+AJ118+AJ122+AJ123+AJ124</f>
        <v>877355</v>
      </c>
      <c r="AK129" s="605">
        <f>AK6+AK18+AK32+AK41+AK45+AK51+AK52+AK62+AK68+AK77+AK89+AK92+AK93+AK100+AK104+AK106+AK109+AK114+AK115+AK118+AK122+AK123+AK124</f>
        <v>29504</v>
      </c>
      <c r="AL129" s="640">
        <f>+AK129/AJ129</f>
        <v>3.3628348843968522E-2</v>
      </c>
      <c r="AM129" s="638">
        <f>AM6+AM18+AM32+AM41+AM45+AM51+AM52+AM62+AM68+AM77+AM89+AM92+AM93+AM100+AM104+AM106+AM109+AM114+AM115+AM118+AM122+AM123+AM124</f>
        <v>888506</v>
      </c>
      <c r="AN129" s="605">
        <f>AN6+AN18+AN32+AN41+AN45+AN51+AN52+AN62+AN68+AN77+AN89+AN92+AN93+AN100+AN104+AN106+AN109+AN114+AN115+AN118+AN122+AN123+AN124</f>
        <v>28767</v>
      </c>
      <c r="AO129" s="640">
        <f>+AN129/AM129</f>
        <v>3.2376821315781776E-2</v>
      </c>
      <c r="AP129" s="638">
        <f>AP6+AP18+AP32+AP41+AP45+AP51+AP52+AP62+AP68+AP77+AP89+AP92+AP93+AP100+AP104+AP106+AP109+AP114+AP115+AP118+AP122+AP123+AP124</f>
        <v>896361</v>
      </c>
      <c r="AQ129" s="605">
        <f>AQ6+AQ18+AQ32+AQ41+AQ45+AQ51+AQ52+AQ62+AQ68+AQ77+AQ89+AQ92+AQ93+AQ100+AQ104+AQ106+AQ109+AQ114+AQ115+AQ118+AQ122+AQ123+AQ124</f>
        <v>38085</v>
      </c>
      <c r="AR129" s="640">
        <f>+AQ129/AP129</f>
        <v>4.2488461680059708E-2</v>
      </c>
      <c r="AS129" s="638">
        <f>AS6+AS18+AS32+AS41+AS45+AS51+AS52+AS62+AS68+AS77+AS89+AS92+AS93+AS100+AS104+AS106+AS109+AS114+AS115+AS118+AS122+AS123+AS124</f>
        <v>901310</v>
      </c>
      <c r="AT129" s="605">
        <f>AT6+AT18+AT32+AT41+AT45+AT51+AT52+AT62+AT68+AT77+AT89+AT92+AT93+AT100+AT104+AT106+AT109+AT114+AT115+AT118+AT122+AT123+AT124</f>
        <v>62588</v>
      </c>
      <c r="AU129" s="640">
        <f>+AT129/AS129</f>
        <v>6.944114677524936E-2</v>
      </c>
      <c r="AV129" s="638">
        <f>AV6+AV18+AV32+AV41+AV45+AV51+AV52+AV62+AV68+AV77+AV89+AV92+AV93+AV100+AV104+AV106+AV109+AV114+AV115+AV118+AV122+AV123+AV124</f>
        <v>899107</v>
      </c>
      <c r="AW129" s="605">
        <f>AW6+AW18+AW32+AW41+AW45+AW51+AW52+AW62+AW68+AW77+AW89+AW92+AW93+AW100+AW104+AW106+AW109+AW114+AW115+AW118+AW122+AW123+AW124</f>
        <v>67557</v>
      </c>
      <c r="AX129" s="640">
        <f>+AW129/AV129</f>
        <v>7.5137886814361357E-2</v>
      </c>
      <c r="AY129" s="638">
        <f>AY6+AY18+AY32+AY41+AY45+AY51+AY52+AY62+AY68+AY77+AY89+AY92+AY93+AY100+AY104+AY106+AY109+AY114+AY115+AY118+AY122+AY123+AY124</f>
        <v>919795</v>
      </c>
      <c r="AZ129" s="605">
        <f>AZ6+AZ18+AZ32+AZ41+AZ45+AZ51+AZ52+AZ62+AZ68+AZ77+AZ89+AZ92+AZ93+AZ100+AZ104+AZ106+AZ109+AZ114+AZ115+AZ118+AZ122+AZ123+AZ124</f>
        <v>65124</v>
      </c>
      <c r="BA129" s="606">
        <f>+AZ129/AY129</f>
        <v>7.080273321772787E-2</v>
      </c>
      <c r="BC129" s="638">
        <f>BC6+BC18+BC32+BC41+BC45+BC51+BC52+BC62+BC68+BC77+BC89+BC92+BC93+BC100+BC104+BC106+BC109+BC114+BC115+BC118+BC122+BC123+BC124</f>
        <v>923818.45454545459</v>
      </c>
      <c r="BD129" s="605">
        <f>BD6+BD18+BD32+BD41+BD45+BD51+BD52+BD62+BD68+BD77+BD89+BD92+BD93+BD100+BD104+BD106+BD109+BD114+BD115+BD118+BD122+BD123+BD124</f>
        <v>60377.272727272721</v>
      </c>
      <c r="BE129" s="606">
        <f>BD129/BC129</f>
        <v>6.5356209794466685E-2</v>
      </c>
    </row>
    <row r="130" spans="1:57" ht="15" customHeight="1">
      <c r="A130" s="956" t="s">
        <v>274</v>
      </c>
      <c r="B130" s="627"/>
      <c r="C130" s="196"/>
      <c r="D130" s="636">
        <f>T130</f>
        <v>2.1842972317669983E-2</v>
      </c>
      <c r="E130" s="591">
        <f>+W130</f>
        <v>2.5097361051548011E-2</v>
      </c>
      <c r="F130" s="591">
        <f>+Z130</f>
        <v>3.4157529216219347E-2</v>
      </c>
      <c r="G130" s="591">
        <f>+AC130</f>
        <v>3.2218112314505103E-2</v>
      </c>
      <c r="H130" s="591">
        <f>+AF130</f>
        <v>2.8120733230688783E-2</v>
      </c>
      <c r="I130" s="591">
        <f>+AI130</f>
        <v>2.6503664293188598E-2</v>
      </c>
      <c r="J130" s="591">
        <f>+AL130</f>
        <v>2.315471133252801E-2</v>
      </c>
      <c r="K130" s="591">
        <f>+AO130</f>
        <v>2.3592388661050432E-2</v>
      </c>
      <c r="L130" s="591">
        <f>+AR130</f>
        <v>3.1751926851734683E-2</v>
      </c>
      <c r="M130" s="591">
        <f>+AU130</f>
        <v>5.2937712018661119E-2</v>
      </c>
      <c r="N130" s="591">
        <f>+AX130</f>
        <v>5.4895064290584474E-2</v>
      </c>
      <c r="O130" s="592">
        <f>+BA130</f>
        <v>4.9149237976582744E-2</v>
      </c>
      <c r="P130" s="637">
        <f>BE130</f>
        <v>4.5189958274933523E-2</v>
      </c>
      <c r="Q130" s="196"/>
      <c r="R130" s="638">
        <f>R12+R27+R29+R34+R35+R39+R44+R54+R58+R59+R61+R71+R72+R78+R80+R84+R87+R90+R91+R95+R101+R107+R112+R113+R125</f>
        <v>1075632</v>
      </c>
      <c r="S130" s="605">
        <f>S12+S27+S29+S34+S35+S39+S44+S54+S58+S59+S61+S71+S72+S78+S80+S84+S87+S90+S91+S95+S101+S107+S112+S113+S125</f>
        <v>23495</v>
      </c>
      <c r="T130" s="639">
        <f>+S130/R130</f>
        <v>2.1842972317669983E-2</v>
      </c>
      <c r="U130" s="638">
        <f>U12+U27+U29+U34+U35+U39+U44+U54+U58+U59+U61+U71+U72+U78+U80+U84+U87+U90+U91+U95+U101+U107+U112+U113+U125</f>
        <v>1438717</v>
      </c>
      <c r="V130" s="605">
        <f>V12+V27+V29+V34+V35+V39+V44+V54+V58+V59+V61+V71+V72+V78+V80+V84+V87+V90+V91+V95+V101+V107+V112+V113+V125</f>
        <v>36108</v>
      </c>
      <c r="W130" s="639">
        <f>+V130/U130</f>
        <v>2.5097361051548011E-2</v>
      </c>
      <c r="X130" s="638">
        <f>X12+X27+X29+X34+X35+X39+X44+X54+X58+X59+X61+X71+X72+X78+X80+X84+X87+X90+X91+X95+X101+X107+X112+X113+X125</f>
        <v>1474609</v>
      </c>
      <c r="Y130" s="605">
        <f>Y12+Y27+Y29+Y34+Y35+Y39+Y44+Y54+Y58+Y59+Y61+Y71+Y72+Y78+Y80+Y84+Y87+Y90+Y91+Y95+Y101+Y107+Y112+Y113+Y125</f>
        <v>50369</v>
      </c>
      <c r="Z130" s="639">
        <f>+Y130/X130</f>
        <v>3.4157529216219347E-2</v>
      </c>
      <c r="AA130" s="638">
        <f>AA12+AA27+AA29+AA34+AA35+AA39+AA44+AA54+AA58+AA59+AA61+AA71+AA72+AA78+AA80+AA84+AA87+AA90+AA91+AA95+AA101+AA107+AA112+AA113+AA125</f>
        <v>1502602</v>
      </c>
      <c r="AB130" s="605">
        <f>AB12+AB27+AB29+AB34+AB35+AB39+AB44+AB54+AB58+AB59+AB61+AB71+AB72+AB78+AB80+AB84+AB87+AB90+AB91+AB95+AB101+AB107+AB112+AB113+AB125</f>
        <v>48411</v>
      </c>
      <c r="AC130" s="639">
        <f>+AB130/AA130</f>
        <v>3.2218112314505103E-2</v>
      </c>
      <c r="AD130" s="638">
        <f>AD12+AD27+AD29+AD34+AD35+AD39+AD44+AD54+AD58+AD59+AD61+AD71+AD72+AD78+AD80+AD84+AD87+AD90+AD91+AD95+AD101+AD107+AD112+AD113+AD125</f>
        <v>1549035</v>
      </c>
      <c r="AE130" s="605">
        <f>AE12+AE27+AE29+AE34+AE35+AE39+AE44+AE54+AE58+AE59+AE61+AE71+AE72+AE78+AE80+AE84+AE87+AE90+AE91+AE95+AE101+AE107+AE112+AE113+AE125</f>
        <v>43560</v>
      </c>
      <c r="AF130" s="640">
        <f>+AE130/AD130</f>
        <v>2.8120733230688783E-2</v>
      </c>
      <c r="AG130" s="638">
        <f>AG12+AG27+AG29+AG34+AG35+AG39+AG44+AG54+AG58+AG59+AG61+AG71+AG72+AG78+AG80+AG84+AG87+AG90+AG91+AG95+AG101+AG107+AG112+AG113+AG125</f>
        <v>1594987</v>
      </c>
      <c r="AH130" s="605">
        <f>AH12+AH27+AH29+AH34+AH35+AH39+AH44+AH54+AH58+AH59+AH61+AH71+AH72+AH78+AH80+AH84+AH87+AH90+AH91+AH95+AH101+AH107+AH112+AH113+AH125</f>
        <v>42273</v>
      </c>
      <c r="AI130" s="640">
        <f>+AH130/AG130</f>
        <v>2.6503664293188598E-2</v>
      </c>
      <c r="AJ130" s="638">
        <f>AJ12+AJ27+AJ29+AJ34+AJ35+AJ39+AJ44+AJ54+AJ58+AJ59+AJ61+AJ71+AJ72+AJ78+AJ80+AJ84+AJ87+AJ90+AJ91+AJ95+AJ101+AJ107+AJ112+AJ113+AJ125</f>
        <v>1640746</v>
      </c>
      <c r="AK130" s="605">
        <f>AK12+AK27+AK29+AK34+AK35+AK39+AK44+AK54+AK58+AK59+AK61+AK71+AK72+AK78+AK80+AK84+AK87+AK90+AK91+AK95+AK101+AK107+AK112+AK113+AK125</f>
        <v>37991</v>
      </c>
      <c r="AL130" s="640">
        <f>+AK130/AJ130</f>
        <v>2.315471133252801E-2</v>
      </c>
      <c r="AM130" s="638">
        <f>AM12+AM27+AM29+AM34+AM35+AM39+AM44+AM54+AM58+AM59+AM61+AM71+AM72+AM78+AM80+AM84+AM87+AM90+AM91+AM95+AM101+AM107+AM112+AM113+AM125</f>
        <v>1665410</v>
      </c>
      <c r="AN130" s="605">
        <f>AN12+AN27+AN29+AN34+AN35+AN39+AN44+AN54+AN58+AN59+AN61+AN71+AN72+AN78+AN80+AN84+AN87+AN90+AN91+AN95+AN101+AN107+AN112+AN113+AN125</f>
        <v>39291</v>
      </c>
      <c r="AO130" s="640">
        <f>+AN130/AM130</f>
        <v>2.3592388661050432E-2</v>
      </c>
      <c r="AP130" s="638">
        <f>AP12+AP27+AP29+AP34+AP35+AP39+AP44+AP54+AP58+AP59+AP61+AP71+AP72+AP78+AP80+AP84+AP87+AP90+AP91+AP95+AP101+AP107+AP112+AP113+AP125</f>
        <v>1699015</v>
      </c>
      <c r="AQ130" s="605">
        <f>AQ12+AQ27+AQ29+AQ34+AQ35+AQ39+AQ44+AQ54+AQ58+AQ59+AQ61+AQ71+AQ72+AQ78+AQ80+AQ84+AQ87+AQ90+AQ91+AQ95+AQ101+AQ107+AQ112+AQ113+AQ125</f>
        <v>53947</v>
      </c>
      <c r="AR130" s="640">
        <f>+AQ130/AP130</f>
        <v>3.1751926851734683E-2</v>
      </c>
      <c r="AS130" s="638">
        <f>AS12+AS27+AS29+AS34+AS35+AS39+AS44+AS54+AS58+AS59+AS61+AS71+AS72+AS78+AS80+AS84+AS87+AS90+AS91+AS95+AS101+AS107+AS112+AS113+AS125</f>
        <v>1725084</v>
      </c>
      <c r="AT130" s="605">
        <f>AT12+AT27+AT29+AT34+AT35+AT39+AT44+AT54+AT58+AT59+AT61+AT71+AT72+AT78+AT80+AT84+AT87+AT90+AT91+AT95+AT101+AT107+AT112+AT113+AT125</f>
        <v>91322</v>
      </c>
      <c r="AU130" s="640">
        <f>+AT130/AS130</f>
        <v>5.2937712018661119E-2</v>
      </c>
      <c r="AV130" s="638">
        <f>AV12+AV27+AV29+AV34+AV35+AV39+AV44+AV54+AV58+AV59+AV61+AV71+AV72+AV78+AV80+AV84+AV87+AV90+AV91+AV95+AV101+AV107+AV112+AV113+AV125</f>
        <v>1739446</v>
      </c>
      <c r="AW130" s="605">
        <f>AW12+AW27+AW29+AW34+AW35+AW39+AW44+AW54+AW58+AW59+AW61+AW71+AW72+AW78+AW80+AW84+AW87+AW90+AW91+AW95+AW101+AW107+AW112+AW113+AW125</f>
        <v>95487</v>
      </c>
      <c r="AX130" s="640">
        <f>+AW130/AV130</f>
        <v>5.4895064290584474E-2</v>
      </c>
      <c r="AY130" s="638">
        <f>AY12+AY27+AY29+AY34+AY35+AY39+AY44+AY54+AY58+AY59+AY61+AY71+AY72+AY78+AY80+AY84+AY87+AY90+AY91+AY95+AY101+AY107+AY112+AY113+AY125</f>
        <v>1807556</v>
      </c>
      <c r="AZ130" s="605">
        <f>AZ12+AZ27+AZ29+AZ34+AZ35+AZ39+AZ44+AZ54+AZ58+AZ59+AZ61+AZ71+AZ72+AZ78+AZ80+AZ84+AZ87+AZ90+AZ91+AZ95+AZ101+AZ107+AZ112+AZ113+AZ125</f>
        <v>88840</v>
      </c>
      <c r="BA130" s="606">
        <f>+AZ130/AY130</f>
        <v>4.9149237976582744E-2</v>
      </c>
      <c r="BC130" s="638">
        <f>BC12+BC27+BC29+BC34+BC35+BC39+BC44+BC54+BC58+BC59+BC61+BC71+BC72+BC78+BC80+BC84+BC87+BC90+BC91+BC95+BC101+BC107+BC112+BC113+BC125</f>
        <v>1813647.0909090906</v>
      </c>
      <c r="BD130" s="605">
        <f>BD12+BD27+BD29+BD34+BD35+BD39+BD44+BD54+BD58+BD59+BD61+BD71+BD72+BD78+BD80+BD84+BD87+BD90+BD91+BD95+BD101+BD107+BD112+BD113+BD125</f>
        <v>81958.636363636368</v>
      </c>
      <c r="BE130" s="606">
        <f>BD130/BC130</f>
        <v>4.5189958274933523E-2</v>
      </c>
    </row>
    <row r="131" spans="1:57" ht="15" customHeight="1">
      <c r="A131" s="956" t="s">
        <v>272</v>
      </c>
      <c r="B131" s="627"/>
      <c r="C131" s="196"/>
      <c r="D131" s="636">
        <f>T131</f>
        <v>2.1565654870730096E-2</v>
      </c>
      <c r="E131" s="591">
        <f>+W131</f>
        <v>3.9423327904591389E-2</v>
      </c>
      <c r="F131" s="591">
        <f>+Z131</f>
        <v>5.419779251679803E-2</v>
      </c>
      <c r="G131" s="591">
        <f>+AC131</f>
        <v>5.2694301547261999E-2</v>
      </c>
      <c r="H131" s="591">
        <f>+AF131</f>
        <v>4.7009844629719737E-2</v>
      </c>
      <c r="I131" s="591">
        <f>+AI131</f>
        <v>4.3198649059114511E-2</v>
      </c>
      <c r="J131" s="591">
        <f>+AL131</f>
        <v>3.6326765953876614E-2</v>
      </c>
      <c r="K131" s="591">
        <f>+AO131</f>
        <v>3.6525043751291349E-2</v>
      </c>
      <c r="L131" s="591">
        <f>+AR131</f>
        <v>4.6845349183695872E-2</v>
      </c>
      <c r="M131" s="591">
        <f>+AU131</f>
        <v>8.1150520875771695E-2</v>
      </c>
      <c r="N131" s="591">
        <f>+AX131</f>
        <v>8.3055486093745662E-2</v>
      </c>
      <c r="O131" s="592">
        <f>+BA131</f>
        <v>7.3729942175950816E-2</v>
      </c>
      <c r="P131" s="637">
        <f>BE131</f>
        <v>6.6417592297854114E-2</v>
      </c>
      <c r="Q131" s="196"/>
      <c r="R131" s="638">
        <f>R7+R8+R10+R11+R13+R14+R15+R17+R21+R25+R28+R38+R46+R49+R50+R63+R66+R74+R82+R83+R103+R105+R111+R121</f>
        <v>685349</v>
      </c>
      <c r="S131" s="605">
        <f>S7+S8+S10+S11+S13+S14+S15+S17+S21+S25+S28+S38+S46+S49+S50+S63+S66+S74+S82+S83+S103+S105+S111+S121</f>
        <v>14780</v>
      </c>
      <c r="T131" s="639">
        <f>+S131/R131</f>
        <v>2.1565654870730096E-2</v>
      </c>
      <c r="U131" s="638">
        <f>U7+U8+U10+U11+U13+U14+U15+U17+U21+U25+U28+U38+U46+U49+U50+U63+U66+U74+U82+U83+U103+U105+U111+U121</f>
        <v>544018</v>
      </c>
      <c r="V131" s="605">
        <f>V7+V8+V10+V11+V13+V14+V15+V17+V21+V25+V28+V38+V46+V49+V50+V63+V66+V74+V82+V83+V103+V105+V111+V121</f>
        <v>21447</v>
      </c>
      <c r="W131" s="639">
        <f>+V131/U131</f>
        <v>3.9423327904591389E-2</v>
      </c>
      <c r="X131" s="638">
        <f>X7+X8+X10+X11+X13+X14+X15+X17+X21+X25+X28+X38+X46+X49+X50+X63+X66+X74+X82+X83+X103+X105+X111+X121</f>
        <v>553934</v>
      </c>
      <c r="Y131" s="605">
        <f>Y7+Y8+Y10+Y11+Y13+Y14+Y15+Y17+Y21+Y25+Y28+Y38+Y46+Y49+Y50+Y63+Y66+Y74+Y82+Y83+Y103+Y105+Y111+Y121</f>
        <v>30022</v>
      </c>
      <c r="Z131" s="639">
        <f>+Y131/X131</f>
        <v>5.419779251679803E-2</v>
      </c>
      <c r="AA131" s="638">
        <f>AA7+AA8+AA10+AA11+AA13+AA14+AA15+AA17+AA21+AA25+AA28+AA38+AA46+AA49+AA50+AA63+AA66+AA74+AA82+AA83+AA103+AA105+AA111+AA121</f>
        <v>553817</v>
      </c>
      <c r="AB131" s="605">
        <f>AB7+AB8+AB10+AB11+AB13+AB14+AB15+AB17+AB21+AB25+AB28+AB38+AB46+AB49+AB50+AB63+AB66+AB74+AB82+AB83+AB103+AB105+AB111+AB121</f>
        <v>29183</v>
      </c>
      <c r="AC131" s="639">
        <f>+AB131/AA131</f>
        <v>5.2694301547261999E-2</v>
      </c>
      <c r="AD131" s="638">
        <f>AD7+AD8+AD10+AD11+AD13+AD14+AD15+AD17+AD21+AD25+AD28+AD38+AD46+AD49+AD50+AD63+AD66+AD74+AD82+AD83+AD103+AD105+AD111+AD121</f>
        <v>546694</v>
      </c>
      <c r="AE131" s="605">
        <f>AE7+AE8+AE10+AE11+AE13+AE14+AE15+AE17+AE21+AE25+AE28+AE38+AE46+AE49+AE50+AE63+AE66+AE74+AE82+AE83+AE103+AE105+AE111+AE121</f>
        <v>25700</v>
      </c>
      <c r="AF131" s="640">
        <f>+AE131/AD131</f>
        <v>4.7009844629719737E-2</v>
      </c>
      <c r="AG131" s="638">
        <f>AG7+AG8+AG10+AG11+AG13+AG14+AG15+AG17+AG21+AG25+AG28+AG38+AG46+AG49+AG50+AG63+AG66+AG74+AG82+AG83+AG103+AG105+AG111+AG121</f>
        <v>553096</v>
      </c>
      <c r="AH131" s="605">
        <f>AH7+AH8+AH10+AH11+AH13+AH14+AH15+AH17+AH21+AH25+AH28+AH38+AH46+AH49+AH50+AH63+AH66+AH74+AH82+AH83+AH103+AH105+AH111+AH121</f>
        <v>23893</v>
      </c>
      <c r="AI131" s="640">
        <f>+AH131/AG131</f>
        <v>4.3198649059114511E-2</v>
      </c>
      <c r="AJ131" s="638">
        <f>AJ7+AJ8+AJ10+AJ11+AJ13+AJ14+AJ15+AJ17+AJ21+AJ25+AJ28+AJ38+AJ46+AJ49+AJ50+AJ63+AJ66+AJ74+AJ82+AJ83+AJ103+AJ105+AJ111+AJ121</f>
        <v>560193</v>
      </c>
      <c r="AK131" s="605">
        <f>AK7+AK8+AK10+AK11+AK13+AK14+AK15+AK17+AK21+AK25+AK28+AK38+AK46+AK49+AK50+AK63+AK66+AK74+AK82+AK83+AK103+AK105+AK111+AK121</f>
        <v>20350</v>
      </c>
      <c r="AL131" s="640">
        <f>+AK131/AJ131</f>
        <v>3.6326765953876614E-2</v>
      </c>
      <c r="AM131" s="638">
        <f>AM7+AM8+AM10+AM11+AM13+AM14+AM15+AM17+AM21+AM25+AM28+AM38+AM46+AM49+AM50+AM63+AM66+AM74+AM82+AM83+AM103+AM105+AM111+AM121</f>
        <v>566269</v>
      </c>
      <c r="AN131" s="605">
        <f>AN7+AN8+AN10+AN11+AN13+AN14+AN15+AN17+AN21+AN25+AN28+AN38+AN46+AN49+AN50+AN63+AN66+AN74+AN82+AN83+AN103+AN105+AN111+AN121</f>
        <v>20683</v>
      </c>
      <c r="AO131" s="640">
        <f>+AN131/AM131</f>
        <v>3.6525043751291349E-2</v>
      </c>
      <c r="AP131" s="638">
        <f>AP7+AP8+AP10+AP11+AP13+AP14+AP15+AP17+AP21+AP25+AP28+AP38+AP46+AP49+AP50+AP63+AP66+AP74+AP82+AP83+AP103+AP105+AP111+AP121</f>
        <v>573867</v>
      </c>
      <c r="AQ131" s="605">
        <f>AQ7+AQ8+AQ10+AQ11+AQ13+AQ14+AQ15+AQ17+AQ21+AQ25+AQ28+AQ38+AQ46+AQ49+AQ50+AQ63+AQ66+AQ74+AQ82+AQ83+AQ103+AQ105+AQ111+AQ121</f>
        <v>26883</v>
      </c>
      <c r="AR131" s="640">
        <f>+AQ131/AP131</f>
        <v>4.6845349183695872E-2</v>
      </c>
      <c r="AS131" s="638">
        <f>AS7+AS8+AS10+AS11+AS13+AS14+AS15+AS17+AS21+AS25+AS28+AS38+AS46+AS49+AS50+AS63+AS66+AS74+AS82+AS83+AS103+AS105+AS111+AS121</f>
        <v>576817</v>
      </c>
      <c r="AT131" s="605">
        <f>AT7+AT8+AT10+AT11+AT13+AT14+AT15+AT17+AT21+AT25+AT28+AT38+AT46+AT49+AT50+AT63+AT66+AT74+AT82+AT83+AT103+AT105+AT111+AT121</f>
        <v>46809</v>
      </c>
      <c r="AU131" s="640">
        <f>+AT131/AS131</f>
        <v>8.1150520875771695E-2</v>
      </c>
      <c r="AV131" s="638">
        <f>AV7+AV8+AV10+AV11+AV13+AV14+AV15+AV17+AV21+AV25+AV28+AV38+AV46+AV49+AV50+AV63+AV66+AV74+AV82+AV83+AV103+AV105+AV111+AV121</f>
        <v>575856</v>
      </c>
      <c r="AW131" s="605">
        <f>AW7+AW8+AW10+AW11+AW13+AW14+AW15+AW17+AW21+AW25+AW28+AW38+AW46+AW49+AW50+AW63+AW66+AW74+AW82+AW83+AW103+AW105+AW111+AW121</f>
        <v>47828</v>
      </c>
      <c r="AX131" s="640">
        <f>+AW131/AV131</f>
        <v>8.3055486093745662E-2</v>
      </c>
      <c r="AY131" s="638">
        <f>AY7+AY8+AY10+AY11+AY13+AY14+AY15+AY17+AY21+AY25+AY28+AY38+AY46+AY49+AY50+AY63+AY66+AY74+AY82+AY83+AY103+AY105+AY111+AY121</f>
        <v>584186</v>
      </c>
      <c r="AZ131" s="605">
        <f>AZ7+AZ8+AZ10+AZ11+AZ13+AZ14+AZ15+AZ17+AZ21+AZ25+AZ28+AZ38+AZ46+AZ49+AZ50+AZ63+AZ66+AZ74+AZ82+AZ83+AZ103+AZ105+AZ111+AZ121</f>
        <v>43072</v>
      </c>
      <c r="BA131" s="606">
        <f>+AZ131/AY131</f>
        <v>7.3729942175950816E-2</v>
      </c>
      <c r="BC131" s="638">
        <f>BC7+BC8+BC10+BC11+BC13+BC14+BC15+BC17+BC21+BC25+BC28+BC38+BC46+BC49+BC50+BC63+BC66+BC74+BC82+BC83+BC103+BC105+BC111+BC121</f>
        <v>590890.81818181823</v>
      </c>
      <c r="BD131" s="605">
        <f>BD7+BD8+BD10+BD11+BD13+BD14+BD15+BD17+BD21+BD25+BD28+BD38+BD46+BD49+BD50+BD63+BD66+BD74+BD82+BD83+BD103+BD105+BD111+BD121</f>
        <v>39245.545454545449</v>
      </c>
      <c r="BE131" s="606">
        <f>BD131/BC131</f>
        <v>6.6417592297854114E-2</v>
      </c>
    </row>
    <row r="132" spans="1:57" ht="15" customHeight="1">
      <c r="A132" s="956" t="s">
        <v>275</v>
      </c>
      <c r="B132" s="627"/>
      <c r="C132" s="196"/>
      <c r="D132" s="636">
        <f>T132</f>
        <v>2.1711657830625078E-2</v>
      </c>
      <c r="E132" s="591">
        <f>+W132</f>
        <v>5.3137166447425783E-2</v>
      </c>
      <c r="F132" s="591">
        <f>+Z132</f>
        <v>5.9624092014185767E-2</v>
      </c>
      <c r="G132" s="591">
        <f>+AC132</f>
        <v>5.6062505678204776E-2</v>
      </c>
      <c r="H132" s="591">
        <f>+AF132</f>
        <v>4.9803733701727221E-2</v>
      </c>
      <c r="I132" s="591">
        <f>+AI132</f>
        <v>4.6351277948778587E-2</v>
      </c>
      <c r="J132" s="591">
        <f>+AL132</f>
        <v>4.172418629716302E-2</v>
      </c>
      <c r="K132" s="591">
        <f>+AO132</f>
        <v>4.3991228070175435E-2</v>
      </c>
      <c r="L132" s="591">
        <f>+AR132</f>
        <v>5.1978127322535823E-2</v>
      </c>
      <c r="M132" s="591">
        <f>+AU132</f>
        <v>8.9093105226352859E-2</v>
      </c>
      <c r="N132" s="591">
        <f>+AX132</f>
        <v>8.7521977000038609E-2</v>
      </c>
      <c r="O132" s="592">
        <f>+BA132</f>
        <v>7.6910858267580581E-2</v>
      </c>
      <c r="P132" s="637">
        <f>BE132</f>
        <v>7.1860125616623638E-2</v>
      </c>
      <c r="Q132" s="196"/>
      <c r="R132" s="638">
        <f>R16+R19+R23+R31+R36+R40+R43+R57+R65+R73+R79+R85+R86+R88+R94+R96+R98+R99+R102+R108+R116+R119</f>
        <v>591894</v>
      </c>
      <c r="S132" s="605">
        <f>S16+S19+S23+S31+S36+S40+S43+S57+S65+S73+S79+S85+S86+S88+S94+S96+S98+S99+S102+S108+S116+S119</f>
        <v>12851</v>
      </c>
      <c r="T132" s="639">
        <f>+S132/R132</f>
        <v>2.1711657830625078E-2</v>
      </c>
      <c r="U132" s="638">
        <f>U16+U19+U23+U31+U36+U40+U43+U57+U65+U73+U79+U85+U86+U88+U94+U96+U98+U99+U102+U108+U116+U119</f>
        <v>263789</v>
      </c>
      <c r="V132" s="605">
        <f>V16+V19+V23+V31+V36+V40+V43+V57+V65+V73+V79+V85+V86+V88+V94+V96+V98+V99+V102+V108+V116+V119</f>
        <v>14017</v>
      </c>
      <c r="W132" s="639">
        <f>+V132/U132</f>
        <v>5.3137166447425783E-2</v>
      </c>
      <c r="X132" s="638">
        <f>X16+X19+X23+X31+X36+X40+X43+X57+X65+X73+X79+X85+X86+X88+X94+X96+X98+X99+X102+X108+X116+X119</f>
        <v>269002</v>
      </c>
      <c r="Y132" s="605">
        <f>Y16+Y19+Y23+Y31+Y36+Y40+Y43+Y57+Y65+Y73+Y79+Y85+Y86+Y88+Y94+Y96+Y98+Y99+Y102+Y108+Y116+Y119</f>
        <v>16039</v>
      </c>
      <c r="Z132" s="639">
        <f>+Y132/X132</f>
        <v>5.9624092014185767E-2</v>
      </c>
      <c r="AA132" s="638">
        <f>AA16+AA19+AA23+AA31+AA36+AA40+AA43+AA57+AA65+AA73+AA79+AA85+AA86+AA88+AA94+AA96+AA98+AA99+AA102+AA108+AA116+AA119</f>
        <v>275175</v>
      </c>
      <c r="AB132" s="605">
        <f>AB16+AB19+AB23+AB31+AB36+AB40+AB43+AB57+AB65+AB73+AB79+AB85+AB86+AB88+AB94+AB96+AB98+AB99+AB102+AB108+AB116+AB119</f>
        <v>15427</v>
      </c>
      <c r="AC132" s="639">
        <f>+AB132/AA132</f>
        <v>5.6062505678204776E-2</v>
      </c>
      <c r="AD132" s="638">
        <f>AD16+AD19+AD23+AD31+AD36+AD40+AD43+AD57+AD65+AD73+AD79+AD85+AD86+AD88+AD94+AD96+AD98+AD99+AD102+AD108+AD116+AD119</f>
        <v>269277</v>
      </c>
      <c r="AE132" s="605">
        <f>AE16+AE19+AE23+AE31+AE36+AE40+AE43+AE57+AE65+AE73+AE79+AE85+AE86+AE88+AE94+AE96+AE98+AE99+AE102+AE108+AE116+AE119</f>
        <v>13411</v>
      </c>
      <c r="AF132" s="640">
        <f>+AE132/AD132</f>
        <v>4.9803733701727221E-2</v>
      </c>
      <c r="AG132" s="638">
        <f>AG16+AG19+AG23+AG31+AG36+AG40+AG43+AG57+AG65+AG73+AG79+AG85+AG86+AG88+AG94+AG96+AG98+AG99+AG102+AG108+AG116+AG119</f>
        <v>270629</v>
      </c>
      <c r="AH132" s="605">
        <f>AH16+AH19+AH23+AH31+AH36+AH40+AH43+AH57+AH65+AH73+AH79+AH85+AH86+AH88+AH94+AH96+AH98+AH99+AH102+AH108+AH116+AH119</f>
        <v>12544</v>
      </c>
      <c r="AI132" s="640">
        <f>+AH132/AG132</f>
        <v>4.6351277948778587E-2</v>
      </c>
      <c r="AJ132" s="638">
        <f>AJ16+AJ19+AJ23+AJ31+AJ36+AJ40+AJ43+AJ57+AJ65+AJ73+AJ79+AJ85+AJ86+AJ88+AJ94+AJ96+AJ98+AJ99+AJ102+AJ108+AJ116+AJ119</f>
        <v>270922</v>
      </c>
      <c r="AK132" s="605">
        <f>AK16+AK19+AK23+AK31+AK36+AK40+AK43+AK57+AK65+AK73+AK79+AK85+AK86+AK88+AK94+AK96+AK98+AK99+AK102+AK108+AK116+AK119</f>
        <v>11304</v>
      </c>
      <c r="AL132" s="640">
        <f>+AK132/AJ132</f>
        <v>4.172418629716302E-2</v>
      </c>
      <c r="AM132" s="638">
        <f>AM16+AM19+AM23+AM31+AM36+AM40+AM43+AM57+AM65+AM73+AM79+AM85+AM86+AM88+AM94+AM96+AM98+AM99+AM102+AM108+AM116+AM119</f>
        <v>273600</v>
      </c>
      <c r="AN132" s="605">
        <f>AN16+AN19+AN23+AN31+AN36+AN40+AN43+AN57+AN65+AN73+AN79+AN85+AN86+AN88+AN94+AN96+AN98+AN99+AN102+AN108+AN116+AN119</f>
        <v>12036</v>
      </c>
      <c r="AO132" s="640">
        <f>+AN132/AM132</f>
        <v>4.3991228070175435E-2</v>
      </c>
      <c r="AP132" s="638">
        <f>AP16+AP19+AP23+AP31+AP36+AP40+AP43+AP57+AP65+AP73+AP79+AP85+AP86+AP88+AP94+AP96+AP98+AP99+AP102+AP108+AP116+AP119</f>
        <v>278521</v>
      </c>
      <c r="AQ132" s="605">
        <f>AQ16+AQ19+AQ23+AQ31+AQ36+AQ40+AQ43+AQ57+AQ65+AQ73+AQ79+AQ85+AQ86+AQ88+AQ94+AQ96+AQ98+AQ99+AQ102+AQ108+AQ116+AQ119</f>
        <v>14477</v>
      </c>
      <c r="AR132" s="640">
        <f>+AQ132/AP132</f>
        <v>5.1978127322535823E-2</v>
      </c>
      <c r="AS132" s="638">
        <f>AS16+AS19+AS23+AS31+AS36+AS40+AS43+AS57+AS65+AS73+AS79+AS85+AS86+AS88+AS94+AS96+AS98+AS99+AS102+AS108+AS116+AS119</f>
        <v>283142</v>
      </c>
      <c r="AT132" s="605">
        <f>AT16+AT19+AT23+AT31+AT36+AT40+AT43+AT57+AT65+AT73+AT79+AT85+AT86+AT88+AT94+AT96+AT98+AT99+AT102+AT108+AT116+AT119</f>
        <v>25226</v>
      </c>
      <c r="AU132" s="640">
        <f>+AT132/AS132</f>
        <v>8.9093105226352859E-2</v>
      </c>
      <c r="AV132" s="638">
        <f>AV16+AV19+AV23+AV31+AV36+AV40+AV43+AV57+AV65+AV73+AV79+AV85+AV86+AV88+AV94+AV96+AV98+AV99+AV102+AV108+AV116+AV119</f>
        <v>284957</v>
      </c>
      <c r="AW132" s="605">
        <f>AW16+AW19+AW23+AW31+AW36+AW40+AW43+AW57+AW65+AW73+AW79+AW85+AW86+AW88+AW94+AW96+AW98+AW99+AW102+AW108+AW116+AW119</f>
        <v>24940</v>
      </c>
      <c r="AX132" s="640">
        <f>+AW132/AV132</f>
        <v>8.7521977000038609E-2</v>
      </c>
      <c r="AY132" s="638">
        <f>AY16+AY19+AY23+AY31+AY36+AY40+AY43+AY57+AY65+AY73+AY79+AY85+AY86+AY88+AY94+AY96+AY98+AY99+AY102+AY108+AY116+AY119</f>
        <v>289595</v>
      </c>
      <c r="AZ132" s="605">
        <f>AZ16+AZ19+AZ23+AZ31+AZ36+AZ40+AZ43+AZ57+AZ65+AZ73+AZ79+AZ85+AZ86+AZ88+AZ94+AZ96+AZ98+AZ99+AZ102+AZ108+AZ116+AZ119</f>
        <v>22273</v>
      </c>
      <c r="BA132" s="606">
        <f>+AZ132/AY132</f>
        <v>7.6910858267580581E-2</v>
      </c>
      <c r="BC132" s="638">
        <f>BC16+BC19+BC23+BC31+BC36+BC40+BC43+BC57+BC65+BC73+BC79+BC85+BC86+BC88+BC94+BC96+BC98+BC99+BC102+BC108+BC116+BC119</f>
        <v>289756.09090909094</v>
      </c>
      <c r="BD132" s="605">
        <f>BD16+BD19+BD23+BD31+BD36+BD40+BD43+BD57+BD65+BD73+BD79+BD85+BD86+BD88+BD94+BD96+BD98+BD99+BD102+BD108+BD116+BD119</f>
        <v>20821.909090909092</v>
      </c>
      <c r="BE132" s="606">
        <f>BD132/BC132</f>
        <v>7.1860125616623638E-2</v>
      </c>
    </row>
    <row r="133" spans="1:57" ht="15" customHeight="1">
      <c r="A133" s="635"/>
      <c r="B133" s="627"/>
      <c r="C133" s="196"/>
      <c r="D133" s="196"/>
      <c r="E133" s="628"/>
      <c r="F133" s="628"/>
      <c r="G133" s="628"/>
      <c r="H133" s="628"/>
      <c r="I133" s="628"/>
      <c r="J133" s="628"/>
      <c r="K133" s="628"/>
      <c r="L133" s="628"/>
      <c r="M133" s="628"/>
      <c r="N133" s="628"/>
      <c r="O133" s="193"/>
      <c r="P133" s="193"/>
      <c r="Q133" s="196"/>
      <c r="R133" s="196"/>
      <c r="S133" s="196"/>
      <c r="T133" s="196"/>
      <c r="U133" s="629"/>
      <c r="V133" s="629"/>
      <c r="W133" s="630"/>
      <c r="X133" s="629"/>
      <c r="Y133" s="629"/>
      <c r="Z133" s="630"/>
      <c r="AA133" s="629"/>
      <c r="AB133" s="629"/>
      <c r="AC133" s="630"/>
      <c r="AD133" s="629"/>
      <c r="AE133" s="629"/>
      <c r="AF133" s="631"/>
      <c r="AG133" s="629"/>
      <c r="AH133" s="629"/>
      <c r="AI133" s="631"/>
      <c r="AJ133" s="629"/>
      <c r="AK133" s="629"/>
      <c r="AL133" s="631"/>
      <c r="AM133" s="629"/>
      <c r="AN133" s="629"/>
      <c r="AO133" s="631"/>
      <c r="AP133" s="629"/>
      <c r="AQ133" s="629"/>
      <c r="AR133" s="631"/>
      <c r="AS133" s="629"/>
      <c r="AT133" s="629"/>
      <c r="AU133" s="631"/>
      <c r="AV133" s="629"/>
      <c r="AW133" s="629"/>
      <c r="AX133" s="631"/>
      <c r="AY133" s="632"/>
      <c r="AZ133" s="632"/>
      <c r="BA133" s="633"/>
    </row>
    <row r="134" spans="1:57" ht="16.5" customHeight="1">
      <c r="A134" s="1647" t="s">
        <v>1123</v>
      </c>
      <c r="B134" s="1647"/>
      <c r="C134" s="1647"/>
      <c r="D134" s="1647"/>
      <c r="E134" s="1647"/>
      <c r="F134" s="1647"/>
      <c r="G134" s="1647"/>
      <c r="H134" s="1647"/>
      <c r="I134" s="1647"/>
      <c r="J134" s="1647"/>
      <c r="K134" s="1647"/>
      <c r="L134" s="1647"/>
      <c r="M134" s="1647"/>
      <c r="N134" s="1647"/>
      <c r="O134" s="1647"/>
      <c r="P134" s="896"/>
    </row>
    <row r="135" spans="1:57" ht="16.5" customHeight="1">
      <c r="A135" s="1647"/>
      <c r="B135" s="1647"/>
      <c r="C135" s="1647"/>
      <c r="D135" s="1647"/>
      <c r="E135" s="1647"/>
      <c r="F135" s="1647"/>
      <c r="G135" s="1647"/>
      <c r="H135" s="1647"/>
      <c r="I135" s="1647"/>
      <c r="J135" s="1647"/>
      <c r="K135" s="1647"/>
      <c r="L135" s="1647"/>
      <c r="M135" s="1647"/>
      <c r="N135" s="1647"/>
      <c r="O135" s="1647"/>
      <c r="P135" s="719"/>
    </row>
    <row r="136" spans="1:57" ht="16.5" customHeight="1">
      <c r="A136" s="718"/>
      <c r="B136" s="718"/>
      <c r="C136" s="718"/>
      <c r="D136" s="718"/>
      <c r="E136" s="718"/>
      <c r="F136" s="718"/>
      <c r="G136" s="718"/>
      <c r="H136" s="718"/>
      <c r="I136" s="718"/>
      <c r="J136" s="718"/>
      <c r="K136" s="718"/>
      <c r="L136" s="718"/>
      <c r="M136" s="718"/>
      <c r="N136" s="718"/>
      <c r="O136" s="718"/>
      <c r="P136" s="719"/>
    </row>
    <row r="137" spans="1:57">
      <c r="A137" s="542" t="s">
        <v>249</v>
      </c>
    </row>
    <row r="138" spans="1:57">
      <c r="A138" s="543" t="s">
        <v>250</v>
      </c>
      <c r="B138" s="544" t="s">
        <v>251</v>
      </c>
    </row>
    <row r="139" spans="1:57">
      <c r="U139" s="641"/>
      <c r="V139" s="641"/>
      <c r="X139" s="641"/>
      <c r="Y139" s="641"/>
      <c r="AA139" s="641"/>
      <c r="AB139" s="641"/>
      <c r="AD139" s="641"/>
      <c r="AE139" s="641"/>
      <c r="AG139" s="641"/>
      <c r="AH139" s="641"/>
      <c r="AJ139" s="641"/>
      <c r="AK139" s="641"/>
      <c r="AM139" s="641"/>
      <c r="AN139" s="641"/>
      <c r="AP139" s="641"/>
      <c r="AQ139" s="641"/>
      <c r="AS139" s="641"/>
      <c r="AT139" s="641"/>
      <c r="AV139" s="641"/>
      <c r="AW139" s="641"/>
    </row>
  </sheetData>
  <autoFilter ref="A4:C4"/>
  <mergeCells count="3">
    <mergeCell ref="A3:N3"/>
    <mergeCell ref="AY3:BA3"/>
    <mergeCell ref="A134:O135"/>
  </mergeCells>
  <hyperlinks>
    <hyperlink ref="B138" r:id="rId1"/>
  </hyperlinks>
  <pageMargins left="0.7" right="0.7" top="0.75" bottom="0.75" header="0.3" footer="0.3"/>
  <pageSetup orientation="portrait" r:id="rId2"/>
  <headerFooter>
    <oddHeader>&amp;C&amp;"Courier New,Bold"&amp;12Unemployment Rate 2004-2010</oddHeader>
    <oddFooter>&amp;C&amp;"Courier New,Regular"&amp;P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58</vt:i4>
      </vt:variant>
    </vt:vector>
  </HeadingPairs>
  <TitlesOfParts>
    <vt:vector size="105" baseType="lpstr">
      <vt:lpstr>Profile</vt:lpstr>
      <vt:lpstr>Agency Level</vt:lpstr>
      <vt:lpstr>HR Policy</vt:lpstr>
      <vt:lpstr>IT Support</vt:lpstr>
      <vt:lpstr>Board Type</vt:lpstr>
      <vt:lpstr>2011 Population</vt:lpstr>
      <vt:lpstr>Poverty_All ages</vt:lpstr>
      <vt:lpstr>Poverty_Child</vt:lpstr>
      <vt:lpstr>Unemployment</vt:lpstr>
      <vt:lpstr>SNAP Demographics 2012</vt:lpstr>
      <vt:lpstr>TANF DEMOGRAPHICS 2012</vt:lpstr>
      <vt:lpstr>Medicaid Demographics</vt:lpstr>
      <vt:lpstr>Hispanic Adjustment</vt:lpstr>
      <vt:lpstr>SNAP Clients by SFY</vt:lpstr>
      <vt:lpstr>TANF Clients by SFY</vt:lpstr>
      <vt:lpstr>Medicaid Clients by SFY</vt:lpstr>
      <vt:lpstr>Benefit Recipient</vt:lpstr>
      <vt:lpstr>Children in Foster Care</vt:lpstr>
      <vt:lpstr>Adoption Child by Race</vt:lpstr>
      <vt:lpstr>Adoption Services</vt:lpstr>
      <vt:lpstr>CPS Investigations</vt:lpstr>
      <vt:lpstr>Compare Recipients Census Med</vt:lpstr>
      <vt:lpstr>Compare Recipients Census SNAP</vt:lpstr>
      <vt:lpstr>Compare Recipients Census TANF</vt:lpstr>
      <vt:lpstr>Adoption Counts Summed SFY 2010</vt:lpstr>
      <vt:lpstr>CPS Ref Child Demo 2010 (2)</vt:lpstr>
      <vt:lpstr>Eligibililty Staff LASER-2012</vt:lpstr>
      <vt:lpstr>Services Staff LASER 2012</vt:lpstr>
      <vt:lpstr>Other Exp. LASER 2012</vt:lpstr>
      <vt:lpstr>Services for Clients LASER 2012</vt:lpstr>
      <vt:lpstr>Medicaid &amp; FAMIS - LASER 2012</vt:lpstr>
      <vt:lpstr>SNAP - LASER 2012</vt:lpstr>
      <vt:lpstr>LIHEAP LASER 2012</vt:lpstr>
      <vt:lpstr>FC &amp; Adoptions LASER 2012</vt:lpstr>
      <vt:lpstr>TANF LASER 2012</vt:lpstr>
      <vt:lpstr>Other Benefits LASER 2012</vt:lpstr>
      <vt:lpstr>Benefits Spending Summary</vt:lpstr>
      <vt:lpstr>Medicaid Clients</vt:lpstr>
      <vt:lpstr>Staffing</vt:lpstr>
      <vt:lpstr>Children in Single-Parent Homes</vt:lpstr>
      <vt:lpstr>Non-marital births</vt:lpstr>
      <vt:lpstr>Married Parent Households</vt:lpstr>
      <vt:lpstr>SNAP Participation Rate</vt:lpstr>
      <vt:lpstr>APS Reports</vt:lpstr>
      <vt:lpstr>AuxGrant</vt:lpstr>
      <vt:lpstr>Locality Name</vt:lpstr>
      <vt:lpstr>Password</vt:lpstr>
      <vt:lpstr>'Compare Recipients Census Med'!ADOP_AVG</vt:lpstr>
      <vt:lpstr>'Compare Recipients Census SNAP'!ADOP_AVG</vt:lpstr>
      <vt:lpstr>'Compare Recipients Census TANF'!ADOP_AVG</vt:lpstr>
      <vt:lpstr>ADOP_AVG</vt:lpstr>
      <vt:lpstr>Adoption_Child_Race_2011_12</vt:lpstr>
      <vt:lpstr>adoption_race</vt:lpstr>
      <vt:lpstr>AdoptionServices</vt:lpstr>
      <vt:lpstr>Agency_Level</vt:lpstr>
      <vt:lpstr>APS_Reports</vt:lpstr>
      <vt:lpstr>AuxGrant</vt:lpstr>
      <vt:lpstr>BenefitRecip</vt:lpstr>
      <vt:lpstr>BoardType</vt:lpstr>
      <vt:lpstr>Children_CPS_Referrals</vt:lpstr>
      <vt:lpstr>CL_SERV_LASER_2011</vt:lpstr>
      <vt:lpstr>CPSInvestigations</vt:lpstr>
      <vt:lpstr>Eligibility_2011</vt:lpstr>
      <vt:lpstr>Employment</vt:lpstr>
      <vt:lpstr>FC_Adop_LASER_2011</vt:lpstr>
      <vt:lpstr>FC_DEMO_2012</vt:lpstr>
      <vt:lpstr>FCMAP</vt:lpstr>
      <vt:lpstr>FIPS</vt:lpstr>
      <vt:lpstr>FIPS_NUM</vt:lpstr>
      <vt:lpstr>FIPSN</vt:lpstr>
      <vt:lpstr>HR_Deviate</vt:lpstr>
      <vt:lpstr>IT_Support</vt:lpstr>
      <vt:lpstr>LIHEAP_LASER_2011</vt:lpstr>
      <vt:lpstr>Loc_Name</vt:lpstr>
      <vt:lpstr>Locality</vt:lpstr>
      <vt:lpstr>marriedcouples</vt:lpstr>
      <vt:lpstr>MarriedParentHouseholds</vt:lpstr>
      <vt:lpstr>Medicaid_Demographics</vt:lpstr>
      <vt:lpstr>Medicaid_LASER_2011</vt:lpstr>
      <vt:lpstr>MedicaidClientsSFY</vt:lpstr>
      <vt:lpstr>NonMaritalBirths</vt:lpstr>
      <vt:lpstr>OT_BENE_LASER_2011</vt:lpstr>
      <vt:lpstr>OT_EXP_LASER_2011</vt:lpstr>
      <vt:lpstr>Pop_2011</vt:lpstr>
      <vt:lpstr>Positions</vt:lpstr>
      <vt:lpstr>Poverty_AllAges</vt:lpstr>
      <vt:lpstr>Poverty_Child</vt:lpstr>
      <vt:lpstr>'Children in Foster Care'!Print_Area</vt:lpstr>
      <vt:lpstr>'Locality Name'!Print_Area</vt:lpstr>
      <vt:lpstr>Profile!Print_Area</vt:lpstr>
      <vt:lpstr>'SNAP Participation Rate'!Print_Area</vt:lpstr>
      <vt:lpstr>Unemployment!Print_Area</vt:lpstr>
      <vt:lpstr>'Children in Foster Care'!Print_Titles</vt:lpstr>
      <vt:lpstr>Profile!Print_Titles</vt:lpstr>
      <vt:lpstr>'SNAP Participation Rate'!Print_Titles</vt:lpstr>
      <vt:lpstr>Unemployment!Print_Titles</vt:lpstr>
      <vt:lpstr>Serv_Staff_2011</vt:lpstr>
      <vt:lpstr>SingleParentHomes</vt:lpstr>
      <vt:lpstr>SNAP_Demo</vt:lpstr>
      <vt:lpstr>SNAP_LASER_2011</vt:lpstr>
      <vt:lpstr>SNAP_RACE</vt:lpstr>
      <vt:lpstr>snapcl</vt:lpstr>
      <vt:lpstr>TANF_Demo</vt:lpstr>
      <vt:lpstr>TANF_LASER_2011</vt:lpstr>
      <vt:lpstr>TANFCL</vt:lpstr>
    </vt:vector>
  </TitlesOfParts>
  <Company>Virginia IT Infrastructure Partnership</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AXW09990</dc:creator>
  <cp:lastModifiedBy>axw09990</cp:lastModifiedBy>
  <cp:lastPrinted>2013-02-12T13:57:10Z</cp:lastPrinted>
  <dcterms:created xsi:type="dcterms:W3CDTF">2011-04-04T18:14:50Z</dcterms:created>
  <dcterms:modified xsi:type="dcterms:W3CDTF">2013-05-06T13:49:19Z</dcterms:modified>
</cp:coreProperties>
</file>